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72"/>
  </bookViews>
  <sheets>
    <sheet name="1.平衡表" sheetId="24" r:id="rId1"/>
    <sheet name="2.县本级统筹财力" sheetId="9" r:id="rId2"/>
    <sheet name="3.收入" sheetId="11" r:id="rId3"/>
    <sheet name="4.科目汇总表（14-15）" sheetId="6" r:id="rId4"/>
    <sheet name="年初预算工资福利" sheetId="2" state="hidden" r:id="rId5"/>
    <sheet name="调整工资福利汇总" sheetId="22" state="hidden" r:id="rId6"/>
    <sheet name="工资福利（公务员、参公人员）" sheetId="19" state="hidden" r:id="rId7"/>
    <sheet name="工资福利（事业）" sheetId="20" state="hidden" r:id="rId8"/>
    <sheet name="社会保障性支出（五险二金）" sheetId="21" state="hidden" r:id="rId9"/>
    <sheet name="对个人和家庭补助" sheetId="4" state="hidden" r:id="rId10"/>
    <sheet name="商品和服务支出" sheetId="3" state="hidden" r:id="rId11"/>
    <sheet name="项目支出" sheetId="12" state="hidden" r:id="rId12"/>
    <sheet name="5.基金平衡表（16）" sheetId="16" r:id="rId13"/>
    <sheet name="6.基金收入（17）" sheetId="17" r:id="rId14"/>
    <sheet name="7.基金支出(18)" sheetId="25" r:id="rId15"/>
    <sheet name="基金支出（县本级）" sheetId="18" state="hidden" r:id="rId16"/>
    <sheet name="8.社保基金预算(19)" sheetId="15" r:id="rId17"/>
    <sheet name="9.收回存量安排" sheetId="26" r:id="rId18"/>
    <sheet name="10.直达资金" sheetId="2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xlnm._FilterDatabase" localSheetId="1" hidden="1">'2.县本级统筹财力'!$A$4:$G$26</definedName>
    <definedName name="_xlnm._FilterDatabase" localSheetId="4" hidden="1">年初预算工资福利!$A$8:$AR$424</definedName>
    <definedName name="_xlnm._FilterDatabase" localSheetId="6" hidden="1">'工资福利（公务员、参公人员）'!$A$5:$AU$424</definedName>
    <definedName name="_xlnm._FilterDatabase" localSheetId="7" hidden="1">'工资福利（事业）'!$A$5:$BE$424</definedName>
    <definedName name="_xlnm._FilterDatabase" localSheetId="8" hidden="1">'社会保障性支出（五险二金）'!$A$5:$AC$424</definedName>
    <definedName name="_xlnm._FilterDatabase" localSheetId="9" hidden="1">对个人和家庭补助!$6:$169</definedName>
    <definedName name="_xlnm._FilterDatabase" localSheetId="10" hidden="1">商品和服务支出!$A$6:$BA$401</definedName>
    <definedName name="_xlnm._FilterDatabase" localSheetId="11" hidden="1">项目支出!$A$4:$W$319</definedName>
    <definedName name="_xlnm._FilterDatabase" localSheetId="15" hidden="1">'基金支出（县本级）'!$A$3:$M$112</definedName>
    <definedName name="____________A69999">[1]按类别!$A$52564</definedName>
    <definedName name="____________A70000">[1]按类别!$A$52564</definedName>
    <definedName name="____________A99999">[1]按类别!$A$52564</definedName>
    <definedName name="___________A70000">[2]按类别!$A$52564</definedName>
    <definedName name="__________A70000">[1]按类别!$A$52564</definedName>
    <definedName name="__________A8888">[2]按类别!$A$52564</definedName>
    <definedName name="_________A69999">[1]按类别!$A$52564</definedName>
    <definedName name="_________A70000">[1]按类别!$A$52564</definedName>
    <definedName name="_________A8888">[1]按类别!$A$52564</definedName>
    <definedName name="_________A99999">[1]按类别!$A$52564</definedName>
    <definedName name="________A69999">[1]按类别!$A$52564</definedName>
    <definedName name="________A70000">[1]按类别!$A$52564</definedName>
    <definedName name="________A8888">[1]按类别!$A$52564</definedName>
    <definedName name="________A99999">[1]按类别!$A$52564</definedName>
    <definedName name="_______A70000">[3]按类别!$A$52564</definedName>
    <definedName name="_______A99999">[4]按类别!$A$52564</definedName>
    <definedName name="______A69999">[2]按类别!$A$52564</definedName>
    <definedName name="______A70000">[1]按类别!$A$52564</definedName>
    <definedName name="______A99999">[3]按类别!$A$52564</definedName>
    <definedName name="_____A69999">[3]按类别!$A$52564</definedName>
    <definedName name="_____A70000">[4]按类别!$A$52564</definedName>
    <definedName name="_____A8888">[3]按类别!$A$52564</definedName>
    <definedName name="_____A99999">[4]按类别!$A$52564</definedName>
    <definedName name="____A69999">[4]按类别!$A$52564</definedName>
    <definedName name="____A70000">[1]按类别!$A$52564</definedName>
    <definedName name="____A8888">[2]按类别!$A$52564</definedName>
    <definedName name="____A99999">[1]按类别!$A$52564</definedName>
    <definedName name="___A69999">[1]按类别!$A$52564</definedName>
    <definedName name="___A70000">[1]按类别!$A$52564</definedName>
    <definedName name="___A8888">[1]按类别!$A$52564</definedName>
    <definedName name="___A99999">[1]按类别!$A$52564</definedName>
    <definedName name="__A69999">[1]按类别!$A$52564</definedName>
    <definedName name="__A70000">[1]按类别!$A$52564</definedName>
    <definedName name="__A8888">[1]按类别!$A$52564</definedName>
    <definedName name="__A99999">[1]按类别!$A$52564</definedName>
    <definedName name="_1A8888_">[1]按类别!$A$52564</definedName>
    <definedName name="_A69999">[1]按类别!$A$52564</definedName>
    <definedName name="_A70000">[1]按类别!$A$52564</definedName>
    <definedName name="_A8888">[1]按类别!$A$52564</definedName>
    <definedName name="_A99999">[1]按类别!$A$52564</definedName>
    <definedName name="_Fill" localSheetId="13" hidden="1">[5]eqpmad2!#REF!</definedName>
    <definedName name="_Fill" hidden="1">[5]eqpmad2!#REF!</definedName>
    <definedName name="_xlnm._FilterDatabase" localSheetId="12" hidden="1">#REF!</definedName>
    <definedName name="_xlnm._FilterDatabase" localSheetId="13" hidden="1">#REF!</definedName>
    <definedName name="_xlnm._FilterDatabase" localSheetId="16" hidden="1">#REF!</definedName>
    <definedName name="_xlnm._FilterDatabase" hidden="1">#REF!</definedName>
    <definedName name="_JC22" localSheetId="13" hidden="1">{"Summ CFT",#N/A,FALSE,"CFT";"Full CFT",#N/A,FALSE,"CFT"}</definedName>
    <definedName name="_JC22" hidden="1">{"Summ CFT",#N/A,FALSE,"CFT";"Full CFT",#N/A,FALSE,"CFT"}</definedName>
    <definedName name="_Key1" localSheetId="13" hidden="1">[6]县长批条!#REF!</definedName>
    <definedName name="_Key1" hidden="1">[6]县长批条!#REF!</definedName>
    <definedName name="_Order1" hidden="1">255</definedName>
    <definedName name="_Order2" hidden="1">255</definedName>
    <definedName name="_PA7" localSheetId="12">#REF!</definedName>
    <definedName name="_PA7" localSheetId="13">#REF!</definedName>
    <definedName name="_PA7" localSheetId="15">#REF!</definedName>
    <definedName name="_PA7" localSheetId="16">#REF!</definedName>
    <definedName name="_PA7">#REF!</definedName>
    <definedName name="_PA8" localSheetId="12">#REF!</definedName>
    <definedName name="_PA8" localSheetId="13">#REF!</definedName>
    <definedName name="_PA8" localSheetId="15">#REF!</definedName>
    <definedName name="_PA8" localSheetId="16">#REF!</definedName>
    <definedName name="_PA8">#REF!</definedName>
    <definedName name="_PD1" localSheetId="12">#REF!</definedName>
    <definedName name="_PD1" localSheetId="13">#REF!</definedName>
    <definedName name="_PD1" localSheetId="15">#REF!</definedName>
    <definedName name="_PD1" localSheetId="16">#REF!</definedName>
    <definedName name="_PD1">#REF!</definedName>
    <definedName name="_PE12" localSheetId="12">#REF!</definedName>
    <definedName name="_PE12" localSheetId="13">#REF!</definedName>
    <definedName name="_PE12" localSheetId="15">#REF!</definedName>
    <definedName name="_PE12" localSheetId="16">#REF!</definedName>
    <definedName name="_PE12">#REF!</definedName>
    <definedName name="_PE13" localSheetId="12">#REF!</definedName>
    <definedName name="_PE13" localSheetId="13">#REF!</definedName>
    <definedName name="_PE13" localSheetId="15">#REF!</definedName>
    <definedName name="_PE13" localSheetId="16">#REF!</definedName>
    <definedName name="_PE13">#REF!</definedName>
    <definedName name="_PE6" localSheetId="12">#REF!</definedName>
    <definedName name="_PE6" localSheetId="13">#REF!</definedName>
    <definedName name="_PE6" localSheetId="15">#REF!</definedName>
    <definedName name="_PE6" localSheetId="16">#REF!</definedName>
    <definedName name="_PE6">#REF!</definedName>
    <definedName name="_PE7" localSheetId="12">#REF!</definedName>
    <definedName name="_PE7" localSheetId="13">#REF!</definedName>
    <definedName name="_PE7" localSheetId="15">#REF!</definedName>
    <definedName name="_PE7" localSheetId="16">#REF!</definedName>
    <definedName name="_PE7">#REF!</definedName>
    <definedName name="_PE8" localSheetId="12">#REF!</definedName>
    <definedName name="_PE8" localSheetId="13">#REF!</definedName>
    <definedName name="_PE8" localSheetId="15">#REF!</definedName>
    <definedName name="_PE8" localSheetId="16">#REF!</definedName>
    <definedName name="_PE8">#REF!</definedName>
    <definedName name="_PE9" localSheetId="12">#REF!</definedName>
    <definedName name="_PE9" localSheetId="13">#REF!</definedName>
    <definedName name="_PE9" localSheetId="15">#REF!</definedName>
    <definedName name="_PE9" localSheetId="16">#REF!</definedName>
    <definedName name="_PE9">#REF!</definedName>
    <definedName name="_PH1" localSheetId="12">#REF!</definedName>
    <definedName name="_PH1" localSheetId="13">#REF!</definedName>
    <definedName name="_PH1" localSheetId="15">#REF!</definedName>
    <definedName name="_PH1" localSheetId="16">#REF!</definedName>
    <definedName name="_PH1">#REF!</definedName>
    <definedName name="_PI1" localSheetId="12">#REF!</definedName>
    <definedName name="_PI1" localSheetId="13">#REF!</definedName>
    <definedName name="_PI1" localSheetId="15">#REF!</definedName>
    <definedName name="_PI1" localSheetId="16">#REF!</definedName>
    <definedName name="_PI1">#REF!</definedName>
    <definedName name="_PK1" localSheetId="12">#REF!</definedName>
    <definedName name="_PK1" localSheetId="13">#REF!</definedName>
    <definedName name="_PK1" localSheetId="15">#REF!</definedName>
    <definedName name="_PK1" localSheetId="16">#REF!</definedName>
    <definedName name="_PK1">#REF!</definedName>
    <definedName name="_PK3" localSheetId="12">#REF!</definedName>
    <definedName name="_PK3" localSheetId="13">#REF!</definedName>
    <definedName name="_PK3" localSheetId="15">#REF!</definedName>
    <definedName name="_PK3" localSheetId="16">#REF!</definedName>
    <definedName name="_PK3">#REF!</definedName>
    <definedName name="“法院”资金明细表" localSheetId="12">#REF!</definedName>
    <definedName name="“法院”资金明细表" localSheetId="13">#REF!</definedName>
    <definedName name="“法院”资金明细表" localSheetId="15">#REF!</definedName>
    <definedName name="“法院”资金明细表" localSheetId="16">#REF!</definedName>
    <definedName name="“法院”资金明细表">#REF!</definedName>
    <definedName name="“检察院”资金明细表" localSheetId="12">#REF!</definedName>
    <definedName name="“检察院”资金明细表" localSheetId="13">#REF!</definedName>
    <definedName name="“检察院”资金明细表" localSheetId="15">#REF!</definedName>
    <definedName name="“检察院”资金明细表" localSheetId="16">#REF!</definedName>
    <definedName name="“检察院”资金明细表">#REF!</definedName>
    <definedName name="Alpha" localSheetId="12">#REF!</definedName>
    <definedName name="Alpha" localSheetId="13">#REF!</definedName>
    <definedName name="Alpha" localSheetId="15">#REF!</definedName>
    <definedName name="Alpha" localSheetId="16">#REF!</definedName>
    <definedName name="Alpha">#REF!</definedName>
    <definedName name="Anzahl_1" localSheetId="12">#REF!</definedName>
    <definedName name="Anzahl_1" localSheetId="13">#REF!</definedName>
    <definedName name="Anzahl_1" localSheetId="15">#REF!</definedName>
    <definedName name="Anzahl_1" localSheetId="16">#REF!</definedName>
    <definedName name="Anzahl_1">#REF!</definedName>
    <definedName name="Anzahl_2" localSheetId="12">#REF!</definedName>
    <definedName name="Anzahl_2" localSheetId="13">#REF!</definedName>
    <definedName name="Anzahl_2" localSheetId="15">#REF!</definedName>
    <definedName name="Anzahl_2" localSheetId="16">#REF!</definedName>
    <definedName name="Anzahl_2">#REF!</definedName>
    <definedName name="Beg_Bal" localSheetId="12">#REF!</definedName>
    <definedName name="Beg_Bal" localSheetId="13">#REF!</definedName>
    <definedName name="Beg_Bal" localSheetId="15">#REF!</definedName>
    <definedName name="Beg_Bal" localSheetId="16">#REF!</definedName>
    <definedName name="Beg_Bal">#REF!</definedName>
    <definedName name="BM8_SelectZBM.BM8_ZBMChangeKMM" localSheetId="12">[7]!BM8_SelectZBM.BM8_ZBMChangeKMM</definedName>
    <definedName name="BM8_SelectZBM.BM8_ZBMChangeKMM" localSheetId="13">[7]!BM8_SelectZBM.BM8_ZBMChangeKMM</definedName>
    <definedName name="BM8_SelectZBM.BM8_ZBMChangeKMM" localSheetId="15">[7]!BM8_SelectZBM.BM8_ZBMChangeKMM</definedName>
    <definedName name="BM8_SelectZBM.BM8_ZBMChangeKMM" localSheetId="16">[7]!BM8_SelectZBM.BM8_ZBMChangeKMM</definedName>
    <definedName name="BM8_SelectZBM.BM8_ZBMChangeKMM">[7]!BM8_SelectZBM.BM8_ZBMChangeKMM</definedName>
    <definedName name="BM8_SelectZBM.BM8_ZBMminusOption" localSheetId="12">[7]!BM8_SelectZBM.BM8_ZBMminusOption</definedName>
    <definedName name="BM8_SelectZBM.BM8_ZBMminusOption" localSheetId="13">[7]!BM8_SelectZBM.BM8_ZBMminusOption</definedName>
    <definedName name="BM8_SelectZBM.BM8_ZBMminusOption" localSheetId="15">[7]!BM8_SelectZBM.BM8_ZBMminusOption</definedName>
    <definedName name="BM8_SelectZBM.BM8_ZBMminusOption" localSheetId="16">[7]!BM8_SelectZBM.BM8_ZBMminusOption</definedName>
    <definedName name="BM8_SelectZBM.BM8_ZBMminusOption">[7]!BM8_SelectZBM.BM8_ZBMminusOption</definedName>
    <definedName name="BM8_SelectZBM.BM8_ZBMSumOption" localSheetId="12">[7]!BM8_SelectZBM.BM8_ZBMSumOption</definedName>
    <definedName name="BM8_SelectZBM.BM8_ZBMSumOption" localSheetId="13">[7]!BM8_SelectZBM.BM8_ZBMSumOption</definedName>
    <definedName name="BM8_SelectZBM.BM8_ZBMSumOption" localSheetId="15">[7]!BM8_SelectZBM.BM8_ZBMSumOption</definedName>
    <definedName name="BM8_SelectZBM.BM8_ZBMSumOption" localSheetId="16">[7]!BM8_SelectZBM.BM8_ZBMSumOption</definedName>
    <definedName name="BM8_SelectZBM.BM8_ZBMSumOption">[7]!BM8_SelectZBM.BM8_ZBMSumOption</definedName>
    <definedName name="BOMView">[8]Prg!$G$33</definedName>
    <definedName name="Bust" localSheetId="12">#REF!</definedName>
    <definedName name="Bust" localSheetId="13">#REF!</definedName>
    <definedName name="Bust" localSheetId="15">#REF!</definedName>
    <definedName name="Bust" localSheetId="16">#REF!</definedName>
    <definedName name="Bust">#REF!</definedName>
    <definedName name="Cnty_Codes">[8]Profile!$D$4:$D$69</definedName>
    <definedName name="Continue" localSheetId="12">#REF!</definedName>
    <definedName name="Continue" localSheetId="13">#REF!</definedName>
    <definedName name="Continue" localSheetId="15">#REF!</definedName>
    <definedName name="Continue" localSheetId="16">#REF!</definedName>
    <definedName name="Continue">#REF!</definedName>
    <definedName name="Data" localSheetId="12">#REF!</definedName>
    <definedName name="Data" localSheetId="13">#REF!</definedName>
    <definedName name="Data" localSheetId="15">#REF!</definedName>
    <definedName name="Data" localSheetId="16">#REF!</definedName>
    <definedName name="Data">#REF!</definedName>
    <definedName name="Database" localSheetId="12">#REF!</definedName>
    <definedName name="Database" localSheetId="13">#REF!</definedName>
    <definedName name="Database" localSheetId="15">#REF!</definedName>
    <definedName name="Database" localSheetId="16">#REF!</definedName>
    <definedName name="Database">#REF!</definedName>
    <definedName name="Devices">[9]Devices!$B$5:$B$173</definedName>
    <definedName name="Devices_Table">[9]Devices!$B$1:$L$65536</definedName>
    <definedName name="Documents_array" localSheetId="12">#REF!</definedName>
    <definedName name="Documents_array" localSheetId="13">#REF!</definedName>
    <definedName name="Documents_array" localSheetId="15">#REF!</definedName>
    <definedName name="Documents_array" localSheetId="16">#REF!</definedName>
    <definedName name="Documents_array">#REF!</definedName>
    <definedName name="Duty" localSheetId="12">#REF!</definedName>
    <definedName name="Duty" localSheetId="13">#REF!</definedName>
    <definedName name="Duty" localSheetId="15">#REF!</definedName>
    <definedName name="Duty" localSheetId="16">#REF!</definedName>
    <definedName name="Duty">#REF!</definedName>
    <definedName name="End_Bal" localSheetId="12">#REF!</definedName>
    <definedName name="End_Bal" localSheetId="13">#REF!</definedName>
    <definedName name="End_Bal" localSheetId="15">#REF!</definedName>
    <definedName name="End_Bal" localSheetId="16">#REF!</definedName>
    <definedName name="End_Bal">#REF!</definedName>
    <definedName name="Extra_Pay" localSheetId="12">#REF!</definedName>
    <definedName name="Extra_Pay" localSheetId="13">#REF!</definedName>
    <definedName name="Extra_Pay" localSheetId="15">#REF!</definedName>
    <definedName name="Extra_Pay" localSheetId="16">#REF!</definedName>
    <definedName name="Extra_Pay">#REF!</definedName>
    <definedName name="Full_Print" localSheetId="12">#REF!</definedName>
    <definedName name="Full_Print" localSheetId="13">#REF!</definedName>
    <definedName name="Full_Print" localSheetId="15">#REF!</definedName>
    <definedName name="Full_Print" localSheetId="16">#REF!</definedName>
    <definedName name="Full_Print">#REF!</definedName>
    <definedName name="gggg">#N/A</definedName>
    <definedName name="Header_Row" localSheetId="12">ROW(#REF!)</definedName>
    <definedName name="Header_Row" localSheetId="13">ROW(#REF!)</definedName>
    <definedName name="Header_Row" localSheetId="15">ROW(#REF!)</definedName>
    <definedName name="Header_Row" localSheetId="16">ROW(#REF!)</definedName>
    <definedName name="Header_Row">ROW(#REF!)</definedName>
    <definedName name="Hello" localSheetId="12">#REF!</definedName>
    <definedName name="Hello" localSheetId="13">#REF!</definedName>
    <definedName name="Hello" localSheetId="15">#REF!</definedName>
    <definedName name="Hello" localSheetId="16">#REF!</definedName>
    <definedName name="Hello">#REF!</definedName>
    <definedName name="hhhh" localSheetId="12">#REF!</definedName>
    <definedName name="hhhh" localSheetId="13">#REF!</definedName>
    <definedName name="hhhh" localSheetId="15">#REF!</definedName>
    <definedName name="hhhh" localSheetId="16">#REF!</definedName>
    <definedName name="hhhh">#REF!</definedName>
    <definedName name="HWSheet">1</definedName>
    <definedName name="Ieff" localSheetId="12">#REF!</definedName>
    <definedName name="Ieff" localSheetId="13">#REF!</definedName>
    <definedName name="Ieff" localSheetId="15">#REF!</definedName>
    <definedName name="Ieff" localSheetId="16">#REF!</definedName>
    <definedName name="Ieff">#REF!</definedName>
    <definedName name="Imax" localSheetId="12">#REF!</definedName>
    <definedName name="Imax" localSheetId="13">#REF!</definedName>
    <definedName name="Imax" localSheetId="15">#REF!</definedName>
    <definedName name="Imax" localSheetId="16">#REF!</definedName>
    <definedName name="Imax">#REF!</definedName>
    <definedName name="Int" localSheetId="12">#REF!</definedName>
    <definedName name="Int" localSheetId="13">#REF!</definedName>
    <definedName name="Int" localSheetId="15">#REF!</definedName>
    <definedName name="Int" localSheetId="16">#REF!</definedName>
    <definedName name="Int">#REF!</definedName>
    <definedName name="Interest_Rate" localSheetId="12">#REF!</definedName>
    <definedName name="Interest_Rate" localSheetId="13">#REF!</definedName>
    <definedName name="Interest_Rate" localSheetId="15">#REF!</definedName>
    <definedName name="Interest_Rate" localSheetId="16">#REF!</definedName>
    <definedName name="Interest_Rate">#REF!</definedName>
    <definedName name="K_Imax" localSheetId="12">#REF!</definedName>
    <definedName name="K_Imax" localSheetId="13">#REF!</definedName>
    <definedName name="K_Imax" localSheetId="15">#REF!</definedName>
    <definedName name="K_Imax" localSheetId="16">#REF!</definedName>
    <definedName name="K_Imax">#REF!</definedName>
    <definedName name="Last_Row" localSheetId="6">IF('[10]15.商品和服务支出'!Values_Entered,Header_Row+'[10]15.商品和服务支出'!Number_of_Payments,Header_Row)</definedName>
    <definedName name="Last_Row" localSheetId="12">IF('[10]15.商品和服务支出'!Values_Entered,'5.基金平衡表（16）'!Header_Row+'[10]15.商品和服务支出'!Number_of_Payments,'5.基金平衡表（16）'!Header_Row)</definedName>
    <definedName name="Last_Row" localSheetId="13">IF([13]!Values_Entered,'6.基金收入（17）'!Header_Row+[13]!Number_of_Payments,'6.基金收入（17）'!Header_Row)</definedName>
    <definedName name="Last_Row" localSheetId="15">IF('[10]15.商品和服务支出'!Values_Entered,'基金支出（县本级）'!Header_Row+'[10]15.商品和服务支出'!Number_of_Payments,'基金支出（县本级）'!Header_Row)</definedName>
    <definedName name="Last_Row" localSheetId="16">IF('[10]15.商品和服务支出'!Values_Entered,'8.社保基金预算(19)'!Header_Row+'[10]15.商品和服务支出'!Number_of_Payments,'8.社保基金预算(19)'!Header_Row)</definedName>
    <definedName name="Last_Row" localSheetId="8">IF('[10]15.商品和服务支出'!Values_Entered,Header_Row+'[10]15.商品和服务支出'!Number_of_Payments,Header_Row)</definedName>
    <definedName name="Last_Row" localSheetId="11">IF('[10]15.商品和服务支出'!Values_Entered,Header_Row+'[10]15.商品和服务支出'!Number_of_Payments,Header_Row)</definedName>
    <definedName name="Last_Row" localSheetId="7">IF('[10]15.商品和服务支出'!Values_Entered,Header_Row+'[10]15.商品和服务支出'!Number_of_Payments,Header_Row)</definedName>
    <definedName name="Last_Row">IF('[10]15.商品和服务支出'!Values_Entered,Header_Row+'[10]15.商品和服务支出'!Number_of_Payments,Header_Row)</definedName>
    <definedName name="Loan_Amount" localSheetId="12">#REF!</definedName>
    <definedName name="Loan_Amount" localSheetId="13">#REF!</definedName>
    <definedName name="Loan_Amount" localSheetId="15">#REF!</definedName>
    <definedName name="Loan_Amount" localSheetId="16">#REF!</definedName>
    <definedName name="Loan_Amount">#REF!</definedName>
    <definedName name="Loan_Start" localSheetId="12">#REF!</definedName>
    <definedName name="Loan_Start" localSheetId="13">#REF!</definedName>
    <definedName name="Loan_Start" localSheetId="15">#REF!</definedName>
    <definedName name="Loan_Start" localSheetId="16">#REF!</definedName>
    <definedName name="Loan_Start">#REF!</definedName>
    <definedName name="Loan_Years" localSheetId="12">#REF!</definedName>
    <definedName name="Loan_Years" localSheetId="13">#REF!</definedName>
    <definedName name="Loan_Years" localSheetId="15">#REF!</definedName>
    <definedName name="Loan_Years" localSheetId="16">#REF!</definedName>
    <definedName name="Loan_Years">#REF!</definedName>
    <definedName name="LTol" localSheetId="12">#REF!</definedName>
    <definedName name="LTol" localSheetId="13">#REF!</definedName>
    <definedName name="LTol" localSheetId="15">#REF!</definedName>
    <definedName name="LTol" localSheetId="16">#REF!</definedName>
    <definedName name="LTol">#REF!</definedName>
    <definedName name="MakeIt" localSheetId="12">#REF!</definedName>
    <definedName name="MakeIt" localSheetId="13">#REF!</definedName>
    <definedName name="MakeIt" localSheetId="15">#REF!</definedName>
    <definedName name="MakeIt" localSheetId="16">#REF!</definedName>
    <definedName name="MakeIt">#REF!</definedName>
    <definedName name="MmExcelLinker_4795041E_1062_4A6D_901F_4306994608A4" localSheetId="6">'[11]S19、A0 and JC22 BCM PIN V1.0'!M14-BCM-[12]ATECH编辑20090309!$B$51:$B$53</definedName>
    <definedName name="MmExcelLinker_4795041E_1062_4A6D_901F_4306994608A4" localSheetId="12">'[11]S19、A0 and JC22 BCM PIN V1.0'!M14-BCM-[12]ATECH编辑20090309!$B$51:$B$53</definedName>
    <definedName name="MmExcelLinker_4795041E_1062_4A6D_901F_4306994608A4" localSheetId="13">'[11]S19、A0 and JC22 BCM PIN V1.0'!M14-BCM-[12]ATECH编辑20090309!$B$51:$B$53</definedName>
    <definedName name="MmExcelLinker_4795041E_1062_4A6D_901F_4306994608A4" localSheetId="15">'[11]S19、A0 and JC22 BCM PIN V1.0'!M14-BCM-[12]ATECH编辑20090309!$B$51:$B$53</definedName>
    <definedName name="MmExcelLinker_4795041E_1062_4A6D_901F_4306994608A4" localSheetId="16">'[11]S19、A0 and JC22 BCM PIN V1.0'!M14-BCM-[12]ATECH编辑20090309!$B$51:$B$53</definedName>
    <definedName name="MmExcelLinker_4795041E_1062_4A6D_901F_4306994608A4" localSheetId="8">'[11]S19、A0 and JC22 BCM PIN V1.0'!M14-BCM-[12]ATECH编辑20090309!$B$51:$B$53</definedName>
    <definedName name="MmExcelLinker_4795041E_1062_4A6D_901F_4306994608A4" localSheetId="2">'[11]S19、A0 and JC22 BCM PIN V1.0'!M14-BCM-[12]ATECH编辑20090309!$B$51:$B$53</definedName>
    <definedName name="MmExcelLinker_4795041E_1062_4A6D_901F_4306994608A4" localSheetId="11">'[11]S19、A0 and JC22 BCM PIN V1.0'!M14-BCM-[12]ATECH编辑20090309!$B$51:$B$53</definedName>
    <definedName name="MmExcelLinker_4795041E_1062_4A6D_901F_4306994608A4" localSheetId="7">'[11]S19、A0 and JC22 BCM PIN V1.0'!M14-BCM-[12]ATECH编辑20090309!$B$51:$B$53</definedName>
    <definedName name="MmExcelLinker_4795041E_1062_4A6D_901F_4306994608A4">'[11]S19、A0 and JC22 BCM PIN V1.0'!M14-BCM-[12]ATECH编辑20090309!$B$51:$B$53</definedName>
    <definedName name="Module.Prix_SMC" localSheetId="13">#N/A</definedName>
    <definedName name="Module.Prix_SMC">'[10]10.2021.总支出'!Module.Prix_SMC</definedName>
    <definedName name="Morning" localSheetId="12">#REF!</definedName>
    <definedName name="Morning" localSheetId="13">#REF!</definedName>
    <definedName name="Morning" localSheetId="15">#REF!</definedName>
    <definedName name="Morning" localSheetId="16">#REF!</definedName>
    <definedName name="Morning">#REF!</definedName>
    <definedName name="N" localSheetId="12">#REF!</definedName>
    <definedName name="N" localSheetId="13">#REF!</definedName>
    <definedName name="N" localSheetId="15">#REF!</definedName>
    <definedName name="N" localSheetId="16">#REF!</definedName>
    <definedName name="N">#REF!</definedName>
    <definedName name="NDev" localSheetId="12">#REF!</definedName>
    <definedName name="NDev" localSheetId="13">#REF!</definedName>
    <definedName name="NDev" localSheetId="15">#REF!</definedName>
    <definedName name="NDev" localSheetId="16">#REF!</definedName>
    <definedName name="NDev">#REF!</definedName>
    <definedName name="Num_Pmt_Per_Year" localSheetId="12">#REF!</definedName>
    <definedName name="Num_Pmt_Per_Year" localSheetId="13">#REF!</definedName>
    <definedName name="Num_Pmt_Per_Year" localSheetId="15">#REF!</definedName>
    <definedName name="Num_Pmt_Per_Year" localSheetId="16">#REF!</definedName>
    <definedName name="Num_Pmt_Per_Year">#REF!</definedName>
    <definedName name="Number_of_Payments" localSheetId="6">MATCH(0.01,End_Bal,-1)+1</definedName>
    <definedName name="Number_of_Payments" localSheetId="12">MATCH(0.01,'5.基金平衡表（16）'!End_Bal,-1)+1</definedName>
    <definedName name="Number_of_Payments" localSheetId="13">MATCH(0.01,'6.基金收入（17）'!End_Bal,-1)+1</definedName>
    <definedName name="Number_of_Payments" localSheetId="15">MATCH(0.01,'基金支出（县本级）'!End_Bal,-1)+1</definedName>
    <definedName name="Number_of_Payments" localSheetId="16">MATCH(0.01,'8.社保基金预算(19)'!End_Bal,-1)+1</definedName>
    <definedName name="Number_of_Payments" localSheetId="8">MATCH(0.01,End_Bal,-1)+1</definedName>
    <definedName name="Number_of_Payments" localSheetId="11">MATCH(0.01,End_Bal,-1)+1</definedName>
    <definedName name="Number_of_Payments" localSheetId="7">MATCH(0.01,End_Bal,-1)+1</definedName>
    <definedName name="Number_of_Payments">MATCH(0.01,End_Bal,-1)+1</definedName>
    <definedName name="NumModels">[8]Prg!$G$24</definedName>
    <definedName name="On" localSheetId="12">#REF!</definedName>
    <definedName name="On" localSheetId="13">#REF!</definedName>
    <definedName name="On" localSheetId="15">#REF!</definedName>
    <definedName name="On" localSheetId="16">#REF!</definedName>
    <definedName name="On">#REF!</definedName>
    <definedName name="P_Mos_Ges_1" localSheetId="12">#REF!</definedName>
    <definedName name="P_Mos_Ges_1" localSheetId="13">#REF!</definedName>
    <definedName name="P_Mos_Ges_1" localSheetId="15">#REF!</definedName>
    <definedName name="P_Mos_Ges_1" localSheetId="16">#REF!</definedName>
    <definedName name="P_Mos_Ges_1">#REF!</definedName>
    <definedName name="P_Mos_ges_2" localSheetId="12">#REF!</definedName>
    <definedName name="P_Mos_ges_2" localSheetId="13">#REF!</definedName>
    <definedName name="P_Mos_ges_2" localSheetId="15">#REF!</definedName>
    <definedName name="P_Mos_ges_2" localSheetId="16">#REF!</definedName>
    <definedName name="P_Mos_ges_2">#REF!</definedName>
    <definedName name="P_pro_Mos_1" localSheetId="12">#REF!</definedName>
    <definedName name="P_pro_Mos_1" localSheetId="13">#REF!</definedName>
    <definedName name="P_pro_Mos_1" localSheetId="15">#REF!</definedName>
    <definedName name="P_pro_Mos_1" localSheetId="16">#REF!</definedName>
    <definedName name="P_pro_Mos_1">#REF!</definedName>
    <definedName name="P_pro_Mos_2" localSheetId="12">#REF!</definedName>
    <definedName name="P_pro_Mos_2" localSheetId="13">#REF!</definedName>
    <definedName name="P_pro_Mos_2" localSheetId="15">#REF!</definedName>
    <definedName name="P_pro_Mos_2" localSheetId="16">#REF!</definedName>
    <definedName name="P_pro_Mos_2">#REF!</definedName>
    <definedName name="Pay_Date" localSheetId="12">#REF!</definedName>
    <definedName name="Pay_Date" localSheetId="13">#REF!</definedName>
    <definedName name="Pay_Date" localSheetId="15">#REF!</definedName>
    <definedName name="Pay_Date" localSheetId="16">#REF!</definedName>
    <definedName name="Pay_Date">#REF!</definedName>
    <definedName name="Pay_Num" localSheetId="12">#REF!</definedName>
    <definedName name="Pay_Num" localSheetId="13">#REF!</definedName>
    <definedName name="Pay_Num" localSheetId="15">#REF!</definedName>
    <definedName name="Pay_Num" localSheetId="16">#REF!</definedName>
    <definedName name="Pay_Num">#REF!</definedName>
    <definedName name="Payment_Date" localSheetId="6">DATE(YEAR(Loan_Start),MONTH(Loan_Start)+Payment_Number,DAY(Loan_Start))</definedName>
    <definedName name="Payment_Date" localSheetId="12">DATE(YEAR('5.基金平衡表（16）'!Loan_Start),MONTH('5.基金平衡表（16）'!Loan_Start)+Payment_Number,DAY('5.基金平衡表（16）'!Loan_Start))</definedName>
    <definedName name="Payment_Date" localSheetId="13">DATE(YEAR('6.基金收入（17）'!Loan_Start),MONTH('6.基金收入（17）'!Loan_Start)+Payment_Number,DAY('6.基金收入（17）'!Loan_Start))</definedName>
    <definedName name="Payment_Date" localSheetId="15">DATE(YEAR('基金支出（县本级）'!Loan_Start),MONTH('基金支出（县本级）'!Loan_Start)+Payment_Number,DAY('基金支出（县本级）'!Loan_Start))</definedName>
    <definedName name="Payment_Date" localSheetId="16">DATE(YEAR('8.社保基金预算(19)'!Loan_Start),MONTH('8.社保基金预算(19)'!Loan_Start)+Payment_Number,DAY('8.社保基金预算(19)'!Loan_Start))</definedName>
    <definedName name="Payment_Date" localSheetId="8">DATE(YEAR(Loan_Start),MONTH(Loan_Start)+Payment_Number,DAY(Loan_Start))</definedName>
    <definedName name="Payment_Date" localSheetId="2">DATE(YEAR(Loan_Start),MONTH(Loan_Start)+Payment_Number,DAY(Loan_Start))</definedName>
    <definedName name="Payment_Date" localSheetId="11">DATE(YEAR(Loan_Start),MONTH(Loan_Start)+Payment_Number,DAY(Loan_Start))</definedName>
    <definedName name="Payment_Date" localSheetId="7">DATE(YEAR(Loan_Start),MONTH(Loan_Start)+Payment_Number,DAY(Loan_Start))</definedName>
    <definedName name="Payment_Date">DATE(YEAR(Loan_Start),MONTH(Loan_Start)+Payment_Number,DAY(Loan_Start))</definedName>
    <definedName name="Poppy" localSheetId="12">#REF!</definedName>
    <definedName name="Poppy" localSheetId="13">#REF!</definedName>
    <definedName name="Poppy" localSheetId="15">#REF!</definedName>
    <definedName name="Poppy" localSheetId="16">#REF!</definedName>
    <definedName name="Poppy">#REF!</definedName>
    <definedName name="Princ" localSheetId="12">#REF!</definedName>
    <definedName name="Princ" localSheetId="13">#REF!</definedName>
    <definedName name="Princ" localSheetId="15">#REF!</definedName>
    <definedName name="Princ" localSheetId="16">#REF!</definedName>
    <definedName name="Princ">#REF!</definedName>
    <definedName name="_xlnm.Print_Area" localSheetId="12">'5.基金平衡表（16）'!$A$1:$F$14</definedName>
    <definedName name="_xlnm.Print_Area" localSheetId="13">'6.基金收入（17）'!$A$1:$F$18</definedName>
    <definedName name="_xlnm.Print_Area" localSheetId="15">'基金支出（县本级）'!$A$1:$M$111</definedName>
    <definedName name="_xlnm.Print_Area" localSheetId="3">'4.科目汇总表（14-15）'!$A$1:$W$32</definedName>
    <definedName name="_xlnm.Print_Area" localSheetId="10">商品和服务支出!$A$1:$BA$401</definedName>
    <definedName name="_xlnm.Print_Area" localSheetId="16">'8.社保基金预算(19)'!$A$1:$J$21</definedName>
    <definedName name="_xlnm.Print_Area" localSheetId="2">'3.收入'!$A$1:$F$40</definedName>
    <definedName name="_xlnm.Print_Area" localSheetId="1">'2.县本级统筹财力'!$A$1:$G$26</definedName>
    <definedName name="_xlnm.Print_Area" localSheetId="11">项目支出!$A$1:$W$318</definedName>
    <definedName name="Print_Area_MI" localSheetId="12">#REF!</definedName>
    <definedName name="Print_Area_MI" localSheetId="13">#REF!</definedName>
    <definedName name="Print_Area_MI" localSheetId="15">#REF!</definedName>
    <definedName name="Print_Area_MI" localSheetId="16">#REF!</definedName>
    <definedName name="Print_Area_MI">#REF!</definedName>
    <definedName name="Print_Area_Reset" localSheetId="6">OFFSET(Full_Print,0,0,'工资福利（公务员、参公人员）'!Last_Row)</definedName>
    <definedName name="Print_Area_Reset" localSheetId="12">OFFSET('5.基金平衡表（16）'!Full_Print,0,0,'5.基金平衡表（16）'!Last_Row)</definedName>
    <definedName name="Print_Area_Reset" localSheetId="13">OFFSET('6.基金收入（17）'!Full_Print,0,0,'6.基金收入（17）'!Last_Row)</definedName>
    <definedName name="Print_Area_Reset" localSheetId="15">OFFSET('基金支出（县本级）'!Full_Print,0,0,'基金支出（县本级）'!Last_Row)</definedName>
    <definedName name="Print_Area_Reset" localSheetId="16">OFFSET('8.社保基金预算(19)'!Full_Print,0,0,'8.社保基金预算(19)'!Last_Row)</definedName>
    <definedName name="Print_Area_Reset" localSheetId="8">OFFSET(Full_Print,0,0,'社会保障性支出（五险二金）'!Last_Row)</definedName>
    <definedName name="Print_Area_Reset" localSheetId="11">OFFSET(Full_Print,0,0,项目支出!Last_Row)</definedName>
    <definedName name="Print_Area_Reset" localSheetId="7">OFFSET(Full_Print,0,0,'工资福利（事业）'!Last_Row)</definedName>
    <definedName name="Print_Area_Reset">OFFSET(Full_Print,0,0,Last_Row)</definedName>
    <definedName name="_xlnm.Print_Titles" localSheetId="15">'基金支出（县本级）'!$3:$3</definedName>
    <definedName name="_xlnm.Print_Titles" localSheetId="3">'4.科目汇总表（14-15）'!$1:$7</definedName>
    <definedName name="_xlnm.Print_Titles" localSheetId="10">商品和服务支出!$3:$6</definedName>
    <definedName name="_xlnm.Print_Titles" localSheetId="1">'2.县本级统筹财力'!$1:$4</definedName>
    <definedName name="_xlnm.Print_Titles" localSheetId="11">项目支出!$3:$4</definedName>
    <definedName name="_xlnm.Print_Titles">#N/A</definedName>
    <definedName name="Prix_SMC" localSheetId="13">#N/A</definedName>
    <definedName name="Prix_SMC">'[10]10.2021.总支出'!Prix_SMC</definedName>
    <definedName name="Pv" localSheetId="12">#REF!</definedName>
    <definedName name="Pv" localSheetId="13">#REF!</definedName>
    <definedName name="Pv" localSheetId="15">#REF!</definedName>
    <definedName name="Pv" localSheetId="16">#REF!</definedName>
    <definedName name="Pv">#REF!</definedName>
    <definedName name="RDSon_25_1" localSheetId="12">#REF!</definedName>
    <definedName name="RDSon_25_1" localSheetId="13">#REF!</definedName>
    <definedName name="RDSon_25_1" localSheetId="15">#REF!</definedName>
    <definedName name="RDSon_25_1" localSheetId="16">#REF!</definedName>
    <definedName name="RDSon_25_1">#REF!</definedName>
    <definedName name="RDSon_25_2" localSheetId="12">#REF!</definedName>
    <definedName name="RDSon_25_2" localSheetId="13">#REF!</definedName>
    <definedName name="RDSon_25_2" localSheetId="15">#REF!</definedName>
    <definedName name="RDSon_25_2" localSheetId="16">#REF!</definedName>
    <definedName name="RDSon_25_2">#REF!</definedName>
    <definedName name="RDSon_Last_1" localSheetId="12">#REF!</definedName>
    <definedName name="RDSon_Last_1" localSheetId="13">#REF!</definedName>
    <definedName name="RDSon_Last_1" localSheetId="15">#REF!</definedName>
    <definedName name="RDSon_Last_1" localSheetId="16">#REF!</definedName>
    <definedName name="RDSon_Last_1">#REF!</definedName>
    <definedName name="RDSon_Last_2" localSheetId="12">#REF!</definedName>
    <definedName name="RDSon_Last_2" localSheetId="13">#REF!</definedName>
    <definedName name="RDSon_Last_2" localSheetId="15">#REF!</definedName>
    <definedName name="RDSon_Last_2" localSheetId="16">#REF!</definedName>
    <definedName name="RDSon_Last_2">#REF!</definedName>
    <definedName name="Ron" localSheetId="12">#REF!</definedName>
    <definedName name="Ron" localSheetId="13">#REF!</definedName>
    <definedName name="Ron" localSheetId="15">#REF!</definedName>
    <definedName name="Ron" localSheetId="16">#REF!</definedName>
    <definedName name="Ron">#REF!</definedName>
    <definedName name="Rth_H" localSheetId="12">#REF!</definedName>
    <definedName name="Rth_H" localSheetId="13">#REF!</definedName>
    <definedName name="Rth_H" localSheetId="15">#REF!</definedName>
    <definedName name="Rth_H" localSheetId="16">#REF!</definedName>
    <definedName name="Rth_H">#REF!</definedName>
    <definedName name="Rth_JA" localSheetId="12">#REF!</definedName>
    <definedName name="Rth_JA" localSheetId="13">#REF!</definedName>
    <definedName name="Rth_JA" localSheetId="15">#REF!</definedName>
    <definedName name="Rth_JA" localSheetId="16">#REF!</definedName>
    <definedName name="Rth_JA">#REF!</definedName>
    <definedName name="Rth_JC" localSheetId="12">#REF!</definedName>
    <definedName name="Rth_JC" localSheetId="13">#REF!</definedName>
    <definedName name="Rth_JC" localSheetId="15">#REF!</definedName>
    <definedName name="Rth_JC" localSheetId="16">#REF!</definedName>
    <definedName name="Rth_JC">#REF!</definedName>
    <definedName name="RTHca" localSheetId="12">#REF!</definedName>
    <definedName name="RTHca" localSheetId="13">#REF!</definedName>
    <definedName name="RTHca" localSheetId="15">#REF!</definedName>
    <definedName name="RTHca" localSheetId="16">#REF!</definedName>
    <definedName name="RTHca">#REF!</definedName>
    <definedName name="RTHjc" localSheetId="12">#REF!</definedName>
    <definedName name="RTHjc" localSheetId="13">#REF!</definedName>
    <definedName name="RTHjc" localSheetId="15">#REF!</definedName>
    <definedName name="RTHjc" localSheetId="16">#REF!</definedName>
    <definedName name="RTHjc">#REF!</definedName>
    <definedName name="Sched_Pay" localSheetId="12">#REF!</definedName>
    <definedName name="Sched_Pay" localSheetId="13">#REF!</definedName>
    <definedName name="Sched_Pay" localSheetId="15">#REF!</definedName>
    <definedName name="Sched_Pay" localSheetId="16">#REF!</definedName>
    <definedName name="Sched_Pay">#REF!</definedName>
    <definedName name="Scheduled_Extra_Payments" localSheetId="12">#REF!</definedName>
    <definedName name="Scheduled_Extra_Payments" localSheetId="13">#REF!</definedName>
    <definedName name="Scheduled_Extra_Payments" localSheetId="15">#REF!</definedName>
    <definedName name="Scheduled_Extra_Payments" localSheetId="16">#REF!</definedName>
    <definedName name="Scheduled_Extra_Payments">#REF!</definedName>
    <definedName name="Scheduled_Interest_Rate" localSheetId="12">#REF!</definedName>
    <definedName name="Scheduled_Interest_Rate" localSheetId="13">#REF!</definedName>
    <definedName name="Scheduled_Interest_Rate" localSheetId="15">#REF!</definedName>
    <definedName name="Scheduled_Interest_Rate" localSheetId="16">#REF!</definedName>
    <definedName name="Scheduled_Interest_Rate">#REF!</definedName>
    <definedName name="Scheduled_Monthly_Payment" localSheetId="12">#REF!</definedName>
    <definedName name="Scheduled_Monthly_Payment" localSheetId="13">#REF!</definedName>
    <definedName name="Scheduled_Monthly_Payment" localSheetId="15">#REF!</definedName>
    <definedName name="Scheduled_Monthly_Payment" localSheetId="16">#REF!</definedName>
    <definedName name="Scheduled_Monthly_Payment">#REF!</definedName>
    <definedName name="Strom_1" localSheetId="12">#REF!</definedName>
    <definedName name="Strom_1" localSheetId="13">#REF!</definedName>
    <definedName name="Strom_1" localSheetId="15">#REF!</definedName>
    <definedName name="Strom_1" localSheetId="16">#REF!</definedName>
    <definedName name="Strom_1">#REF!</definedName>
    <definedName name="Strom_2" localSheetId="12">#REF!</definedName>
    <definedName name="Strom_2" localSheetId="13">#REF!</definedName>
    <definedName name="Strom_2" localSheetId="15">#REF!</definedName>
    <definedName name="Strom_2" localSheetId="16">#REF!</definedName>
    <definedName name="Strom_2">#REF!</definedName>
    <definedName name="SUB75N05_06" localSheetId="12">#REF!</definedName>
    <definedName name="SUB75N05_06" localSheetId="13">#REF!</definedName>
    <definedName name="SUB75N05_06" localSheetId="15">#REF!</definedName>
    <definedName name="SUB75N05_06" localSheetId="16">#REF!</definedName>
    <definedName name="SUB75N05_06">#REF!</definedName>
    <definedName name="Temp_25" localSheetId="12">#REF!</definedName>
    <definedName name="Temp_25" localSheetId="13">#REF!</definedName>
    <definedName name="Temp_25" localSheetId="15">#REF!</definedName>
    <definedName name="Temp_25" localSheetId="16">#REF!</definedName>
    <definedName name="Temp_25">#REF!</definedName>
    <definedName name="Ti" localSheetId="12">#REF!</definedName>
    <definedName name="Ti" localSheetId="13">#REF!</definedName>
    <definedName name="Ti" localSheetId="15">#REF!</definedName>
    <definedName name="Ti" localSheetId="16">#REF!</definedName>
    <definedName name="Ti">#REF!</definedName>
    <definedName name="Tj" localSheetId="12">#REF!</definedName>
    <definedName name="Tj" localSheetId="13">#REF!</definedName>
    <definedName name="Tj" localSheetId="15">#REF!</definedName>
    <definedName name="Tj" localSheetId="16">#REF!</definedName>
    <definedName name="Tj">#REF!</definedName>
    <definedName name="TMos_ges_1" localSheetId="12">#REF!</definedName>
    <definedName name="TMos_ges_1" localSheetId="13">#REF!</definedName>
    <definedName name="TMos_ges_1" localSheetId="15">#REF!</definedName>
    <definedName name="TMos_ges_1" localSheetId="16">#REF!</definedName>
    <definedName name="TMos_ges_1">#REF!</definedName>
    <definedName name="TMos_ges_2" localSheetId="12">#REF!</definedName>
    <definedName name="TMos_ges_2" localSheetId="13">#REF!</definedName>
    <definedName name="TMos_ges_2" localSheetId="15">#REF!</definedName>
    <definedName name="TMos_ges_2" localSheetId="16">#REF!</definedName>
    <definedName name="TMos_ges_2">#REF!</definedName>
    <definedName name="Total_Interest" localSheetId="12">#REF!</definedName>
    <definedName name="Total_Interest" localSheetId="13">#REF!</definedName>
    <definedName name="Total_Interest" localSheetId="15">#REF!</definedName>
    <definedName name="Total_Interest" localSheetId="16">#REF!</definedName>
    <definedName name="Total_Interest">#REF!</definedName>
    <definedName name="Total_Pay" localSheetId="12">#REF!</definedName>
    <definedName name="Total_Pay" localSheetId="13">#REF!</definedName>
    <definedName name="Total_Pay" localSheetId="15">#REF!</definedName>
    <definedName name="Total_Pay" localSheetId="16">#REF!</definedName>
    <definedName name="Total_Pay">#REF!</definedName>
    <definedName name="Total_Payment" localSheetId="6">Scheduled_Payment+Extra_Payment</definedName>
    <definedName name="Total_Payment" localSheetId="12">Scheduled_Payment+Extra_Payment</definedName>
    <definedName name="Total_Payment" localSheetId="13">Scheduled_Payment+Extra_Payment</definedName>
    <definedName name="Total_Payment" localSheetId="15">Scheduled_Payment+Extra_Payment</definedName>
    <definedName name="Total_Payment" localSheetId="16">Scheduled_Payment+Extra_Payment</definedName>
    <definedName name="Total_Payment" localSheetId="8">Scheduled_Payment+Extra_Payment</definedName>
    <definedName name="Total_Payment" localSheetId="2">Scheduled_Payment+Extra_Payment</definedName>
    <definedName name="Total_Payment" localSheetId="11">Scheduled_Payment+Extra_Payment</definedName>
    <definedName name="Total_Payment" localSheetId="7">Scheduled_Payment+Extra_Payment</definedName>
    <definedName name="Total_Payment">Scheduled_Payment+Extra_Payment</definedName>
    <definedName name="Tu" localSheetId="12">#REF!</definedName>
    <definedName name="Tu" localSheetId="13">#REF!</definedName>
    <definedName name="Tu" localSheetId="15">#REF!</definedName>
    <definedName name="Tu" localSheetId="16">#REF!</definedName>
    <definedName name="Tu">#REF!</definedName>
    <definedName name="TUmax" localSheetId="12">#REF!</definedName>
    <definedName name="TUmax" localSheetId="13">#REF!</definedName>
    <definedName name="TUmax" localSheetId="15">#REF!</definedName>
    <definedName name="TUmax" localSheetId="16">#REF!</definedName>
    <definedName name="TUmax">#REF!</definedName>
    <definedName name="Un" localSheetId="12">#REF!</definedName>
    <definedName name="Un" localSheetId="13">#REF!</definedName>
    <definedName name="Un" localSheetId="15">#REF!</definedName>
    <definedName name="Un" localSheetId="16">#REF!</definedName>
    <definedName name="Un">#REF!</definedName>
    <definedName name="Values_Entered" localSheetId="6">IF(Loan_Amount*Interest_Rate*Loan_Years*Loan_Start&gt;0,1,0)</definedName>
    <definedName name="Values_Entered" localSheetId="12">IF('5.基金平衡表（16）'!Loan_Amount*'5.基金平衡表（16）'!Interest_Rate*'5.基金平衡表（16）'!Loan_Years*'5.基金平衡表（16）'!Loan_Start&gt;0,1,0)</definedName>
    <definedName name="Values_Entered" localSheetId="13">IF('6.基金收入（17）'!Loan_Amount*'6.基金收入（17）'!Interest_Rate*'6.基金收入（17）'!Loan_Years*'6.基金收入（17）'!Loan_Start&gt;0,1,0)</definedName>
    <definedName name="Values_Entered" localSheetId="15">IF('基金支出（县本级）'!Loan_Amount*'基金支出（县本级）'!Interest_Rate*'基金支出（县本级）'!Loan_Years*'基金支出（县本级）'!Loan_Start&gt;0,1,0)</definedName>
    <definedName name="Values_Entered" localSheetId="16">IF('8.社保基金预算(19)'!Loan_Amount*'8.社保基金预算(19)'!Interest_Rate*'8.社保基金预算(19)'!Loan_Years*'8.社保基金预算(19)'!Loan_Start&gt;0,1,0)</definedName>
    <definedName name="Values_Entered" localSheetId="8">IF(Loan_Amount*Interest_Rate*Loan_Years*Loan_Start&gt;0,1,0)</definedName>
    <definedName name="Values_Entered" localSheetId="11">IF(Loan_Amount*Interest_Rate*Loan_Years*Loan_Start&gt;0,1,0)</definedName>
    <definedName name="Values_Entered" localSheetId="7">IF(Loan_Amount*Interest_Rate*Loan_Years*Loan_Start&gt;0,1,0)</definedName>
    <definedName name="Values_Entered">IF(Loan_Amount*Interest_Rate*Loan_Years*Loan_Start&gt;0,1,0)</definedName>
    <definedName name="wrn.Cash._.Flow._.Trackers." localSheetId="13" hidden="1">{"Summ CFT",#N/A,FALSE,"CFT";"Full CFT",#N/A,FALSE,"CFT"}</definedName>
    <definedName name="wrn.Cash._.Flow._.Trackers." hidden="1">{"Summ CFT",#N/A,FALSE,"CFT";"Full CFT",#N/A,FALSE,"CFT"}</definedName>
    <definedName name="wrn.Full._.Package._.Print." localSheetId="13"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w" localSheetId="12">#REF!</definedName>
    <definedName name="ww" localSheetId="13">#REF!</definedName>
    <definedName name="ww" localSheetId="15">#REF!</definedName>
    <definedName name="ww" localSheetId="16">#REF!</definedName>
    <definedName name="ww">#REF!</definedName>
    <definedName name="Zustand1" localSheetId="12">#REF!</definedName>
    <definedName name="Zustand1" localSheetId="13">#REF!</definedName>
    <definedName name="Zustand1" localSheetId="15">#REF!</definedName>
    <definedName name="Zustand1" localSheetId="16">#REF!</definedName>
    <definedName name="Zustand1">#REF!</definedName>
    <definedName name="Zustand2" localSheetId="12">#REF!</definedName>
    <definedName name="Zustand2" localSheetId="13">#REF!</definedName>
    <definedName name="Zustand2" localSheetId="15">#REF!</definedName>
    <definedName name="Zustand2" localSheetId="16">#REF!</definedName>
    <definedName name="Zustand2">#REF!</definedName>
    <definedName name="北河西路" localSheetId="12">#REF!</definedName>
    <definedName name="北河西路" localSheetId="13">#REF!</definedName>
    <definedName name="北河西路" localSheetId="15">#REF!</definedName>
    <definedName name="北河西路" localSheetId="16">#REF!</definedName>
    <definedName name="北河西路">#REF!</definedName>
    <definedName name="标准厂房代建款" localSheetId="12">#REF!</definedName>
    <definedName name="标准厂房代建款" localSheetId="13">#REF!</definedName>
    <definedName name="标准厂房代建款" localSheetId="15">#REF!</definedName>
    <definedName name="标准厂房代建款" localSheetId="16">#REF!</definedName>
    <definedName name="标准厂房代建款">#REF!</definedName>
    <definedName name="表" localSheetId="12">#REF!</definedName>
    <definedName name="表" localSheetId="13">#REF!</definedName>
    <definedName name="表" localSheetId="15">#REF!</definedName>
    <definedName name="表" localSheetId="16">#REF!</definedName>
    <definedName name="表">#REF!</definedName>
    <definedName name="不锈钢产业" localSheetId="12">#REF!</definedName>
    <definedName name="不锈钢产业" localSheetId="13">#REF!</definedName>
    <definedName name="不锈钢产业" localSheetId="15">#REF!</definedName>
    <definedName name="不锈钢产业" localSheetId="16">#REF!</definedName>
    <definedName name="不锈钢产业">#REF!</definedName>
    <definedName name="处罚事项1" localSheetId="12">#REF!</definedName>
    <definedName name="处罚事项1" localSheetId="13">#REF!</definedName>
    <definedName name="处罚事项1" localSheetId="15">#REF!</definedName>
    <definedName name="处罚事项1" localSheetId="16">#REF!</definedName>
    <definedName name="处罚事项1">#REF!</definedName>
    <definedName name="档案馆" localSheetId="12">#REF!</definedName>
    <definedName name="档案馆" localSheetId="13">#REF!</definedName>
    <definedName name="档案馆" localSheetId="15">#REF!</definedName>
    <definedName name="档案馆" localSheetId="16">#REF!</definedName>
    <definedName name="档案馆">#REF!</definedName>
    <definedName name="第九期旧改" localSheetId="12">#REF!</definedName>
    <definedName name="第九期旧改" localSheetId="13">#REF!</definedName>
    <definedName name="第九期旧改" localSheetId="15">#REF!</definedName>
    <definedName name="第九期旧改" localSheetId="16">#REF!</definedName>
    <definedName name="第九期旧改">#REF!</definedName>
    <definedName name="东环路扩建项目" localSheetId="12">#REF!</definedName>
    <definedName name="东环路扩建项目" localSheetId="13">#REF!</definedName>
    <definedName name="东环路扩建项目" localSheetId="15">#REF!</definedName>
    <definedName name="东环路扩建项目" localSheetId="16">#REF!</definedName>
    <definedName name="东环路扩建项目">#REF!</definedName>
    <definedName name="东门市场改扩建" localSheetId="12">#REF!</definedName>
    <definedName name="东门市场改扩建" localSheetId="13">#REF!</definedName>
    <definedName name="东门市场改扩建" localSheetId="15">#REF!</definedName>
    <definedName name="东门市场改扩建" localSheetId="16">#REF!</definedName>
    <definedName name="东门市场改扩建">#REF!</definedName>
    <definedName name="额外全额" localSheetId="6">IF('工资福利（公务员、参公人员）'!Values_Entered,Header_Row+'工资福利（公务员、参公人员）'!Number_of_Payments,Header_Row)</definedName>
    <definedName name="额外全额" localSheetId="12">IF('5.基金平衡表（16）'!Values_Entered,'5.基金平衡表（16）'!Header_Row+'5.基金平衡表（16）'!Number_of_Payments,'5.基金平衡表（16）'!Header_Row)</definedName>
    <definedName name="额外全额" localSheetId="13">IF('6.基金收入（17）'!Values_Entered,'6.基金收入（17）'!Header_Row+'6.基金收入（17）'!Number_of_Payments,'6.基金收入（17）'!Header_Row)</definedName>
    <definedName name="额外全额" localSheetId="15">IF('基金支出（县本级）'!Values_Entered,'基金支出（县本级）'!Header_Row+'基金支出（县本级）'!Number_of_Payments,'基金支出（县本级）'!Header_Row)</definedName>
    <definedName name="额外全额" localSheetId="16">IF('8.社保基金预算(19)'!Values_Entered,'8.社保基金预算(19)'!Header_Row+'8.社保基金预算(19)'!Number_of_Payments,'8.社保基金预算(19)'!Header_Row)</definedName>
    <definedName name="额外全额" localSheetId="8">IF('社会保障性支出（五险二金）'!Values_Entered,Header_Row+'社会保障性支出（五险二金）'!Number_of_Payments,Header_Row)</definedName>
    <definedName name="额外全额" localSheetId="11">IF(项目支出!Values_Entered,Header_Row+项目支出!Number_of_Payments,Header_Row)</definedName>
    <definedName name="额外全额" localSheetId="7">IF('工资福利（事业）'!Values_Entered,Header_Row+'工资福利（事业）'!Number_of_Payments,Header_Row)</definedName>
    <definedName name="额外全额">IF(Values_Entered,Header_Row+Number_of_Payments,Header_Row)</definedName>
    <definedName name="福利中心" localSheetId="12">#REF!</definedName>
    <definedName name="福利中心" localSheetId="13">#REF!</definedName>
    <definedName name="福利中心" localSheetId="15">#REF!</definedName>
    <definedName name="福利中心" localSheetId="16">#REF!</definedName>
    <definedName name="福利中心">#REF!</definedName>
    <definedName name="工商大楼征迁" localSheetId="12">#REF!</definedName>
    <definedName name="工商大楼征迁" localSheetId="13">#REF!</definedName>
    <definedName name="工商大楼征迁" localSheetId="15">#REF!</definedName>
    <definedName name="工商大楼征迁" localSheetId="16">#REF!</definedName>
    <definedName name="工商大楼征迁">#REF!</definedName>
    <definedName name="公安局" localSheetId="12">#REF!</definedName>
    <definedName name="公安局" localSheetId="13">#REF!</definedName>
    <definedName name="公安局" localSheetId="15">#REF!</definedName>
    <definedName name="公安局" localSheetId="16">#REF!</definedName>
    <definedName name="公安局">#REF!</definedName>
    <definedName name="公路建设" localSheetId="12">#REF!</definedName>
    <definedName name="公路建设" localSheetId="13">#REF!</definedName>
    <definedName name="公路建设" localSheetId="15">#REF!</definedName>
    <definedName name="公路建设" localSheetId="16">#REF!</definedName>
    <definedName name="公路建设">#REF!</definedName>
    <definedName name="公墓地" localSheetId="12">#REF!</definedName>
    <definedName name="公墓地" localSheetId="13">#REF!</definedName>
    <definedName name="公墓地" localSheetId="15">#REF!</definedName>
    <definedName name="公墓地" localSheetId="16">#REF!</definedName>
    <definedName name="公墓地">#REF!</definedName>
    <definedName name="古武高速公路项目" localSheetId="12">#REF!</definedName>
    <definedName name="古武高速公路项目" localSheetId="13">#REF!</definedName>
    <definedName name="古武高速公路项目" localSheetId="15">#REF!</definedName>
    <definedName name="古武高速公路项目" localSheetId="16">#REF!</definedName>
    <definedName name="古武高速公路项目">#REF!</definedName>
    <definedName name="广告商档案" localSheetId="12">#REF!</definedName>
    <definedName name="广告商档案" localSheetId="13">#REF!</definedName>
    <definedName name="广告商档案" localSheetId="15">#REF!</definedName>
    <definedName name="广告商档案" localSheetId="16">#REF!</definedName>
    <definedName name="广告商档案">#REF!</definedName>
    <definedName name="汇率" localSheetId="12">#REF!</definedName>
    <definedName name="汇率" localSheetId="13">#REF!</definedName>
    <definedName name="汇率" localSheetId="15">#REF!</definedName>
    <definedName name="汇率" localSheetId="16">#REF!</definedName>
    <definedName name="汇率">#REF!</definedName>
    <definedName name="汇总表">[12]按类别!$A$52564</definedName>
    <definedName name="汇总表1">[1]按类别!$A$52564</definedName>
    <definedName name="寄宿制学校" localSheetId="13">#N/A</definedName>
    <definedName name="寄宿制学校">'[10]10.2021.总支出'!寄宿制学校</definedName>
    <definedName name="简单快乐福建" localSheetId="13">#N/A</definedName>
    <definedName name="简单快乐福建">'[10]10.2021.总支出'!简单快乐福建</definedName>
    <definedName name="教育资金农田水利建设资金计提" localSheetId="12">#REF!</definedName>
    <definedName name="教育资金农田水利建设资金计提" localSheetId="13">#REF!</definedName>
    <definedName name="教育资金农田水利建设资金计提" localSheetId="15">#REF!</definedName>
    <definedName name="教育资金农田水利建设资金计提" localSheetId="16">#REF!</definedName>
    <definedName name="教育资金农田水利建设资金计提">#REF!</definedName>
    <definedName name="借用" localSheetId="12">#REF!</definedName>
    <definedName name="借用" localSheetId="13">#REF!</definedName>
    <definedName name="借用" localSheetId="15">#REF!</definedName>
    <definedName name="借用" localSheetId="16">#REF!</definedName>
    <definedName name="借用">#REF!</definedName>
    <definedName name="借用1" localSheetId="12">#REF!</definedName>
    <definedName name="借用1" localSheetId="13">#REF!</definedName>
    <definedName name="借用1" localSheetId="15">#REF!</definedName>
    <definedName name="借用1" localSheetId="16">#REF!</definedName>
    <definedName name="借用1">#REF!</definedName>
    <definedName name="经常性汇总表">[1]按类别!$A$52564</definedName>
    <definedName name="经常性支出汇总表">[1]按类别!$A$52564</definedName>
    <definedName name="客都汇旅游综合体至梁野山景区入口公路改造和绿化提升工程" localSheetId="12">#REF!</definedName>
    <definedName name="客都汇旅游综合体至梁野山景区入口公路改造和绿化提升工程" localSheetId="13">#REF!</definedName>
    <definedName name="客都汇旅游综合体至梁野山景区入口公路改造和绿化提升工程" localSheetId="15">#REF!</definedName>
    <definedName name="客都汇旅游综合体至梁野山景区入口公路改造和绿化提升工程" localSheetId="16">#REF!</definedName>
    <definedName name="客都汇旅游综合体至梁野山景区入口公路改造和绿化提升工程">#REF!</definedName>
    <definedName name="客家生态文化城" localSheetId="12">#REF!</definedName>
    <definedName name="客家生态文化城" localSheetId="13">#REF!</definedName>
    <definedName name="客家生态文化城" localSheetId="15">#REF!</definedName>
    <definedName name="客家生态文化城" localSheetId="16">#REF!</definedName>
    <definedName name="客家生态文化城">#REF!</definedName>
    <definedName name="梁野大道" localSheetId="12">#REF!</definedName>
    <definedName name="梁野大道" localSheetId="13">#REF!</definedName>
    <definedName name="梁野大道" localSheetId="15">#REF!</definedName>
    <definedName name="梁野大道" localSheetId="16">#REF!</definedName>
    <definedName name="梁野大道">#REF!</definedName>
    <definedName name="梁野山及旅游综合体" localSheetId="12">#REF!</definedName>
    <definedName name="梁野山及旅游综合体" localSheetId="13">#REF!</definedName>
    <definedName name="梁野山及旅游综合体" localSheetId="15">#REF!</definedName>
    <definedName name="梁野山及旅游综合体" localSheetId="16">#REF!</definedName>
    <definedName name="梁野山及旅游综合体">#REF!</definedName>
    <definedName name="龙洲公司及关联公司" localSheetId="12">#REF!</definedName>
    <definedName name="龙洲公司及关联公司" localSheetId="13">#REF!</definedName>
    <definedName name="龙洲公司及关联公司" localSheetId="15">#REF!</definedName>
    <definedName name="龙洲公司及关联公司" localSheetId="16">#REF!</definedName>
    <definedName name="龙洲公司及关联公司">#REF!</definedName>
    <definedName name="宁象公路" localSheetId="12">#REF!</definedName>
    <definedName name="宁象公路" localSheetId="13">#REF!</definedName>
    <definedName name="宁象公路" localSheetId="15">#REF!</definedName>
    <definedName name="宁象公路" localSheetId="16">#REF!</definedName>
    <definedName name="宁象公路">#REF!</definedName>
    <definedName name="农业土地开发资金" localSheetId="12">#REF!</definedName>
    <definedName name="农业土地开发资金" localSheetId="13">#REF!</definedName>
    <definedName name="农业土地开发资金" localSheetId="15">#REF!</definedName>
    <definedName name="农业土地开发资金" localSheetId="16">#REF!</definedName>
    <definedName name="农业土地开发资金">#REF!</definedName>
    <definedName name="平川镇工作经费" localSheetId="12">#REF!</definedName>
    <definedName name="平川镇工作经费" localSheetId="13">#REF!</definedName>
    <definedName name="平川镇工作经费" localSheetId="15">#REF!</definedName>
    <definedName name="平川镇工作经费" localSheetId="16">#REF!</definedName>
    <definedName name="平川镇工作经费">#REF!</definedName>
    <definedName name="平通路平通桥" localSheetId="12">#REF!</definedName>
    <definedName name="平通路平通桥" localSheetId="13">#REF!</definedName>
    <definedName name="平通路平通桥" localSheetId="15">#REF!</definedName>
    <definedName name="平通路平通桥" localSheetId="16">#REF!</definedName>
    <definedName name="平通路平通桥">#REF!</definedName>
    <definedName name="企业基础设施建设补助明细表" localSheetId="12">#REF!</definedName>
    <definedName name="企业基础设施建设补助明细表" localSheetId="13">#REF!</definedName>
    <definedName name="企业基础设施建设补助明细表" localSheetId="15">#REF!</definedName>
    <definedName name="企业基础设施建设补助明细表" localSheetId="16">#REF!</definedName>
    <definedName name="企业基础设施建设补助明细表">#REF!</definedName>
    <definedName name="人武部" localSheetId="12">#REF!</definedName>
    <definedName name="人武部" localSheetId="13">#REF!</definedName>
    <definedName name="人武部" localSheetId="15">#REF!</definedName>
    <definedName name="人武部" localSheetId="16">#REF!</definedName>
    <definedName name="人武部">#REF!</definedName>
    <definedName name="生产列1" localSheetId="12">#REF!</definedName>
    <definedName name="生产列1" localSheetId="13">#REF!</definedName>
    <definedName name="生产列1" localSheetId="15">#REF!</definedName>
    <definedName name="生产列1" localSheetId="16">#REF!</definedName>
    <definedName name="生产列1">#REF!</definedName>
    <definedName name="生产列11" localSheetId="12">#REF!</definedName>
    <definedName name="生产列11" localSheetId="13">#REF!</definedName>
    <definedName name="生产列11" localSheetId="15">#REF!</definedName>
    <definedName name="生产列11" localSheetId="16">#REF!</definedName>
    <definedName name="生产列11">#REF!</definedName>
    <definedName name="生产列15" localSheetId="12">#REF!</definedName>
    <definedName name="生产列15" localSheetId="13">#REF!</definedName>
    <definedName name="生产列15" localSheetId="15">#REF!</definedName>
    <definedName name="生产列15" localSheetId="16">#REF!</definedName>
    <definedName name="生产列15">#REF!</definedName>
    <definedName name="生产列16" localSheetId="12">#REF!</definedName>
    <definedName name="生产列16" localSheetId="13">#REF!</definedName>
    <definedName name="生产列16" localSheetId="15">#REF!</definedName>
    <definedName name="生产列16" localSheetId="16">#REF!</definedName>
    <definedName name="生产列16">#REF!</definedName>
    <definedName name="生产列17" localSheetId="12">#REF!</definedName>
    <definedName name="生产列17" localSheetId="13">#REF!</definedName>
    <definedName name="生产列17" localSheetId="15">#REF!</definedName>
    <definedName name="生产列17" localSheetId="16">#REF!</definedName>
    <definedName name="生产列17">#REF!</definedName>
    <definedName name="生产列19" localSheetId="12">#REF!</definedName>
    <definedName name="生产列19" localSheetId="13">#REF!</definedName>
    <definedName name="生产列19" localSheetId="15">#REF!</definedName>
    <definedName name="生产列19" localSheetId="16">#REF!</definedName>
    <definedName name="生产列19">#REF!</definedName>
    <definedName name="生产列2" localSheetId="12">#REF!</definedName>
    <definedName name="生产列2" localSheetId="13">#REF!</definedName>
    <definedName name="生产列2" localSheetId="15">#REF!</definedName>
    <definedName name="生产列2" localSheetId="16">#REF!</definedName>
    <definedName name="生产列2">#REF!</definedName>
    <definedName name="生产列20" localSheetId="12">#REF!</definedName>
    <definedName name="生产列20" localSheetId="13">#REF!</definedName>
    <definedName name="生产列20" localSheetId="15">#REF!</definedName>
    <definedName name="生产列20" localSheetId="16">#REF!</definedName>
    <definedName name="生产列20">#REF!</definedName>
    <definedName name="生产列3" localSheetId="12">#REF!</definedName>
    <definedName name="生产列3" localSheetId="13">#REF!</definedName>
    <definedName name="生产列3" localSheetId="15">#REF!</definedName>
    <definedName name="生产列3" localSheetId="16">#REF!</definedName>
    <definedName name="生产列3">#REF!</definedName>
    <definedName name="生产列4" localSheetId="12">#REF!</definedName>
    <definedName name="生产列4" localSheetId="13">#REF!</definedName>
    <definedName name="生产列4" localSheetId="15">#REF!</definedName>
    <definedName name="生产列4" localSheetId="16">#REF!</definedName>
    <definedName name="生产列4">#REF!</definedName>
    <definedName name="生产列5" localSheetId="12">#REF!</definedName>
    <definedName name="生产列5" localSheetId="13">#REF!</definedName>
    <definedName name="生产列5" localSheetId="15">#REF!</definedName>
    <definedName name="生产列5" localSheetId="16">#REF!</definedName>
    <definedName name="生产列5">#REF!</definedName>
    <definedName name="生产列6" localSheetId="12">#REF!</definedName>
    <definedName name="生产列6" localSheetId="13">#REF!</definedName>
    <definedName name="生产列6" localSheetId="15">#REF!</definedName>
    <definedName name="生产列6" localSheetId="16">#REF!</definedName>
    <definedName name="生产列6">#REF!</definedName>
    <definedName name="生产列7" localSheetId="12">#REF!</definedName>
    <definedName name="生产列7" localSheetId="13">#REF!</definedName>
    <definedName name="生产列7" localSheetId="15">#REF!</definedName>
    <definedName name="生产列7" localSheetId="16">#REF!</definedName>
    <definedName name="生产列7">#REF!</definedName>
    <definedName name="生产列8" localSheetId="12">#REF!</definedName>
    <definedName name="生产列8" localSheetId="13">#REF!</definedName>
    <definedName name="生产列8" localSheetId="15">#REF!</definedName>
    <definedName name="生产列8" localSheetId="16">#REF!</definedName>
    <definedName name="生产列8">#REF!</definedName>
    <definedName name="生产列9" localSheetId="12">#REF!</definedName>
    <definedName name="生产列9" localSheetId="13">#REF!</definedName>
    <definedName name="生产列9" localSheetId="15">#REF!</definedName>
    <definedName name="生产列9" localSheetId="16">#REF!</definedName>
    <definedName name="生产列9">#REF!</definedName>
    <definedName name="生产期" localSheetId="12">#REF!</definedName>
    <definedName name="生产期" localSheetId="13">#REF!</definedName>
    <definedName name="生产期" localSheetId="15">#REF!</definedName>
    <definedName name="生产期" localSheetId="16">#REF!</definedName>
    <definedName name="生产期">#REF!</definedName>
    <definedName name="生产期1" localSheetId="12">#REF!</definedName>
    <definedName name="生产期1" localSheetId="13">#REF!</definedName>
    <definedName name="生产期1" localSheetId="15">#REF!</definedName>
    <definedName name="生产期1" localSheetId="16">#REF!</definedName>
    <definedName name="生产期1">#REF!</definedName>
    <definedName name="生产期11" localSheetId="12">#REF!</definedName>
    <definedName name="生产期11" localSheetId="13">#REF!</definedName>
    <definedName name="生产期11" localSheetId="15">#REF!</definedName>
    <definedName name="生产期11" localSheetId="16">#REF!</definedName>
    <definedName name="生产期11">#REF!</definedName>
    <definedName name="生产期15" localSheetId="12">#REF!</definedName>
    <definedName name="生产期15" localSheetId="13">#REF!</definedName>
    <definedName name="生产期15" localSheetId="15">#REF!</definedName>
    <definedName name="生产期15" localSheetId="16">#REF!</definedName>
    <definedName name="生产期15">#REF!</definedName>
    <definedName name="生产期16" localSheetId="12">#REF!</definedName>
    <definedName name="生产期16" localSheetId="13">#REF!</definedName>
    <definedName name="生产期16" localSheetId="15">#REF!</definedName>
    <definedName name="生产期16" localSheetId="16">#REF!</definedName>
    <definedName name="生产期16">#REF!</definedName>
    <definedName name="生产期17" localSheetId="12">#REF!</definedName>
    <definedName name="生产期17" localSheetId="13">#REF!</definedName>
    <definedName name="生产期17" localSheetId="15">#REF!</definedName>
    <definedName name="生产期17" localSheetId="16">#REF!</definedName>
    <definedName name="生产期17">#REF!</definedName>
    <definedName name="生产期19" localSheetId="12">#REF!</definedName>
    <definedName name="生产期19" localSheetId="13">#REF!</definedName>
    <definedName name="生产期19" localSheetId="15">#REF!</definedName>
    <definedName name="生产期19" localSheetId="16">#REF!</definedName>
    <definedName name="生产期19">#REF!</definedName>
    <definedName name="生产期2" localSheetId="12">#REF!</definedName>
    <definedName name="生产期2" localSheetId="13">#REF!</definedName>
    <definedName name="生产期2" localSheetId="15">#REF!</definedName>
    <definedName name="生产期2" localSheetId="16">#REF!</definedName>
    <definedName name="生产期2">#REF!</definedName>
    <definedName name="生产期20" localSheetId="12">#REF!</definedName>
    <definedName name="生产期20" localSheetId="13">#REF!</definedName>
    <definedName name="生产期20" localSheetId="15">#REF!</definedName>
    <definedName name="生产期20" localSheetId="16">#REF!</definedName>
    <definedName name="生产期20">#REF!</definedName>
    <definedName name="生产期3" localSheetId="12">#REF!</definedName>
    <definedName name="生产期3" localSheetId="13">#REF!</definedName>
    <definedName name="生产期3" localSheetId="15">#REF!</definedName>
    <definedName name="生产期3" localSheetId="16">#REF!</definedName>
    <definedName name="生产期3">#REF!</definedName>
    <definedName name="生产期4" localSheetId="12">#REF!</definedName>
    <definedName name="生产期4" localSheetId="13">#REF!</definedName>
    <definedName name="生产期4" localSheetId="15">#REF!</definedName>
    <definedName name="生产期4" localSheetId="16">#REF!</definedName>
    <definedName name="生产期4">#REF!</definedName>
    <definedName name="生产期5" localSheetId="12">#REF!</definedName>
    <definedName name="生产期5" localSheetId="13">#REF!</definedName>
    <definedName name="生产期5" localSheetId="15">#REF!</definedName>
    <definedName name="生产期5" localSheetId="16">#REF!</definedName>
    <definedName name="生产期5">#REF!</definedName>
    <definedName name="生产期6" localSheetId="12">#REF!</definedName>
    <definedName name="生产期6" localSheetId="13">#REF!</definedName>
    <definedName name="生产期6" localSheetId="15">#REF!</definedName>
    <definedName name="生产期6" localSheetId="16">#REF!</definedName>
    <definedName name="生产期6">#REF!</definedName>
    <definedName name="生产期7" localSheetId="12">#REF!</definedName>
    <definedName name="生产期7" localSheetId="13">#REF!</definedName>
    <definedName name="生产期7" localSheetId="15">#REF!</definedName>
    <definedName name="生产期7" localSheetId="16">#REF!</definedName>
    <definedName name="生产期7">#REF!</definedName>
    <definedName name="生产期8" localSheetId="12">#REF!</definedName>
    <definedName name="生产期8" localSheetId="13">#REF!</definedName>
    <definedName name="生产期8" localSheetId="15">#REF!</definedName>
    <definedName name="生产期8" localSheetId="16">#REF!</definedName>
    <definedName name="生产期8">#REF!</definedName>
    <definedName name="生产期9" localSheetId="12">#REF!</definedName>
    <definedName name="生产期9" localSheetId="13">#REF!</definedName>
    <definedName name="生产期9" localSheetId="15">#REF!</definedName>
    <definedName name="生产期9" localSheetId="16">#REF!</definedName>
    <definedName name="生产期9">#REF!</definedName>
    <definedName name="狮岩景区工程" localSheetId="12">#REF!</definedName>
    <definedName name="狮岩景区工程" localSheetId="13">#REF!</definedName>
    <definedName name="狮岩景区工程" localSheetId="15">#REF!</definedName>
    <definedName name="狮岩景区工程" localSheetId="16">#REF!</definedName>
    <definedName name="狮岩景区工程">#REF!</definedName>
    <definedName name="十方工业集中区" localSheetId="12">#REF!</definedName>
    <definedName name="十方工业集中区" localSheetId="13">#REF!</definedName>
    <definedName name="十方工业集中区" localSheetId="15">#REF!</definedName>
    <definedName name="十方工业集中区" localSheetId="16">#REF!</definedName>
    <definedName name="十方工业集中区">#REF!</definedName>
    <definedName name="十方消防站" localSheetId="12">#REF!</definedName>
    <definedName name="十方消防站" localSheetId="13">#REF!</definedName>
    <definedName name="十方消防站" localSheetId="15">#REF!</definedName>
    <definedName name="十方消防站" localSheetId="16">#REF!</definedName>
    <definedName name="十方消防站">#REF!</definedName>
    <definedName name="市政建设" localSheetId="12">#REF!</definedName>
    <definedName name="市政建设" localSheetId="13">#REF!</definedName>
    <definedName name="市政建设" localSheetId="15">#REF!</definedName>
    <definedName name="市政建设" localSheetId="16">#REF!</definedName>
    <definedName name="市政建设">#REF!</definedName>
    <definedName name="收储资金" localSheetId="12">#REF!</definedName>
    <definedName name="收储资金" localSheetId="13">#REF!</definedName>
    <definedName name="收储资金" localSheetId="15">#REF!</definedName>
    <definedName name="收储资金" localSheetId="16">#REF!</definedName>
    <definedName name="收储资金">#REF!</definedName>
    <definedName name="水源建设" localSheetId="12">#REF!</definedName>
    <definedName name="水源建设" localSheetId="13">#REF!</definedName>
    <definedName name="水源建设" localSheetId="15">#REF!</definedName>
    <definedName name="水源建设" localSheetId="16">#REF!</definedName>
    <definedName name="水源建设">#REF!</definedName>
    <definedName name="台湾新村" localSheetId="12">#REF!</definedName>
    <definedName name="台湾新村" localSheetId="13">#REF!</definedName>
    <definedName name="台湾新村" localSheetId="15">#REF!</definedName>
    <definedName name="台湾新村" localSheetId="16">#REF!</definedName>
    <definedName name="台湾新村">#REF!</definedName>
    <definedName name="万星影视城" localSheetId="12">#REF!</definedName>
    <definedName name="万星影视城" localSheetId="13">#REF!</definedName>
    <definedName name="万星影视城" localSheetId="15">#REF!</definedName>
    <definedName name="万星影视城" localSheetId="16">#REF!</definedName>
    <definedName name="万星影视城">#REF!</definedName>
    <definedName name="武平大道" localSheetId="12">#REF!</definedName>
    <definedName name="武平大道" localSheetId="13">#REF!</definedName>
    <definedName name="武平大道" localSheetId="15">#REF!</definedName>
    <definedName name="武平大道" localSheetId="16">#REF!</definedName>
    <definedName name="武平大道">#REF!</definedName>
    <definedName name="县工业园区" localSheetId="12">#REF!</definedName>
    <definedName name="县工业园区" localSheetId="13">#REF!</definedName>
    <definedName name="县工业园区" localSheetId="15">#REF!</definedName>
    <definedName name="县工业园区" localSheetId="16">#REF!</definedName>
    <definedName name="县工业园区">#REF!</definedName>
    <definedName name="岩前工业集中区" localSheetId="12">#REF!</definedName>
    <definedName name="岩前工业集中区" localSheetId="13">#REF!</definedName>
    <definedName name="岩前工业集中区" localSheetId="15">#REF!</definedName>
    <definedName name="岩前工业集中区" localSheetId="16">#REF!</definedName>
    <definedName name="岩前工业集中区">#REF!</definedName>
    <definedName name="一园二区" localSheetId="12">#REF!</definedName>
    <definedName name="一园二区" localSheetId="13">#REF!</definedName>
    <definedName name="一园二区" localSheetId="15">#REF!</definedName>
    <definedName name="一园二区" localSheetId="16">#REF!</definedName>
    <definedName name="一园二区">#REF!</definedName>
    <definedName name="预算汇总表">[1]按类别!$A$52564</definedName>
    <definedName name="园丁桥" localSheetId="12">#REF!</definedName>
    <definedName name="园丁桥" localSheetId="13">#REF!</definedName>
    <definedName name="园丁桥" localSheetId="15">#REF!</definedName>
    <definedName name="园丁桥" localSheetId="16">#REF!</definedName>
    <definedName name="园丁桥">#REF!</definedName>
    <definedName name="政府融资还本付息" localSheetId="12">#REF!</definedName>
    <definedName name="政府融资还本付息" localSheetId="13">#REF!</definedName>
    <definedName name="政府融资还本付息" localSheetId="15">#REF!</definedName>
    <definedName name="政府融资还本付息" localSheetId="16">#REF!</definedName>
    <definedName name="政府融资还本付息">#REF!</definedName>
    <definedName name="中心粮库" localSheetId="12">#REF!</definedName>
    <definedName name="中心粮库" localSheetId="13">#REF!</definedName>
    <definedName name="中心粮库" localSheetId="15">#REF!</definedName>
    <definedName name="中心粮库" localSheetId="16">#REF!</definedName>
    <definedName name="中心粮库">#REF!</definedName>
    <definedName name="전" localSheetId="12">#REF!</definedName>
    <definedName name="전" localSheetId="13">#REF!</definedName>
    <definedName name="전" localSheetId="15">#REF!</definedName>
    <definedName name="전" localSheetId="16">#REF!</definedName>
    <definedName name="전">#REF!</definedName>
    <definedName name="주택사업본부" localSheetId="12">#REF!</definedName>
    <definedName name="주택사업본부" localSheetId="13">#REF!</definedName>
    <definedName name="주택사업본부" localSheetId="15">#REF!</definedName>
    <definedName name="주택사업본부" localSheetId="16">#REF!</definedName>
    <definedName name="주택사업본부">#REF!</definedName>
    <definedName name="철구사업본부" localSheetId="12">#REF!</definedName>
    <definedName name="철구사업본부" localSheetId="13">#REF!</definedName>
    <definedName name="철구사업본부" localSheetId="15">#REF!</definedName>
    <definedName name="철구사업본부" localSheetId="16">#REF!</definedName>
    <definedName name="철구사업본부">#REF!</definedName>
    <definedName name="____________A69999" localSheetId="17">[2]按类别!$A$52564</definedName>
    <definedName name="____________A70000" localSheetId="17">[2]按类别!$A$52564</definedName>
    <definedName name="____________A99999" localSheetId="17">[2]按类别!$A$52564</definedName>
    <definedName name="___________A70000" localSheetId="17">[3]按类别!$A$52564</definedName>
    <definedName name="__________A70000" localSheetId="17">[2]按类别!$A$52564</definedName>
    <definedName name="__________A8888" localSheetId="17">[3]按类别!$A$52564</definedName>
    <definedName name="_________A69999" localSheetId="17">[2]按类别!$A$52564</definedName>
    <definedName name="_________A70000" localSheetId="17">[2]按类别!$A$52564</definedName>
    <definedName name="_________A8888" localSheetId="17">[2]按类别!$A$52564</definedName>
    <definedName name="_________A99999" localSheetId="17">[2]按类别!$A$52564</definedName>
    <definedName name="________A69999" localSheetId="17">[2]按类别!$A$52564</definedName>
    <definedName name="________A70000" localSheetId="17">[2]按类别!$A$52564</definedName>
    <definedName name="________A8888" localSheetId="17">[2]按类别!$A$52564</definedName>
    <definedName name="________A99999" localSheetId="17">[2]按类别!$A$52564</definedName>
    <definedName name="_______A70000" localSheetId="17">[14]按类别!$A$52564</definedName>
    <definedName name="_______A99999" localSheetId="17">[6]按类别!$A$52564</definedName>
    <definedName name="______A69999" localSheetId="17">[3]按类别!$A$52564</definedName>
    <definedName name="______A70000" localSheetId="17">[2]按类别!$A$52564</definedName>
    <definedName name="______A99999" localSheetId="17">[14]按类别!$A$52564</definedName>
    <definedName name="_____A69999" localSheetId="17">[14]按类别!$A$52564</definedName>
    <definedName name="_____A70000" localSheetId="17">[6]按类别!$A$52564</definedName>
    <definedName name="_____A8888" localSheetId="17">[14]按类别!$A$52564</definedName>
    <definedName name="_____A99999" localSheetId="17">[6]按类别!$A$52564</definedName>
    <definedName name="____A69999" localSheetId="17">[6]按类别!$A$52564</definedName>
    <definedName name="____A70000" localSheetId="17">[2]按类别!$A$52564</definedName>
    <definedName name="____A8888" localSheetId="17">[3]按类别!$A$52564</definedName>
    <definedName name="____A99999" localSheetId="17">[2]按类别!$A$52564</definedName>
    <definedName name="___A69999" localSheetId="17">[2]按类别!$A$52564</definedName>
    <definedName name="___A70000" localSheetId="17">[2]按类别!$A$52564</definedName>
    <definedName name="___A8888" localSheetId="17">[2]按类别!$A$52564</definedName>
    <definedName name="___A99999" localSheetId="17">[2]按类别!$A$52564</definedName>
    <definedName name="__A69999" localSheetId="17">[2]按类别!$A$52564</definedName>
    <definedName name="__A70000" localSheetId="17">[2]按类别!$A$52564</definedName>
    <definedName name="__A8888" localSheetId="17">[2]按类别!$A$52564</definedName>
    <definedName name="__A99999" localSheetId="17">[2]按类别!$A$52564</definedName>
    <definedName name="_1A8888_" localSheetId="17">[2]按类别!$A$52564</definedName>
    <definedName name="_A69999" localSheetId="17">[2]按类别!$A$52564</definedName>
    <definedName name="_A70000" localSheetId="17">[2]按类别!$A$52564</definedName>
    <definedName name="_A8888" localSheetId="17">[2]按类别!$A$52564</definedName>
    <definedName name="_A99999" localSheetId="17">[2]按类别!$A$52564</definedName>
    <definedName name="_Fill" localSheetId="17" hidden="1">[15]eqpmad2!#REF!</definedName>
    <definedName name="_xlnm._FilterDatabase" localSheetId="17" hidden="1">#REF!</definedName>
    <definedName name="_Key1" localSheetId="17" hidden="1">[8]县长批条!#REF!</definedName>
    <definedName name="_PA7" localSheetId="17">#REF!</definedName>
    <definedName name="_PA8" localSheetId="17">#REF!</definedName>
    <definedName name="_PD1" localSheetId="17">#REF!</definedName>
    <definedName name="_PE12" localSheetId="17">#REF!</definedName>
    <definedName name="_PE13" localSheetId="17">#REF!</definedName>
    <definedName name="_PE6" localSheetId="17">#REF!</definedName>
    <definedName name="_PE7" localSheetId="17">#REF!</definedName>
    <definedName name="_PE8" localSheetId="17">#REF!</definedName>
    <definedName name="_PE9" localSheetId="17">#REF!</definedName>
    <definedName name="_PH1" localSheetId="17">#REF!</definedName>
    <definedName name="_PI1" localSheetId="17">#REF!</definedName>
    <definedName name="_PK1" localSheetId="17">#REF!</definedName>
    <definedName name="_PK3" localSheetId="17">#REF!</definedName>
    <definedName name="“法院”资金明细表" localSheetId="17">#REF!</definedName>
    <definedName name="“检察院”资金明细表" localSheetId="17">#REF!</definedName>
    <definedName name="Alpha" localSheetId="17">#REF!</definedName>
    <definedName name="Anzahl_1" localSheetId="17">#REF!</definedName>
    <definedName name="Anzahl_2" localSheetId="17">#REF!</definedName>
    <definedName name="Beg_Bal" localSheetId="17">#REF!</definedName>
    <definedName name="BM8_SelectZBM.BM8_ZBMChangeKMM" localSheetId="17">[18]!BM8_SelectZBM.BM8_ZBMChangeKMM</definedName>
    <definedName name="BM8_SelectZBM.BM8_ZBMminusOption" localSheetId="17">[18]!BM8_SelectZBM.BM8_ZBMminusOption</definedName>
    <definedName name="BM8_SelectZBM.BM8_ZBMSumOption" localSheetId="17">[18]!BM8_SelectZBM.BM8_ZBMSumOption</definedName>
    <definedName name="BOMView" localSheetId="17">[19]Prg!$G$33</definedName>
    <definedName name="Bust" localSheetId="17">#REF!</definedName>
    <definedName name="Cnty_Codes" localSheetId="17">[19]Profile!$D$4:$D$69</definedName>
    <definedName name="Continue" localSheetId="17">#REF!</definedName>
    <definedName name="Data" localSheetId="17">#REF!</definedName>
    <definedName name="Database" localSheetId="17" hidden="1">#REF!</definedName>
    <definedName name="Devices" localSheetId="17">[20]Devices!$B$5:$B$173</definedName>
    <definedName name="Devices_Table" localSheetId="17">[20]Devices!$B:$L</definedName>
    <definedName name="Documents_array" localSheetId="17">#REF!</definedName>
    <definedName name="Duty" localSheetId="17">#REF!</definedName>
    <definedName name="End_Bal" localSheetId="17">#REF!</definedName>
    <definedName name="Extra_Pay" localSheetId="17">#REF!</definedName>
    <definedName name="Full_Print" localSheetId="17">#REF!</definedName>
    <definedName name="Header_Row" localSheetId="17">ROW(#REF!)</definedName>
    <definedName name="Hello" localSheetId="17">#REF!</definedName>
    <definedName name="hhhh" localSheetId="17">#REF!</definedName>
    <definedName name="Ieff" localSheetId="17">#REF!</definedName>
    <definedName name="Imax" localSheetId="17">#REF!</definedName>
    <definedName name="Int" localSheetId="17">#REF!</definedName>
    <definedName name="Interest_Rate" localSheetId="17">#REF!</definedName>
    <definedName name="K_Imax" localSheetId="17">#REF!</definedName>
    <definedName name="Last_Row" localSheetId="17">IF('[23]10.2019年商品和服务支出'!Values_Entered,'9.收回存量安排'!Header_Row+'[23]10.2019年商品和服务支出'!Number_of_Payments,'9.收回存量安排'!Header_Row)</definedName>
    <definedName name="Loan_Amount" localSheetId="17">#REF!</definedName>
    <definedName name="Loan_Start" localSheetId="17">#REF!</definedName>
    <definedName name="Loan_Years" localSheetId="17">#REF!</definedName>
    <definedName name="LTol" localSheetId="17">#REF!</definedName>
    <definedName name="MakeIt" localSheetId="17">#REF!</definedName>
    <definedName name="MmExcelLinker_4795041E_1062_4A6D_901F_4306994608A4" localSheetId="17">'[16]S19、A0 and JC22 BCM PIN V1.0'!M14-BCM-[17]ATECH编辑20090309!$B$51:$B$53</definedName>
    <definedName name="Module.Prix_SMC" localSheetId="17">[21]!Module.Prix_SMC</definedName>
    <definedName name="Morning" localSheetId="17">#REF!</definedName>
    <definedName name="N" localSheetId="17">#REF!</definedName>
    <definedName name="NDev" localSheetId="17">#REF!</definedName>
    <definedName name="Num_Pmt_Per_Year" localSheetId="17">#REF!</definedName>
    <definedName name="Number_of_Payments" localSheetId="17">MATCH(0.01,'9.收回存量安排'!End_Bal,-1)+1</definedName>
    <definedName name="NumModels" localSheetId="17">[19]Prg!$G$24</definedName>
    <definedName name="On" localSheetId="17">#REF!</definedName>
    <definedName name="P_Mos_Ges_1" localSheetId="17">#REF!</definedName>
    <definedName name="P_Mos_ges_2" localSheetId="17">#REF!</definedName>
    <definedName name="P_pro_Mos_1" localSheetId="17">#REF!</definedName>
    <definedName name="P_pro_Mos_2" localSheetId="17">#REF!</definedName>
    <definedName name="Pay_Date" localSheetId="17">#REF!</definedName>
    <definedName name="Pay_Num" localSheetId="17">#REF!</definedName>
    <definedName name="Payment_Date" localSheetId="17">DATE(YEAR('9.收回存量安排'!Loan_Start),MONTH('9.收回存量安排'!Loan_Start)+Payment_Number,DAY('9.收回存量安排'!Loan_Start))</definedName>
    <definedName name="Poppy" localSheetId="17">#REF!</definedName>
    <definedName name="Princ" localSheetId="17">#REF!</definedName>
    <definedName name="_xlnm.Print_Area">#N/A</definedName>
    <definedName name="Print_Area_MI" localSheetId="17">#REF!</definedName>
    <definedName name="Print_Area_Reset" localSheetId="17">OFFSET('9.收回存量安排'!Full_Print,0,0,'9.收回存量安排'!Last_Row)</definedName>
    <definedName name="Prix_SMC" localSheetId="17">[21]!Prix_SMC</definedName>
    <definedName name="Pv" localSheetId="17">#REF!</definedName>
    <definedName name="RDSon_25_1" localSheetId="17">#REF!</definedName>
    <definedName name="RDSon_25_2" localSheetId="17">#REF!</definedName>
    <definedName name="RDSon_Last_1" localSheetId="17">#REF!</definedName>
    <definedName name="RDSon_Last_2" localSheetId="17">#REF!</definedName>
    <definedName name="Ron" localSheetId="17">#REF!</definedName>
    <definedName name="Rth_H" localSheetId="17">#REF!</definedName>
    <definedName name="Rth_JA" localSheetId="17">#REF!</definedName>
    <definedName name="Rth_JC" localSheetId="17">#REF!</definedName>
    <definedName name="RTHca" localSheetId="17">#REF!</definedName>
    <definedName name="RTHjc" localSheetId="17">#REF!</definedName>
    <definedName name="Sched_Pay" localSheetId="17">#REF!</definedName>
    <definedName name="Scheduled_Extra_Payments" localSheetId="17">#REF!</definedName>
    <definedName name="Scheduled_Interest_Rate" localSheetId="17">#REF!</definedName>
    <definedName name="Scheduled_Monthly_Payment" localSheetId="17">#REF!</definedName>
    <definedName name="Strom_1" localSheetId="17">#REF!</definedName>
    <definedName name="Strom_2" localSheetId="17">#REF!</definedName>
    <definedName name="SUB75N05_06" localSheetId="17">#REF!</definedName>
    <definedName name="Temp_25" localSheetId="17">#REF!</definedName>
    <definedName name="Ti" localSheetId="17">#REF!</definedName>
    <definedName name="Tj" localSheetId="17">#REF!</definedName>
    <definedName name="TMos_ges_1" localSheetId="17">#REF!</definedName>
    <definedName name="TMos_ges_2" localSheetId="17">#REF!</definedName>
    <definedName name="Total_Interest" localSheetId="17">#REF!</definedName>
    <definedName name="Total_Pay" localSheetId="17">#REF!</definedName>
    <definedName name="Total_Payment" localSheetId="17">Scheduled_Payment+Extra_Payment</definedName>
    <definedName name="Tu" localSheetId="17">#REF!</definedName>
    <definedName name="TUmax" localSheetId="17">#REF!</definedName>
    <definedName name="Un" localSheetId="17">#REF!</definedName>
    <definedName name="Values_Entered" localSheetId="17">IF('9.收回存量安排'!Loan_Amount*'9.收回存量安排'!Interest_Rate*'9.收回存量安排'!Loan_Years*'9.收回存量安排'!Loan_Start&gt;0,1,0)</definedName>
    <definedName name="ww" localSheetId="17">#REF!</definedName>
    <definedName name="Zustand1" localSheetId="17">#REF!</definedName>
    <definedName name="Zustand2" localSheetId="17">#REF!</definedName>
    <definedName name="北河西路" localSheetId="17">#REF!</definedName>
    <definedName name="标准厂房代建款" localSheetId="17">#REF!</definedName>
    <definedName name="表" localSheetId="17">#REF!</definedName>
    <definedName name="不锈钢产业" localSheetId="17">#REF!</definedName>
    <definedName name="处罚事项1" localSheetId="17">#REF!</definedName>
    <definedName name="档案馆" localSheetId="17">#REF!</definedName>
    <definedName name="第九期旧改" localSheetId="17">#REF!</definedName>
    <definedName name="东环路扩建项目" localSheetId="17">#REF!</definedName>
    <definedName name="东门市场改扩建" localSheetId="17">#REF!</definedName>
    <definedName name="额外全额" localSheetId="17">IF('9.收回存量安排'!Values_Entered,'9.收回存量安排'!Header_Row+'9.收回存量安排'!Number_of_Payments,'9.收回存量安排'!Header_Row)</definedName>
    <definedName name="福利中心" localSheetId="17">#REF!</definedName>
    <definedName name="工商大楼征迁" localSheetId="17">#REF!</definedName>
    <definedName name="公安局" localSheetId="17">#REF!</definedName>
    <definedName name="公路建设" localSheetId="17">#REF!</definedName>
    <definedName name="公墓地" localSheetId="17">#REF!</definedName>
    <definedName name="古武高速公路项目" localSheetId="17">#REF!</definedName>
    <definedName name="广告商档案" localSheetId="17">#REF!</definedName>
    <definedName name="汇率" localSheetId="17">#REF!</definedName>
    <definedName name="汇总表" localSheetId="17">[22]按类别!$A$52564</definedName>
    <definedName name="汇总表1" localSheetId="17">[2]按类别!$A$52564</definedName>
    <definedName name="寄宿制学校" localSheetId="17">[21]!寄宿制学校</definedName>
    <definedName name="简单快乐福建" localSheetId="17">[21]!简单快乐福建</definedName>
    <definedName name="教育资金农田水利建设资金计提" localSheetId="17">#REF!</definedName>
    <definedName name="借用" localSheetId="17">#REF!</definedName>
    <definedName name="借用1" localSheetId="17">#REF!</definedName>
    <definedName name="经常性汇总表" localSheetId="17">[2]按类别!$A$52564</definedName>
    <definedName name="经常性支出汇总表" localSheetId="17">[2]按类别!$A$52564</definedName>
    <definedName name="客都汇旅游综合体至梁野山景区入口公路改造和绿化提升工程" localSheetId="17">#REF!</definedName>
    <definedName name="客家生态文化城" localSheetId="17">#REF!</definedName>
    <definedName name="梁野大道" localSheetId="17">#REF!</definedName>
    <definedName name="梁野山及旅游综合体" localSheetId="17">#REF!</definedName>
    <definedName name="龙洲公司及关联公司" localSheetId="17">#REF!</definedName>
    <definedName name="宁象公路" localSheetId="17">#REF!</definedName>
    <definedName name="农业土地开发资金" localSheetId="17">#REF!</definedName>
    <definedName name="平川镇工作经费" localSheetId="17">#REF!</definedName>
    <definedName name="平通路平通桥" localSheetId="17">#REF!</definedName>
    <definedName name="企业基础设施建设补助明细表" localSheetId="17">#REF!</definedName>
    <definedName name="人武部" localSheetId="17">#REF!</definedName>
    <definedName name="生产列1" localSheetId="17">#REF!</definedName>
    <definedName name="生产列11" localSheetId="17">#REF!</definedName>
    <definedName name="生产列15" localSheetId="17">#REF!</definedName>
    <definedName name="生产列16" localSheetId="17">#REF!</definedName>
    <definedName name="生产列17" localSheetId="17">#REF!</definedName>
    <definedName name="生产列19" localSheetId="17">#REF!</definedName>
    <definedName name="生产列2" localSheetId="17">#REF!</definedName>
    <definedName name="生产列20" localSheetId="17">#REF!</definedName>
    <definedName name="生产列3" localSheetId="17">#REF!</definedName>
    <definedName name="生产列4" localSheetId="17">#REF!</definedName>
    <definedName name="生产列5" localSheetId="17">#REF!</definedName>
    <definedName name="生产列6" localSheetId="17">#REF!</definedName>
    <definedName name="生产列7" localSheetId="17">#REF!</definedName>
    <definedName name="生产列8" localSheetId="17">#REF!</definedName>
    <definedName name="生产列9" localSheetId="17">#REF!</definedName>
    <definedName name="生产期" localSheetId="17">#REF!</definedName>
    <definedName name="生产期1" localSheetId="17">#REF!</definedName>
    <definedName name="生产期11" localSheetId="17">#REF!</definedName>
    <definedName name="生产期15" localSheetId="17">#REF!</definedName>
    <definedName name="生产期16" localSheetId="17">#REF!</definedName>
    <definedName name="生产期17" localSheetId="17">#REF!</definedName>
    <definedName name="生产期19" localSheetId="17">#REF!</definedName>
    <definedName name="生产期2" localSheetId="17">#REF!</definedName>
    <definedName name="生产期20" localSheetId="17">#REF!</definedName>
    <definedName name="生产期3" localSheetId="17">#REF!</definedName>
    <definedName name="生产期4" localSheetId="17">#REF!</definedName>
    <definedName name="生产期5" localSheetId="17">#REF!</definedName>
    <definedName name="生产期6" localSheetId="17">#REF!</definedName>
    <definedName name="生产期7" localSheetId="17">#REF!</definedName>
    <definedName name="生产期8" localSheetId="17">#REF!</definedName>
    <definedName name="生产期9" localSheetId="17">#REF!</definedName>
    <definedName name="狮岩景区工程" localSheetId="17">#REF!</definedName>
    <definedName name="十方工业集中区" localSheetId="17">#REF!</definedName>
    <definedName name="十方消防站" localSheetId="17">#REF!</definedName>
    <definedName name="市政建设" localSheetId="17">#REF!</definedName>
    <definedName name="收储资金" localSheetId="17">#REF!</definedName>
    <definedName name="水源建设" localSheetId="17">#REF!</definedName>
    <definedName name="台湾新村" localSheetId="17">#REF!</definedName>
    <definedName name="万星影视城" localSheetId="17">#REF!</definedName>
    <definedName name="武平大道" localSheetId="17">#REF!</definedName>
    <definedName name="县工业园区" localSheetId="17">#REF!</definedName>
    <definedName name="岩前工业集中区" localSheetId="17">#REF!</definedName>
    <definedName name="一园二区" localSheetId="17">#REF!</definedName>
    <definedName name="预算汇总表" localSheetId="17">[2]按类别!$A$52564</definedName>
    <definedName name="园丁桥" localSheetId="17">#REF!</definedName>
    <definedName name="政府融资还本付息" localSheetId="17">#REF!</definedName>
    <definedName name="中心粮库" localSheetId="17">#REF!</definedName>
    <definedName name="전" localSheetId="17">#REF!</definedName>
    <definedName name="주택사업본부" localSheetId="17">#REF!</definedName>
    <definedName name="철구사업본부" localSheetId="17">#REF!</definedName>
    <definedName name="____________A69999" localSheetId="18">[2]按类别!$A$52564</definedName>
    <definedName name="____________A70000" localSheetId="18">[2]按类别!$A$52564</definedName>
    <definedName name="____________A99999" localSheetId="18">[2]按类别!$A$52564</definedName>
    <definedName name="___________A70000" localSheetId="18">[3]按类别!$A$52564</definedName>
    <definedName name="__________A70000" localSheetId="18">[2]按类别!$A$52564</definedName>
    <definedName name="__________A8888" localSheetId="18">[3]按类别!$A$52564</definedName>
    <definedName name="_________A69999" localSheetId="18">[2]按类别!$A$52564</definedName>
    <definedName name="_________A70000" localSheetId="18">[2]按类别!$A$52564</definedName>
    <definedName name="_________A8888" localSheetId="18">[2]按类别!$A$52564</definedName>
    <definedName name="_________A99999" localSheetId="18">[2]按类别!$A$52564</definedName>
    <definedName name="________A69999" localSheetId="18">[2]按类别!$A$52564</definedName>
    <definedName name="________A70000" localSheetId="18">[2]按类别!$A$52564</definedName>
    <definedName name="________A8888" localSheetId="18">[2]按类别!$A$52564</definedName>
    <definedName name="________A99999" localSheetId="18">[2]按类别!$A$52564</definedName>
    <definedName name="_______A70000" localSheetId="18">[14]按类别!$A$52564</definedName>
    <definedName name="_______A99999" localSheetId="18">[6]按类别!$A$52564</definedName>
    <definedName name="______A69999" localSheetId="18">[3]按类别!$A$52564</definedName>
    <definedName name="______A70000" localSheetId="18">[2]按类别!$A$52564</definedName>
    <definedName name="______A99999" localSheetId="18">[14]按类别!$A$52564</definedName>
    <definedName name="_____A69999" localSheetId="18">[14]按类别!$A$52564</definedName>
    <definedName name="_____A70000" localSheetId="18">[6]按类别!$A$52564</definedName>
    <definedName name="_____A8888" localSheetId="18">[14]按类别!$A$52564</definedName>
    <definedName name="_____A99999" localSheetId="18">[6]按类别!$A$52564</definedName>
    <definedName name="____A69999" localSheetId="18">[6]按类别!$A$52564</definedName>
    <definedName name="____A70000" localSheetId="18">[2]按类别!$A$52564</definedName>
    <definedName name="____A8888" localSheetId="18">[3]按类别!$A$52564</definedName>
    <definedName name="____A99999" localSheetId="18">[2]按类别!$A$52564</definedName>
    <definedName name="___A69999" localSheetId="18">[2]按类别!$A$52564</definedName>
    <definedName name="___A70000" localSheetId="18">[2]按类别!$A$52564</definedName>
    <definedName name="___A8888" localSheetId="18">[2]按类别!$A$52564</definedName>
    <definedName name="___A99999" localSheetId="18">[2]按类别!$A$52564</definedName>
    <definedName name="__A69999" localSheetId="18">[2]按类别!$A$52564</definedName>
    <definedName name="__A70000" localSheetId="18">[2]按类别!$A$52564</definedName>
    <definedName name="__A8888" localSheetId="18">[2]按类别!$A$52564</definedName>
    <definedName name="__A99999" localSheetId="18">[2]按类别!$A$52564</definedName>
    <definedName name="_1A8888_" localSheetId="18">[2]按类别!$A$52564</definedName>
    <definedName name="_A69999" localSheetId="18">[2]按类别!$A$52564</definedName>
    <definedName name="_A70000" localSheetId="18">[2]按类别!$A$52564</definedName>
    <definedName name="_A8888" localSheetId="18">[2]按类别!$A$52564</definedName>
    <definedName name="_A99999" localSheetId="18">[2]按类别!$A$52564</definedName>
    <definedName name="_Fill" localSheetId="18" hidden="1">[15]eqpmad2!#REF!</definedName>
    <definedName name="_xlnm._FilterDatabase" localSheetId="18" hidden="1">#REF!</definedName>
    <definedName name="_Key1" localSheetId="18" hidden="1">[8]县长批条!#REF!</definedName>
    <definedName name="_PA7" localSheetId="18">#REF!</definedName>
    <definedName name="_PA8" localSheetId="18">#REF!</definedName>
    <definedName name="_PD1" localSheetId="18">#REF!</definedName>
    <definedName name="_PE12" localSheetId="18">#REF!</definedName>
    <definedName name="_PE13" localSheetId="18">#REF!</definedName>
    <definedName name="_PE6" localSheetId="18">#REF!</definedName>
    <definedName name="_PE7" localSheetId="18">#REF!</definedName>
    <definedName name="_PE8" localSheetId="18">#REF!</definedName>
    <definedName name="_PE9" localSheetId="18">#REF!</definedName>
    <definedName name="_PH1" localSheetId="18">#REF!</definedName>
    <definedName name="_PI1" localSheetId="18">#REF!</definedName>
    <definedName name="_PK1" localSheetId="18">#REF!</definedName>
    <definedName name="_PK3" localSheetId="18">#REF!</definedName>
    <definedName name="“法院”资金明细表" localSheetId="18">#REF!</definedName>
    <definedName name="“检察院”资金明细表" localSheetId="18">#REF!</definedName>
    <definedName name="Alpha" localSheetId="18">#REF!</definedName>
    <definedName name="Anzahl_1" localSheetId="18">#REF!</definedName>
    <definedName name="Anzahl_2" localSheetId="18">#REF!</definedName>
    <definedName name="Beg_Bal" localSheetId="18">#REF!</definedName>
    <definedName name="BM8_SelectZBM.BM8_ZBMChangeKMM" localSheetId="18">[18]!BM8_SelectZBM.BM8_ZBMChangeKMM</definedName>
    <definedName name="BM8_SelectZBM.BM8_ZBMminusOption" localSheetId="18">[18]!BM8_SelectZBM.BM8_ZBMminusOption</definedName>
    <definedName name="BM8_SelectZBM.BM8_ZBMSumOption" localSheetId="18">[18]!BM8_SelectZBM.BM8_ZBMSumOption</definedName>
    <definedName name="BOMView" localSheetId="18">[19]Prg!$G$33</definedName>
    <definedName name="Bust" localSheetId="18">#REF!</definedName>
    <definedName name="Cnty_Codes" localSheetId="18">[19]Profile!$D$4:$D$69</definedName>
    <definedName name="Continue" localSheetId="18">#REF!</definedName>
    <definedName name="Data" localSheetId="18">#REF!</definedName>
    <definedName name="Database" localSheetId="18" hidden="1">#REF!</definedName>
    <definedName name="Devices" localSheetId="18">[20]Devices!$B$5:$B$173</definedName>
    <definedName name="Devices_Table" localSheetId="18">[20]Devices!$B:$L</definedName>
    <definedName name="Documents_array" localSheetId="18">#REF!</definedName>
    <definedName name="Duty" localSheetId="18">#REF!</definedName>
    <definedName name="End_Bal" localSheetId="18">#REF!</definedName>
    <definedName name="Extra_Pay" localSheetId="18">#REF!</definedName>
    <definedName name="Full_Print" localSheetId="18">#REF!</definedName>
    <definedName name="Header_Row" localSheetId="18">ROW(#REF!)</definedName>
    <definedName name="Hello" localSheetId="18">#REF!</definedName>
    <definedName name="hhhh" localSheetId="18">#REF!</definedName>
    <definedName name="Ieff" localSheetId="18">#REF!</definedName>
    <definedName name="Imax" localSheetId="18">#REF!</definedName>
    <definedName name="Int" localSheetId="18">#REF!</definedName>
    <definedName name="Interest_Rate" localSheetId="18">#REF!</definedName>
    <definedName name="K_Imax" localSheetId="18">#REF!</definedName>
    <definedName name="Last_Row" localSheetId="18">IF('[23]10.2019年商品和服务支出'!Values_Entered,'10.直达资金'!Header_Row+'[23]10.2019年商品和服务支出'!Number_of_Payments,'10.直达资金'!Header_Row)</definedName>
    <definedName name="Loan_Amount" localSheetId="18">#REF!</definedName>
    <definedName name="Loan_Start" localSheetId="18">#REF!</definedName>
    <definedName name="Loan_Years" localSheetId="18">#REF!</definedName>
    <definedName name="LTol" localSheetId="18">#REF!</definedName>
    <definedName name="MakeIt" localSheetId="18">#REF!</definedName>
    <definedName name="MmExcelLinker_4795041E_1062_4A6D_901F_4306994608A4" localSheetId="18">'[16]S19、A0 and JC22 BCM PIN V1.0'!M14-BCM-[17]ATECH编辑20090309!$B$51:$B$53</definedName>
    <definedName name="Module.Prix_SMC" localSheetId="18">[21]!Module.Prix_SMC</definedName>
    <definedName name="Morning" localSheetId="18">#REF!</definedName>
    <definedName name="N" localSheetId="18">#REF!</definedName>
    <definedName name="NDev" localSheetId="18">#REF!</definedName>
    <definedName name="Num_Pmt_Per_Year" localSheetId="18">#REF!</definedName>
    <definedName name="Number_of_Payments" localSheetId="18">MATCH(0.01,'10.直达资金'!End_Bal,-1)+1</definedName>
    <definedName name="NumModels" localSheetId="18">[19]Prg!$G$24</definedName>
    <definedName name="On" localSheetId="18">#REF!</definedName>
    <definedName name="P_Mos_Ges_1" localSheetId="18">#REF!</definedName>
    <definedName name="P_Mos_ges_2" localSheetId="18">#REF!</definedName>
    <definedName name="P_pro_Mos_1" localSheetId="18">#REF!</definedName>
    <definedName name="P_pro_Mos_2" localSheetId="18">#REF!</definedName>
    <definedName name="Pay_Date" localSheetId="18">#REF!</definedName>
    <definedName name="Pay_Num" localSheetId="18">#REF!</definedName>
    <definedName name="Payment_Date" localSheetId="18">DATE(YEAR('10.直达资金'!Loan_Start),MONTH('10.直达资金'!Loan_Start)+Payment_Number,DAY('10.直达资金'!Loan_Start))</definedName>
    <definedName name="Poppy" localSheetId="18">#REF!</definedName>
    <definedName name="Princ" localSheetId="18">#REF!</definedName>
    <definedName name="Print_Area_MI" localSheetId="18">#REF!</definedName>
    <definedName name="Print_Area_Reset" localSheetId="18">OFFSET('10.直达资金'!Full_Print,0,0,'10.直达资金'!Last_Row)</definedName>
    <definedName name="Prix_SMC" localSheetId="18">[21]!Prix_SMC</definedName>
    <definedName name="Pv" localSheetId="18">#REF!</definedName>
    <definedName name="RDSon_25_1" localSheetId="18">#REF!</definedName>
    <definedName name="RDSon_25_2" localSheetId="18">#REF!</definedName>
    <definedName name="RDSon_Last_1" localSheetId="18">#REF!</definedName>
    <definedName name="RDSon_Last_2" localSheetId="18">#REF!</definedName>
    <definedName name="Ron" localSheetId="18">#REF!</definedName>
    <definedName name="Rth_H" localSheetId="18">#REF!</definedName>
    <definedName name="Rth_JA" localSheetId="18">#REF!</definedName>
    <definedName name="Rth_JC" localSheetId="18">#REF!</definedName>
    <definedName name="RTHca" localSheetId="18">#REF!</definedName>
    <definedName name="RTHjc" localSheetId="18">#REF!</definedName>
    <definedName name="Sched_Pay" localSheetId="18">#REF!</definedName>
    <definedName name="Scheduled_Extra_Payments" localSheetId="18">#REF!</definedName>
    <definedName name="Scheduled_Interest_Rate" localSheetId="18">#REF!</definedName>
    <definedName name="Scheduled_Monthly_Payment" localSheetId="18">#REF!</definedName>
    <definedName name="Strom_1" localSheetId="18">#REF!</definedName>
    <definedName name="Strom_2" localSheetId="18">#REF!</definedName>
    <definedName name="SUB75N05_06" localSheetId="18">#REF!</definedName>
    <definedName name="Temp_25" localSheetId="18">#REF!</definedName>
    <definedName name="Ti" localSheetId="18">#REF!</definedName>
    <definedName name="Tj" localSheetId="18">#REF!</definedName>
    <definedName name="TMos_ges_1" localSheetId="18">#REF!</definedName>
    <definedName name="TMos_ges_2" localSheetId="18">#REF!</definedName>
    <definedName name="Total_Interest" localSheetId="18">#REF!</definedName>
    <definedName name="Total_Pay" localSheetId="18">#REF!</definedName>
    <definedName name="Total_Payment" localSheetId="18">Scheduled_Payment+Extra_Payment</definedName>
    <definedName name="Tu" localSheetId="18">#REF!</definedName>
    <definedName name="TUmax" localSheetId="18">#REF!</definedName>
    <definedName name="Un" localSheetId="18">#REF!</definedName>
    <definedName name="Values_Entered" localSheetId="18">IF('10.直达资金'!Loan_Amount*'10.直达资金'!Interest_Rate*'10.直达资金'!Loan_Years*'10.直达资金'!Loan_Start&gt;0,1,0)</definedName>
    <definedName name="ww" localSheetId="18">#REF!</definedName>
    <definedName name="Zustand1" localSheetId="18">#REF!</definedName>
    <definedName name="Zustand2" localSheetId="18">#REF!</definedName>
    <definedName name="北河西路" localSheetId="18">#REF!</definedName>
    <definedName name="标准厂房代建款" localSheetId="18">#REF!</definedName>
    <definedName name="表" localSheetId="18">#REF!</definedName>
    <definedName name="不锈钢产业" localSheetId="18">#REF!</definedName>
    <definedName name="处罚事项1" localSheetId="18">#REF!</definedName>
    <definedName name="档案馆" localSheetId="18">#REF!</definedName>
    <definedName name="第九期旧改" localSheetId="18">#REF!</definedName>
    <definedName name="东环路扩建项目" localSheetId="18">#REF!</definedName>
    <definedName name="东门市场改扩建" localSheetId="18">#REF!</definedName>
    <definedName name="额外全额" localSheetId="18">IF('10.直达资金'!Values_Entered,'10.直达资金'!Header_Row+'10.直达资金'!Number_of_Payments,'10.直达资金'!Header_Row)</definedName>
    <definedName name="福利中心" localSheetId="18">#REF!</definedName>
    <definedName name="工商大楼征迁" localSheetId="18">#REF!</definedName>
    <definedName name="公安局" localSheetId="18">#REF!</definedName>
    <definedName name="公路建设" localSheetId="18">#REF!</definedName>
    <definedName name="公墓地" localSheetId="18">#REF!</definedName>
    <definedName name="古武高速公路项目" localSheetId="18">#REF!</definedName>
    <definedName name="广告商档案" localSheetId="18">#REF!</definedName>
    <definedName name="汇率" localSheetId="18">#REF!</definedName>
    <definedName name="汇总表" localSheetId="18">[22]按类别!$A$52564</definedName>
    <definedName name="汇总表1" localSheetId="18">[2]按类别!$A$52564</definedName>
    <definedName name="寄宿制学校" localSheetId="18">[21]!寄宿制学校</definedName>
    <definedName name="简单快乐福建" localSheetId="18">[21]!简单快乐福建</definedName>
    <definedName name="教育资金农田水利建设资金计提" localSheetId="18">#REF!</definedName>
    <definedName name="借用" localSheetId="18">#REF!</definedName>
    <definedName name="借用1" localSheetId="18">#REF!</definedName>
    <definedName name="经常性汇总表" localSheetId="18">[2]按类别!$A$52564</definedName>
    <definedName name="经常性支出汇总表" localSheetId="18">[2]按类别!$A$52564</definedName>
    <definedName name="客都汇旅游综合体至梁野山景区入口公路改造和绿化提升工程" localSheetId="18">#REF!</definedName>
    <definedName name="客家生态文化城" localSheetId="18">#REF!</definedName>
    <definedName name="梁野大道" localSheetId="18">#REF!</definedName>
    <definedName name="梁野山及旅游综合体" localSheetId="18">#REF!</definedName>
    <definedName name="龙洲公司及关联公司" localSheetId="18">#REF!</definedName>
    <definedName name="宁象公路" localSheetId="18">#REF!</definedName>
    <definedName name="农业土地开发资金" localSheetId="18">#REF!</definedName>
    <definedName name="平川镇工作经费" localSheetId="18">#REF!</definedName>
    <definedName name="平通路平通桥" localSheetId="18">#REF!</definedName>
    <definedName name="企业基础设施建设补助明细表" localSheetId="18">#REF!</definedName>
    <definedName name="人武部" localSheetId="18">#REF!</definedName>
    <definedName name="生产列1" localSheetId="18">#REF!</definedName>
    <definedName name="生产列11" localSheetId="18">#REF!</definedName>
    <definedName name="生产列15" localSheetId="18">#REF!</definedName>
    <definedName name="生产列16" localSheetId="18">#REF!</definedName>
    <definedName name="生产列17" localSheetId="18">#REF!</definedName>
    <definedName name="生产列19" localSheetId="18">#REF!</definedName>
    <definedName name="生产列2" localSheetId="18">#REF!</definedName>
    <definedName name="生产列20" localSheetId="18">#REF!</definedName>
    <definedName name="生产列3" localSheetId="18">#REF!</definedName>
    <definedName name="生产列4" localSheetId="18">#REF!</definedName>
    <definedName name="生产列5" localSheetId="18">#REF!</definedName>
    <definedName name="生产列6" localSheetId="18">#REF!</definedName>
    <definedName name="生产列7" localSheetId="18">#REF!</definedName>
    <definedName name="生产列8" localSheetId="18">#REF!</definedName>
    <definedName name="生产列9" localSheetId="18">#REF!</definedName>
    <definedName name="生产期" localSheetId="18">#REF!</definedName>
    <definedName name="生产期1" localSheetId="18">#REF!</definedName>
    <definedName name="生产期11" localSheetId="18">#REF!</definedName>
    <definedName name="生产期15" localSheetId="18">#REF!</definedName>
    <definedName name="生产期16" localSheetId="18">#REF!</definedName>
    <definedName name="生产期17" localSheetId="18">#REF!</definedName>
    <definedName name="生产期19" localSheetId="18">#REF!</definedName>
    <definedName name="生产期2" localSheetId="18">#REF!</definedName>
    <definedName name="生产期20" localSheetId="18">#REF!</definedName>
    <definedName name="生产期3" localSheetId="18">#REF!</definedName>
    <definedName name="生产期4" localSheetId="18">#REF!</definedName>
    <definedName name="生产期5" localSheetId="18">#REF!</definedName>
    <definedName name="生产期6" localSheetId="18">#REF!</definedName>
    <definedName name="生产期7" localSheetId="18">#REF!</definedName>
    <definedName name="生产期8" localSheetId="18">#REF!</definedName>
    <definedName name="生产期9" localSheetId="18">#REF!</definedName>
    <definedName name="狮岩景区工程" localSheetId="18">#REF!</definedName>
    <definedName name="十方工业集中区" localSheetId="18">#REF!</definedName>
    <definedName name="十方消防站" localSheetId="18">#REF!</definedName>
    <definedName name="市政建设" localSheetId="18">#REF!</definedName>
    <definedName name="收储资金" localSheetId="18">#REF!</definedName>
    <definedName name="水源建设" localSheetId="18">#REF!</definedName>
    <definedName name="台湾新村" localSheetId="18">#REF!</definedName>
    <definedName name="万星影视城" localSheetId="18">#REF!</definedName>
    <definedName name="武平大道" localSheetId="18">#REF!</definedName>
    <definedName name="县工业园区" localSheetId="18">#REF!</definedName>
    <definedName name="岩前工业集中区" localSheetId="18">#REF!</definedName>
    <definedName name="一园二区" localSheetId="18">#REF!</definedName>
    <definedName name="预算汇总表" localSheetId="18">[2]按类别!$A$52564</definedName>
    <definedName name="园丁桥" localSheetId="18">#REF!</definedName>
    <definedName name="政府融资还本付息" localSheetId="18">#REF!</definedName>
    <definedName name="中心粮库" localSheetId="18">#REF!</definedName>
    <definedName name="전" localSheetId="18">#REF!</definedName>
    <definedName name="주택사업본부" localSheetId="18">#REF!</definedName>
    <definedName name="철구사업본부" localSheetId="18">#REF!</definedName>
    <definedName name="_xlnm.Print_Area" localSheetId="18">'10.直达资金'!$A$1:$E$32</definedName>
  </definedNames>
  <calcPr calcId="144525"/>
</workbook>
</file>

<file path=xl/comments1.xml><?xml version="1.0" encoding="utf-8"?>
<comments xmlns="http://schemas.openxmlformats.org/spreadsheetml/2006/main">
  <authors>
    <author>Administrator</author>
  </authors>
  <commentList>
    <comment ref="S309" authorId="0">
      <text>
        <r>
          <rPr>
            <b/>
            <sz val="9"/>
            <rFont val="宋体"/>
            <charset val="134"/>
          </rPr>
          <t xml:space="preserve">
上级专款支付:1760.7万元。
</t>
        </r>
      </text>
    </comment>
    <comment ref="S315" authorId="0">
      <text>
        <r>
          <rPr>
            <sz val="10"/>
            <rFont val="宋体"/>
            <charset val="134"/>
          </rPr>
          <t>一般债还本：再融资债还本28153+县级财力13091万元=441244</t>
        </r>
      </text>
    </comment>
  </commentList>
</comments>
</file>

<file path=xl/comments2.xml><?xml version="1.0" encoding="utf-8"?>
<comments xmlns="http://schemas.openxmlformats.org/spreadsheetml/2006/main">
  <authors>
    <author>Administrator</author>
  </authors>
  <commentList>
    <comment ref="D9" authorId="0">
      <text>
        <r>
          <rPr>
            <b/>
            <sz val="9"/>
            <rFont val="宋体"/>
            <charset val="134"/>
          </rPr>
          <t>Administrator:</t>
        </r>
        <r>
          <rPr>
            <sz val="9"/>
            <rFont val="宋体"/>
            <charset val="134"/>
          </rPr>
          <t xml:space="preserve">
土地出让金21619万元、彩票公益金436.92万元、城市基础设施配套费1465.32万元、污水处理费11.18万元</t>
        </r>
      </text>
    </comment>
  </commentList>
</comments>
</file>

<file path=xl/comments3.xml><?xml version="1.0" encoding="utf-8"?>
<comments xmlns="http://schemas.openxmlformats.org/spreadsheetml/2006/main">
  <authors>
    <author>Administrator</author>
  </authors>
  <commentList>
    <comment ref="C10" authorId="0">
      <text>
        <r>
          <rPr>
            <b/>
            <sz val="9"/>
            <rFont val="宋体"/>
            <charset val="134"/>
          </rPr>
          <t>Administrator:</t>
        </r>
        <r>
          <rPr>
            <sz val="9"/>
            <rFont val="宋体"/>
            <charset val="134"/>
          </rPr>
          <t xml:space="preserve">
1-9月报表国有土地使用权出让收入16424万元，加上10月入库10650万元、12月入库3500万元、南部片区划拨土地成本6000万元、其他划拨土地成本1200万元，减去补计提两金4000万元。预计12月再入库13927万元。</t>
        </r>
      </text>
    </comment>
  </commentList>
</comments>
</file>

<file path=xl/sharedStrings.xml><?xml version="1.0" encoding="utf-8"?>
<sst xmlns="http://schemas.openxmlformats.org/spreadsheetml/2006/main" count="11892" uniqueCount="2174">
  <si>
    <t>附件1</t>
  </si>
  <si>
    <t>2022年县本级一般公共预算收支平衡表</t>
  </si>
  <si>
    <t>单位：万元</t>
  </si>
  <si>
    <t>项   目</t>
  </si>
  <si>
    <t>年初预算数</t>
  </si>
  <si>
    <t>增减情况</t>
  </si>
  <si>
    <t>预算调整数</t>
  </si>
  <si>
    <t>备注</t>
  </si>
  <si>
    <t>一、一般公共预算总财力</t>
  </si>
  <si>
    <t>详见附表</t>
  </si>
  <si>
    <t>二、一般公共预算总支出</t>
  </si>
  <si>
    <t xml:space="preserve">   1.一般公共预算支出</t>
  </si>
  <si>
    <t xml:space="preserve">   2.债务还本支出</t>
  </si>
  <si>
    <t>再融资债券支出增加</t>
  </si>
  <si>
    <t xml:space="preserve">   3.上解支出</t>
  </si>
  <si>
    <t>三、财政收支平衡</t>
  </si>
  <si>
    <t>附件2</t>
  </si>
  <si>
    <t>2022年县本级一般公共预算财力预算调整表</t>
  </si>
  <si>
    <t>项     目</t>
  </si>
  <si>
    <t>2021年调整预算数</t>
  </si>
  <si>
    <t>年初预算说明</t>
  </si>
  <si>
    <t>说明</t>
  </si>
  <si>
    <t>一、县级一般预算收入</t>
  </si>
  <si>
    <t>二、上级转移性支付补助收入</t>
  </si>
  <si>
    <t xml:space="preserve">   1.返还性收入</t>
  </si>
  <si>
    <t>所得税基数返还收入1264，成品油税费改革税收返还收入291，增值税税收返还收入1878，消费税税收返还收入181，增值税“五五分享”税收返还收入1347。</t>
  </si>
  <si>
    <t>所得税基数返还收入1264万元，成品油税费改革税收返还收入291万元，增值税税收返还收入1878万元，消费税税收返还收入181万元，增值税“五五分享”税收返还收入1347万元</t>
  </si>
  <si>
    <t xml:space="preserve">   2.均衡性转移支付补助收入</t>
  </si>
  <si>
    <t>龙财预指【2020】4号提前下达2021年一般转移支付市级配套补助187万元，闽财预指【2020】38号提前下达2021年均衡性转移支付资金8289万。</t>
  </si>
  <si>
    <t>闽财预指〔2021〕24号提前下达2022年均衡性转移支付资金8289万元，龙财预指〔2021〕4号提前下达2022年一般转移支付市级配套补助187万元</t>
  </si>
  <si>
    <t xml:space="preserve">   3.调整工资和养老保险制度改革转移支付</t>
  </si>
  <si>
    <t>闽财预指【2020】36号提前下达2021年调整工资和养老保险制度改革转移支付资金15707万</t>
  </si>
  <si>
    <t>闽财预指〔2021〕30号提前下达2022年调整工资和养老保险制度改革转移支付资金15707万元，闽财预指〔2022〕2号工资转移支付补助资金2458万元</t>
  </si>
  <si>
    <t xml:space="preserve">   4.津贴补贴转移支付</t>
  </si>
  <si>
    <t>闽财预指【2020】39号提前下达2021年津贴补贴转移支付资金7518万。</t>
  </si>
  <si>
    <t>闽财预指〔2021〕31号提前下达2022年津贴补贴转移支付资金7518万元</t>
  </si>
  <si>
    <t/>
  </si>
  <si>
    <t xml:space="preserve">   5.农业转移人口市民化奖励资金</t>
  </si>
  <si>
    <t>闽财预指[2021]5号下达2021年农业转移人口市民化奖励资金2465万元。</t>
  </si>
  <si>
    <t xml:space="preserve">   6.县级基本财力保障机制奖补</t>
  </si>
  <si>
    <t>闽财预【2014】40号六挂六奖补助基数1818万，闽财预指【2020】47号县级基本财力保障补助资金12336万，闽财预指[2021]17号下达2021年县级基本财力保障补助资金4668万元。</t>
  </si>
  <si>
    <t>闽财预指〔2021〕36号提前下达2022年县级基本财力保障机制奖补资金15833万元，闽财预指〔2022〕16号2022年第一批县级基本财力保障机制奖补资金1680万元，闽财预指〔2022〕20号第二批一次性财力补助资金4000万元，闽财预〔2014〕40号六挂六奖补助基数1818万元</t>
  </si>
  <si>
    <t xml:space="preserve">   7.农村综合改革转移支付收入</t>
  </si>
  <si>
    <t>闽财预指【2020】32号提前下达2021年农村税费改革转移支付补助2410万，闽财预指【2020】33号提前下达2021年国有农场税费改革转移支付补助52万，闽财预指【2020】34号提前下达农村“五大员“及计生协会会长妇代会主任团支部书记津贴转移支付资金287万，龙财预指【2021】1号2021年乡村振兴大专项（涉农项目整合）资金中村级农民技术员（动物防疫员）补贴13.53万元及村级防汛信息员及锣长补贴6.1万元，闽财农指【2020】117号提前下达2021年村级组织运转转移支付补助资金1458万元，闽财农指【2020】102号提前下达2021年动植物疫病防控专项资金8.99万元。</t>
  </si>
  <si>
    <t>闽财预指〔2021〕33号提前下达2022年农村“五大员”及计生协会会长妇代会主任团支部书记津贴转移支付资金287万元，闽财预指〔2021〕27号提前下达2022年农村税费改革转移支付补助2410万元，闽财预指〔2021〕28号提前下达2022年国有农村税费改革转移支付补助52万元，闽财农指〔2021〕77号提前下达2022年村级组织运转保障补助资金1458万元</t>
  </si>
  <si>
    <t xml:space="preserve">   8.重点生态功能区转移支付收入</t>
  </si>
  <si>
    <t>闽财预指【2020】46号提前下达2021年生态保护财力转移支付资金5641万，闽财预指[2021]5号下达2021年生态保护财力转移支付资金731万元，闽财预指[2021]15号下达2021年第二批生态保护财力转移支付资金1060万元。</t>
  </si>
  <si>
    <t>闽财预指〔2021〕38号提前下达2022年生态保护财力转移支付资金5886万元</t>
  </si>
  <si>
    <t xml:space="preserve">   9.原中央苏区财力补助收入</t>
  </si>
  <si>
    <t>闽财预指【2020】35号提前下达2021年原中央苏区财力补助资金1600万。</t>
  </si>
  <si>
    <t>闽财预指〔2021〕29号提前下达2022年原中央苏区财力补助资金1600万元</t>
  </si>
  <si>
    <t xml:space="preserve">   10.贫困地区转移支付收入</t>
  </si>
  <si>
    <t>闽财预指[2021]21号2021年省级脱贫县相关补助社会事业专项资金1000万元。</t>
  </si>
  <si>
    <t xml:space="preserve">   11.减税降费和留抵退税转移支付收入</t>
  </si>
  <si>
    <t>闽财预指〔2022〕5号2022年支持小微企业留抵退税转移支付资金1956万元，闽财预指〔2022〕9号第二批支持基层落实减税降费和重点民生等转移支付资金11981万元，闽财预指〔2022〕14号提前下达第三批支持基层落实减税降费和重点民生等转移支付资金预算2571万元，闽财预指〔2022〕17号新增增值税留抵退税转移支付资金预算134.06万元</t>
  </si>
  <si>
    <t xml:space="preserve">   12.公共安全补助</t>
  </si>
  <si>
    <t>闽财政法指【2020】11号省级政法转移支付资金412万。</t>
  </si>
  <si>
    <t>闽财政法指〔2021〕9号提前下达2022年度省级政法转移支付资金412万元</t>
  </si>
  <si>
    <t xml:space="preserve">   13.结算补助收入</t>
  </si>
  <si>
    <t>预计结算补助1500万元</t>
  </si>
  <si>
    <t xml:space="preserve">   14.其他转移支付补助收入</t>
  </si>
  <si>
    <t>闽财预【2011】3号基层公安民警加班误餐补贴55万，闽财预【2012】168号中央财政育林基金减收补助568万，龙财预指[2021]2号安排2020年度专项绩效奖励资金13万元，闽财社指[2020]103号提前下达2021年民政事业类省级补助转移支付预算社区居委会运转补助64万元，龙财行指[2021]6号2021年度符合条件的离任村（居）妇代会主任养老补助经费2.97万元，闽财教指[2021]23号下达2021年乡村教师生活补助省级奖补资金170.4万元，闽财教指[2021]21号下达2021年经济困难县补充农村教师补助和农村紧缺教师代偿学费专项资金183万元，闽财社指[2020]99号提前下达2021年部分卫生健康项目省级补助资金卫生院人员经费保障137万元，龙财综指[2021]1号下达2019年度第二批冠豸山机场航线培育省级补助资金75万元。</t>
  </si>
  <si>
    <t>闽财预〔2011〕3号基层公安干警加班误餐补贴55万元，闽财预〔2012〕168号中央财政育林基金减收补助568万元</t>
  </si>
  <si>
    <t>三、上年结转数</t>
  </si>
  <si>
    <t>其中上年结转一般债券资金2321万元</t>
  </si>
  <si>
    <t>上年结转81381万元，其中结转上级专款69378万元，结转县级专项8936万元，余3067万元可做统筹财力</t>
  </si>
  <si>
    <t>四、债务转贷收入（新增债券）</t>
  </si>
  <si>
    <t>新增一般债券13013万元、世行贷款384.72万元</t>
  </si>
  <si>
    <t>2022年新增一般债券9824万元</t>
  </si>
  <si>
    <t xml:space="preserve">    债务转贷收入（置换债券）</t>
  </si>
  <si>
    <t>2021年再融资债券28943万元</t>
  </si>
  <si>
    <t>2022年再融资一般债券32527万元</t>
  </si>
  <si>
    <t>五、调入资金</t>
  </si>
  <si>
    <t>政府性基金预算调入26896万元、国有资本经营预算调入47万元。</t>
  </si>
  <si>
    <t>从政府性基金预算调入一般公共预算</t>
  </si>
  <si>
    <t>六、调入预算稳定调节基金</t>
  </si>
  <si>
    <t>县级财力合计</t>
  </si>
  <si>
    <t>附件3</t>
  </si>
  <si>
    <t>2022年一般公共预算收入预算调整表</t>
  </si>
  <si>
    <t>预算科目</t>
  </si>
  <si>
    <t>完成年初预算（%）</t>
  </si>
  <si>
    <t>与2021年完成数比增减（%）</t>
  </si>
  <si>
    <t>2021年结算数</t>
  </si>
  <si>
    <t>一、地方一般公共预算收入</t>
  </si>
  <si>
    <t>（一）税收收入</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</si>
  <si>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</si>
  <si>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</si>
  <si>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</si>
  <si>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</si>
  <si>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</si>
  <si>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</si>
  <si>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</si>
  <si>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8.城镇土地使用税</t>
  </si>
  <si>
    <t xml:space="preserve">    9.土地增值税</t>
  </si>
  <si>
    <t xml:space="preserve">    10.车船税</t>
  </si>
  <si>
    <t xml:space="preserve">    11.耕地占用税</t>
  </si>
  <si>
    <t xml:space="preserve">    12.契税</t>
  </si>
  <si>
    <t xml:space="preserve">    13.烟叶税</t>
  </si>
  <si>
    <t xml:space="preserve">    14.环保税</t>
  </si>
  <si>
    <t xml:space="preserve">    15.其他税收收入</t>
  </si>
  <si>
    <t>（二）非税收入</t>
  </si>
  <si>
    <t xml:space="preserve">    1.专项收入</t>
  </si>
  <si>
    <t xml:space="preserve">    2.行政事业性收费收入</t>
  </si>
  <si>
    <t xml:space="preserve">    3.罚没收入</t>
  </si>
  <si>
    <t xml:space="preserve">    4.捐赠收入</t>
  </si>
  <si>
    <t xml:space="preserve">    5.国有资本经营收入</t>
  </si>
  <si>
    <t xml:space="preserve">    6.国有资源(资产)有偿使用收入</t>
  </si>
  <si>
    <t xml:space="preserve">    7.政府住房基金收入</t>
  </si>
  <si>
    <t xml:space="preserve">    8.其他收入</t>
  </si>
  <si>
    <t>二、上划中央收入</t>
  </si>
  <si>
    <t>　  1.国内增值税</t>
  </si>
  <si>
    <t>　  2.消费税</t>
  </si>
  <si>
    <t>　  3.企业所得税</t>
  </si>
  <si>
    <t>　  4.个人所得税</t>
  </si>
  <si>
    <t xml:space="preserve">    5.车辆购置税</t>
  </si>
  <si>
    <t>一般公共预算收入合计</t>
  </si>
  <si>
    <t xml:space="preserve">   其中：1.税收收入</t>
  </si>
  <si>
    <t xml:space="preserve">       　2.非税收入</t>
  </si>
  <si>
    <t>附件4</t>
  </si>
  <si>
    <t>2022年县本级一般公共预算支出总量预算调整表</t>
  </si>
  <si>
    <t>功能科目</t>
  </si>
  <si>
    <t xml:space="preserve">功能科目名称 </t>
  </si>
  <si>
    <t>年初预算</t>
  </si>
  <si>
    <t>项目支出</t>
  </si>
  <si>
    <t>合计</t>
  </si>
  <si>
    <t>基本支出</t>
  </si>
  <si>
    <t>基本支出合计</t>
  </si>
  <si>
    <t>人员经费</t>
  </si>
  <si>
    <t>商品和服务支出</t>
  </si>
  <si>
    <t>小计</t>
  </si>
  <si>
    <t>工资福利</t>
  </si>
  <si>
    <t>对个人和家庭的补助</t>
  </si>
  <si>
    <t>一般公共服务支出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</si>
  <si>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</si>
  <si>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</si>
  <si>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</si>
  <si>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</si>
  <si>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</si>
  <si>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</si>
  <si>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</si>
  <si>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</si>
  <si>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</si>
  <si>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</si>
  <si>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</si>
  <si>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</si>
  <si>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</si>
  <si>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</si>
  <si>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粮油物资储备支出</t>
  </si>
  <si>
    <t>灾害防治及应急管理支出</t>
  </si>
  <si>
    <t>预备费</t>
  </si>
  <si>
    <t>其他支出</t>
  </si>
  <si>
    <t>债务付息支出</t>
  </si>
  <si>
    <t>债务发行费用支出</t>
  </si>
  <si>
    <t>加：债务还本支出</t>
  </si>
  <si>
    <t>加：上解支出</t>
  </si>
  <si>
    <t>总计</t>
  </si>
  <si>
    <t>调整预算主要调增事项：</t>
  </si>
  <si>
    <t>1.职务职级晋升、招考人员的国库统发工资增加4304万元，相应五险二金增加1951万元</t>
  </si>
  <si>
    <t>2.非国库统发工资：机关事业单位劳务派遣人员支出增加134万元、教师绩效考核激励经费增加657.6万元、年休未休假报酬5168万元、基础绩效奖及年度考核奖12942万元</t>
  </si>
  <si>
    <t>3.对个人和家庭的补助：离退休人员代发款增加760万元</t>
  </si>
  <si>
    <t>4.商品和服务支出：核销2021年基本业务费10292万元</t>
  </si>
  <si>
    <t>2022年预算内工资福利支出预算明细表</t>
  </si>
  <si>
    <t>财政内部机构</t>
  </si>
  <si>
    <t>单位类别</t>
  </si>
  <si>
    <t>预算单位</t>
  </si>
  <si>
    <t>支出功能分类</t>
  </si>
  <si>
    <t>预  算  内  工  资  福  利  支  出</t>
  </si>
  <si>
    <t>预算说明</t>
  </si>
  <si>
    <t>预算内工资福利
总计</t>
  </si>
  <si>
    <t>工资福利支出（公务员、参公人员）</t>
  </si>
  <si>
    <t>工资福利支出（事业）</t>
  </si>
  <si>
    <t>社会保障性支出</t>
  </si>
  <si>
    <t>国库统发</t>
  </si>
  <si>
    <t>非国库统发</t>
  </si>
  <si>
    <t>养老保险 16%</t>
  </si>
  <si>
    <t>医疗保险  8%</t>
  </si>
  <si>
    <t>公务员医疗补助 6%</t>
  </si>
  <si>
    <t>工伤保险 0.2%</t>
  </si>
  <si>
    <t>生育保险 0.6%</t>
  </si>
  <si>
    <t>住房公积金 12%</t>
  </si>
  <si>
    <t>职业年金 8%</t>
  </si>
  <si>
    <t>基本工资</t>
  </si>
  <si>
    <t>津贴补贴</t>
  </si>
  <si>
    <t>一次性奖金</t>
  </si>
  <si>
    <t>乡镇工作补贴</t>
  </si>
  <si>
    <t>行业性津补贴</t>
  </si>
  <si>
    <t>派遣人员工资（含五险一金）</t>
  </si>
  <si>
    <t>其他工资福利支出</t>
  </si>
  <si>
    <t>预留工资福利支出</t>
  </si>
  <si>
    <t>基础性绩效</t>
  </si>
  <si>
    <t>乡村教师补贴</t>
  </si>
  <si>
    <t>奖励性绩效</t>
  </si>
  <si>
    <t>定额补助</t>
  </si>
  <si>
    <t>教师绩效考核激励经费</t>
  </si>
  <si>
    <t>应休未休支出</t>
  </si>
  <si>
    <t>[05]行政事业股</t>
  </si>
  <si>
    <t>行政机关</t>
  </si>
  <si>
    <t>[101001]武平县人民代表大会常务委员会办公室</t>
  </si>
  <si>
    <t>[2010101]行政运行</t>
  </si>
  <si>
    <t>事业核拨</t>
  </si>
  <si>
    <t>[101002]武平县人大常委会理论研究和代表服务中心</t>
  </si>
  <si>
    <t>[2010150]事业运行</t>
  </si>
  <si>
    <t>[131001]中国人民政治协商会议福建省武平县委员会办公室</t>
  </si>
  <si>
    <t>[2010201]行政运行</t>
  </si>
  <si>
    <t>[131002]武平县政协委员培训服务中心</t>
  </si>
  <si>
    <t>[2010250]事业运行</t>
  </si>
  <si>
    <t>[434001]武平县人民政府办公室</t>
  </si>
  <si>
    <t>[2010301]行政运行</t>
  </si>
  <si>
    <t>[08]企业外经股</t>
  </si>
  <si>
    <t>[435001]武平县行政服务中心管理委员会</t>
  </si>
  <si>
    <t>[205001]武平县人民政府信访局</t>
  </si>
  <si>
    <t>[2010308]信访事务</t>
  </si>
  <si>
    <t>[205002]武平县网络信访服务中心</t>
  </si>
  <si>
    <t>[2010350]事业运行</t>
  </si>
  <si>
    <t>[434002]武平县机关事务服务中心</t>
  </si>
  <si>
    <t>[434003]武平县政府总值班室</t>
  </si>
  <si>
    <t>[434004]武平县大数据服务中心</t>
  </si>
  <si>
    <t>[434005]武平县效能建设服务中心</t>
  </si>
  <si>
    <t>[434006]武平县发展研究中心</t>
  </si>
  <si>
    <t>[435002]武平县行政服务保障中心</t>
  </si>
  <si>
    <t>[435003]武平县12345便民热线服务中心</t>
  </si>
  <si>
    <t>[02]预算股</t>
  </si>
  <si>
    <t>[911001]武平县人民政府平川街道办事处</t>
  </si>
  <si>
    <t>[911003]武平县平川街道综合便民服务中心</t>
  </si>
  <si>
    <t>[911004]武平县平川街道综合执法协调中心</t>
  </si>
  <si>
    <t>[911005]武平县平川街道社区建设发展中心</t>
  </si>
  <si>
    <t>[912001]武平县城厢镇人民政府</t>
  </si>
  <si>
    <t>[912003]武平县城厢镇综合便民服务中心</t>
  </si>
  <si>
    <t>[912004]武平县城厢镇综合执法队</t>
  </si>
  <si>
    <t>[912005]武平县城厢镇乡村振兴服务中心</t>
  </si>
  <si>
    <t>[913001]武平县万安镇人民政府</t>
  </si>
  <si>
    <t>[913003]武平县万安镇综合便民服务中心</t>
  </si>
  <si>
    <t>[913004]武平县万安镇综合执法队</t>
  </si>
  <si>
    <t>[913005]武平县万安镇乡村振兴服务中心</t>
  </si>
  <si>
    <t>[914001]武平县东留镇人民政府</t>
  </si>
  <si>
    <t>[914003]武平县东留镇综合便民服务中心</t>
  </si>
  <si>
    <t>[914004]武平县东留镇综合执法队</t>
  </si>
  <si>
    <t>[914005]武平县东留镇乡村振兴服务中心</t>
  </si>
  <si>
    <t>[915001]武平县中山镇人民政府</t>
  </si>
  <si>
    <t>[915003]武平县中山镇综合便民服务中心</t>
  </si>
  <si>
    <t>[915004]武平县中山镇综合执法队</t>
  </si>
  <si>
    <t>[915005]武平县中山镇乡村振兴服务中心</t>
  </si>
  <si>
    <t>[916001]武平县民主乡人民政府</t>
  </si>
  <si>
    <t>[916003]武平县民主乡综合便民服务中心</t>
  </si>
  <si>
    <t>[916004]武平县民主乡综合执法队</t>
  </si>
  <si>
    <t>[916005]武平县民主乡乡村振兴服务中心</t>
  </si>
  <si>
    <t>[917001]武平县下坝乡人民政府</t>
  </si>
  <si>
    <t>[917003]武平县下坝乡综合便民服务中心</t>
  </si>
  <si>
    <t>[917004]武平县下坝乡综合执法队</t>
  </si>
  <si>
    <t>[917005]武平县下坝乡乡村振兴服务中心</t>
  </si>
  <si>
    <t>[918001]武平县中赤镇人民政府</t>
  </si>
  <si>
    <t>[918003]武平县中赤镇综合便民服务中心</t>
  </si>
  <si>
    <t>[918004]武平县中赤镇综合执法队</t>
  </si>
  <si>
    <t>[918005]武平县中赤镇乡村振兴服务中心</t>
  </si>
  <si>
    <t>[919001]武平县岩前镇人民政府</t>
  </si>
  <si>
    <t>[919003]武平县岩前镇综合便民服务中心</t>
  </si>
  <si>
    <t>[919004]武平县岩前镇综合执法队</t>
  </si>
  <si>
    <t>[919005]武平县岩前镇乡村振兴服务中心</t>
  </si>
  <si>
    <t>[920001]武平县象洞镇人民政府</t>
  </si>
  <si>
    <t>[920003]武平县象洞镇综合便民服务中心</t>
  </si>
  <si>
    <t>[920004]武平县象洞镇综合执法队</t>
  </si>
  <si>
    <t>[920005]武平县象洞镇乡村振兴服务中心</t>
  </si>
  <si>
    <t>[921001]武平县十方镇人民政府</t>
  </si>
  <si>
    <t>[921003]武平县十方镇综合便民服务中心</t>
  </si>
  <si>
    <t>[921004]武平县十方镇综合执法队</t>
  </si>
  <si>
    <t>[921005]武平县十方镇乡村振兴服务中心</t>
  </si>
  <si>
    <t>[922001]武平县武东镇人民政府</t>
  </si>
  <si>
    <t>[922003]武平县武东镇综合便民服务中心</t>
  </si>
  <si>
    <t>[922004]武平县武东镇综合执法队</t>
  </si>
  <si>
    <t>[922005]武平县武东镇乡村振兴服务中心</t>
  </si>
  <si>
    <t>[923001]武平县中堡镇人民政府</t>
  </si>
  <si>
    <t>[923003]武平县中堡镇综合便民服务中心</t>
  </si>
  <si>
    <t>[923004]武平县中堡镇综合执法队</t>
  </si>
  <si>
    <t>[923005]武平县中堡镇乡村振兴服务中心</t>
  </si>
  <si>
    <t>[924001]武平县永平镇人民政府</t>
  </si>
  <si>
    <t>[924003]武平县永平镇综合便民服务中心</t>
  </si>
  <si>
    <t>[924004]武平县永平镇综合执法队</t>
  </si>
  <si>
    <t>[924005]武平县永平镇乡村振兴服务中心</t>
  </si>
  <si>
    <t>[925001]武平县桃溪镇人民政府</t>
  </si>
  <si>
    <t>[925003]武平县桃溪镇综合便民服务中心</t>
  </si>
  <si>
    <t>[925004]武平县桃溪镇综合执法队</t>
  </si>
  <si>
    <t>[925005]武平县桃溪镇乡村振兴服务中心</t>
  </si>
  <si>
    <t>[926001]武平县大禾镇人民政府</t>
  </si>
  <si>
    <t>[926003]武平县大禾镇综合便民服务中心</t>
  </si>
  <si>
    <t>[926004]武平县大禾镇综合执法队</t>
  </si>
  <si>
    <t>[926005]武平县大禾镇乡村振兴服务中心</t>
  </si>
  <si>
    <t>[927001]武平县湘店镇人民政府</t>
  </si>
  <si>
    <t>[927003]武平县湘店镇综合便民服务中心</t>
  </si>
  <si>
    <t>[927004]武平县湘店镇综合执法队</t>
  </si>
  <si>
    <t>[927005]武平县湘店镇乡村振兴服务中心</t>
  </si>
  <si>
    <t>[06]经济发展股</t>
  </si>
  <si>
    <t>[303001]武平县发展和改革局</t>
  </si>
  <si>
    <t>[2010401]行政运行</t>
  </si>
  <si>
    <t>[303003]武平县项目服务中心</t>
  </si>
  <si>
    <t>[2010450]事业运行</t>
  </si>
  <si>
    <t>[303004]武平县价格认证中心</t>
  </si>
  <si>
    <t>[303005]武平县粮食流通服务中心</t>
  </si>
  <si>
    <t>[303006]武平县苏区振兴发展服务中心</t>
  </si>
  <si>
    <t>[303007]武平县第三产业发展服务中心</t>
  </si>
  <si>
    <t>[410001]武平县统计局</t>
  </si>
  <si>
    <t>[2010501]行政运行</t>
  </si>
  <si>
    <t>[410002]武平县城市社会经济调查队</t>
  </si>
  <si>
    <t>[410003]武平县农村社会经济调查队</t>
  </si>
  <si>
    <t>[410004]武平县统计局普查中心</t>
  </si>
  <si>
    <t>[410005]武平县统计服务中心</t>
  </si>
  <si>
    <t>[2010550]事业运行</t>
  </si>
  <si>
    <t>[318001]武平县财政局</t>
  </si>
  <si>
    <t>[2010601]行政运行</t>
  </si>
  <si>
    <t>[318003]武平县财政投资评审中心</t>
  </si>
  <si>
    <t>[2010608]财政委托业务支出</t>
  </si>
  <si>
    <t>[318002]武平县财政国库支付中心</t>
  </si>
  <si>
    <t>[2010650]事业运行</t>
  </si>
  <si>
    <t>[318005]武平县乡镇财政服务中心</t>
  </si>
  <si>
    <t>[318006]武平县国资金融中心</t>
  </si>
  <si>
    <t>[318019]武平县预算绩效评价中心</t>
  </si>
  <si>
    <t>[318020]武平县资金统筹服务中心</t>
  </si>
  <si>
    <t>[319001]武平县审计局</t>
  </si>
  <si>
    <t>[2010801]行政运行</t>
  </si>
  <si>
    <t>[319002]武平县审计举报中心</t>
  </si>
  <si>
    <t>[2010850]事业运行</t>
  </si>
  <si>
    <t>[319003]武平县固定资产投资审计中心</t>
  </si>
  <si>
    <t>[319004]武平县乡镇审计中心</t>
  </si>
  <si>
    <t>[319005]武平县电子数据审计服务中心</t>
  </si>
  <si>
    <t>[222001]中国共产党武平县纪律检查委员会</t>
  </si>
  <si>
    <t>[2011101]行政运行</t>
  </si>
  <si>
    <t>[222002]武平县廉政警示教育中心</t>
  </si>
  <si>
    <t>[2011150]事业运行</t>
  </si>
  <si>
    <t>[304001]武平县工业信息化和科学技术局</t>
  </si>
  <si>
    <t>[2011301]行政运行</t>
  </si>
  <si>
    <t>[436001]福建武平工业园区管理委员会</t>
  </si>
  <si>
    <t>[472001]武平县商务局</t>
  </si>
  <si>
    <t>[304002]武平县科技情报研究所</t>
  </si>
  <si>
    <t>[2011350]事业运行</t>
  </si>
  <si>
    <t>[304003]武平县中小企业服务中心</t>
  </si>
  <si>
    <t>[304007]武平县稀土产业发展服务中心</t>
  </si>
  <si>
    <t>[304008]武平县节能服务中心</t>
  </si>
  <si>
    <t>[304009]武平县军民融合项目服务中心</t>
  </si>
  <si>
    <t>[436002]武平工业园区规划发展中心</t>
  </si>
  <si>
    <t>[436003]武平工业园区安全生产和环境保护站</t>
  </si>
  <si>
    <t>[472002]武平县招商服务中心</t>
  </si>
  <si>
    <t>[472003]武平县商务行政执法大队</t>
  </si>
  <si>
    <t>[472004]武平县农村电子商务服务中心</t>
  </si>
  <si>
    <t>[437001]武平高新技术产业园区管理委员会</t>
  </si>
  <si>
    <t>[2011399]其他商贸事务支出</t>
  </si>
  <si>
    <t>[437002]武平高新技术产业园区发展服务中心</t>
  </si>
  <si>
    <t>[437003]武平高新技术产业园区安全生产和环境保护站</t>
  </si>
  <si>
    <t>[241001]武平县档案馆</t>
  </si>
  <si>
    <t>[2012601]行政运行</t>
  </si>
  <si>
    <t>[241002]武平县档案咨询服务中心</t>
  </si>
  <si>
    <t>[2012603]机关服务</t>
  </si>
  <si>
    <t>[714001]武平县工商业联合会</t>
  </si>
  <si>
    <t>[2012801]行政运行</t>
  </si>
  <si>
    <t>[714002]武平县国际贸易促进服务中心</t>
  </si>
  <si>
    <t>[2012850]事业运行</t>
  </si>
  <si>
    <t>[711001]武平县总工会</t>
  </si>
  <si>
    <t>[2012901]行政运行</t>
  </si>
  <si>
    <t>[712001]中国共产主义青年团武平县委员会</t>
  </si>
  <si>
    <t>[713001]武平县妇女联合会</t>
  </si>
  <si>
    <t>[717001]武平县关心下一代工作委员会</t>
  </si>
  <si>
    <t>[721001]武平县文学艺术界联合会</t>
  </si>
  <si>
    <t>[771001]武平县归国华侨联合会</t>
  </si>
  <si>
    <t>[712002]武平县青少年宫</t>
  </si>
  <si>
    <t>[2012950]事业运行</t>
  </si>
  <si>
    <t>[713002]武平县妇女儿童活动中心</t>
  </si>
  <si>
    <t>[721002]武平县刘亚楼文学院</t>
  </si>
  <si>
    <t>[771002]武平县侨联服务中心</t>
  </si>
  <si>
    <t>事业自给</t>
  </si>
  <si>
    <t>[204008]武平县慈善总会</t>
  </si>
  <si>
    <t>[2012999]其他群众团体事务支出</t>
  </si>
  <si>
    <t>[201001]中国共产党武平县委员会办公室</t>
  </si>
  <si>
    <t>[2013101]行政运行</t>
  </si>
  <si>
    <t>[201006]武平县县委县政府接待处</t>
  </si>
  <si>
    <t>[206001]中国共产党武平县委县直机关工作委员会</t>
  </si>
  <si>
    <t>[207001]中共武平县委精神文明建设办公室</t>
  </si>
  <si>
    <t>[216001]中国共产党武平县委员会政法委员会</t>
  </si>
  <si>
    <t>[201007]武平县政策研究中心</t>
  </si>
  <si>
    <t>[2013150]事业运行</t>
  </si>
  <si>
    <t>[201008]中共武平县委总值班室</t>
  </si>
  <si>
    <t>[201009]武平县保密技术服务中心</t>
  </si>
  <si>
    <t>[201010]武平县电子政务内网和密码技术中心</t>
  </si>
  <si>
    <t>[201011]武平县党建工作协调中心</t>
  </si>
  <si>
    <t>[207002]武平县新时代文明实践中心</t>
  </si>
  <si>
    <t>[207003]武平县未成年人思想道德建设中心</t>
  </si>
  <si>
    <t>[216002]武平县法学研究与综治中心</t>
  </si>
  <si>
    <t>[203001]中国共产党武平县委员会组织部</t>
  </si>
  <si>
    <t>[2013201]行政运行</t>
  </si>
  <si>
    <t>[203002]武平县干部档案室</t>
  </si>
  <si>
    <t>[203003]武平县人才发展研究中心</t>
  </si>
  <si>
    <t>[2013250]事业运行</t>
  </si>
  <si>
    <t>[203004]武平县党员服务中心</t>
  </si>
  <si>
    <t>[211001]中国共产党武平县委员会宣传部</t>
  </si>
  <si>
    <t>[2013301]行政运行</t>
  </si>
  <si>
    <t>[211002]武平县网络舆情中心</t>
  </si>
  <si>
    <t>[2013350]事业运行</t>
  </si>
  <si>
    <t>[213001]中国共产党武平县委员会统一战线工作部</t>
  </si>
  <si>
    <t>[2013401]行政运行</t>
  </si>
  <si>
    <t>[213002]武平县宗教事务服务中心</t>
  </si>
  <si>
    <t>[2013450]事业运行</t>
  </si>
  <si>
    <t>[213003]武平县新的社会阶层人士服务中心</t>
  </si>
  <si>
    <t>[204001]中国共产党武平县委员会老干部局</t>
  </si>
  <si>
    <t>[2013601]行政运行</t>
  </si>
  <si>
    <t>[204003]武平县定光佛文化交流促进会</t>
  </si>
  <si>
    <t>[204004]武平县老区建设促进会</t>
  </si>
  <si>
    <t>[204007]武平县老科学技术工作者协会</t>
  </si>
  <si>
    <t>[204010]武平县老干部活动中心</t>
  </si>
  <si>
    <t>[225001]中共武平县委机构编制委员会办公室</t>
  </si>
  <si>
    <t>[225002]武平县事业单位登记管理局</t>
  </si>
  <si>
    <t>[283001]中共武平县委党史和地方志研究室</t>
  </si>
  <si>
    <t>[204009]武平县老年大学</t>
  </si>
  <si>
    <t>[2013603]机关服务</t>
  </si>
  <si>
    <t>[204006]武平县老年人体育健身服务中心</t>
  </si>
  <si>
    <t>[2013650]事业运行</t>
  </si>
  <si>
    <t>[204011]武平县老干部人民调解服务中心</t>
  </si>
  <si>
    <t>[225003]武平县机构编制信息中心</t>
  </si>
  <si>
    <t>[225004]武平县政务和公益机构域名注册中心</t>
  </si>
  <si>
    <t>[424001]武平县市场监督管理局</t>
  </si>
  <si>
    <t>[2013801]行政运行</t>
  </si>
  <si>
    <t>[424002]武平县不锈钢技术研发中心</t>
  </si>
  <si>
    <t>[2013850]事业运行</t>
  </si>
  <si>
    <t>[424003]武平县知识产权信息服务中心</t>
  </si>
  <si>
    <t>[424004]武平县质量计量检验检测中心</t>
  </si>
  <si>
    <t>[312001]武平县公安局</t>
  </si>
  <si>
    <t>[2040201]行政运行</t>
  </si>
  <si>
    <t>[312003]武平县公安局交通警察大队</t>
  </si>
  <si>
    <t>[312004]武平县看守所</t>
  </si>
  <si>
    <t>[312006]武平县公安机关服务中心</t>
  </si>
  <si>
    <t>[2040250]事业运行</t>
  </si>
  <si>
    <t>[315001]武平县司法局</t>
  </si>
  <si>
    <t>[2040601]行政运行</t>
  </si>
  <si>
    <t>[315002]福建省武平县公证处</t>
  </si>
  <si>
    <t>[2040650]事业运行</t>
  </si>
  <si>
    <t>[315003]武平县法律援助服务中心</t>
  </si>
  <si>
    <t>[315004]武平县社区矫正中心</t>
  </si>
  <si>
    <t>[813001]中国人民解放军福建省武平县人民武装部</t>
  </si>
  <si>
    <t>[2049999]其他公共安全支出</t>
  </si>
  <si>
    <t>[360001]武平县教育局</t>
  </si>
  <si>
    <t>[2050101]行政运行</t>
  </si>
  <si>
    <t>其他工资福利支出：代课教师补贴200，工会定额补助30</t>
  </si>
  <si>
    <t>非义务教育</t>
  </si>
  <si>
    <t>[360002]福建省武平县第一中学</t>
  </si>
  <si>
    <t>[2050204]高中教育</t>
  </si>
  <si>
    <t>[360003]福建省武平县第二中学</t>
  </si>
  <si>
    <t>义务教育</t>
  </si>
  <si>
    <t>[360004]武平县实验小学</t>
  </si>
  <si>
    <t>[2050202]小学教育</t>
  </si>
  <si>
    <t>[360005]武平县教师进修学校附属小学</t>
  </si>
  <si>
    <t>[360006]福建省武平县教师进修学校</t>
  </si>
  <si>
    <t>[2050801]教师进修</t>
  </si>
  <si>
    <t>[360007]武平县特殊教育学校</t>
  </si>
  <si>
    <t>[2050701]特殊学校教育</t>
  </si>
  <si>
    <t>[360008]武平县下坝中心学校</t>
  </si>
  <si>
    <t>[360009]福建省武平职业中专学校</t>
  </si>
  <si>
    <t>[2050302]中等职业教育</t>
  </si>
  <si>
    <t>[360010]武平县大禾中学</t>
  </si>
  <si>
    <t>[2050203]初中教育</t>
  </si>
  <si>
    <t>[360011]武平县大禾中心学校</t>
  </si>
  <si>
    <t>[360012]福建广播电视大学武平县工作站</t>
  </si>
  <si>
    <t>[2050501]广播电视学校</t>
  </si>
  <si>
    <t>[360013]武平县中赤中学</t>
  </si>
  <si>
    <t>[360014]武平县中赤中心学校</t>
  </si>
  <si>
    <t>[360015]武平县中堡中学</t>
  </si>
  <si>
    <t>[360016]福建省武平县湘店中学</t>
  </si>
  <si>
    <t>[360017]武平县民主中心学校</t>
  </si>
  <si>
    <t>[360018]武平县中堡中心学校</t>
  </si>
  <si>
    <t>[360019]武平县十方中心学校</t>
  </si>
  <si>
    <t>[360020]福建省武平县十方中学</t>
  </si>
  <si>
    <t>[360021]武平县教师进修学校附属学校</t>
  </si>
  <si>
    <t>[360022]武平初级中学</t>
  </si>
  <si>
    <t>[360023]武平县东留中心学校</t>
  </si>
  <si>
    <t>[360024]武平县东留初级中学</t>
  </si>
  <si>
    <t>[360025]福建省武平县武东中学</t>
  </si>
  <si>
    <t>[360026]武平县武东中心学校</t>
  </si>
  <si>
    <t>[360027]武平县城厢中心学校</t>
  </si>
  <si>
    <t>[360028]武平县第二实验小学</t>
  </si>
  <si>
    <t>[360029]福建省武平县万安中学</t>
  </si>
  <si>
    <t>[360030]武平县万安中心学校</t>
  </si>
  <si>
    <t>[360031]福建省武平县桃溪中学</t>
  </si>
  <si>
    <t>[360032]武平县桃溪中心学校</t>
  </si>
  <si>
    <t>[360033]武平县实验幼儿园</t>
  </si>
  <si>
    <t>[2050201]学前教育</t>
  </si>
  <si>
    <t>[360034]武平县第三中学</t>
  </si>
  <si>
    <t>[360035]武平县湘店中心学校</t>
  </si>
  <si>
    <t>[360036]武平县永平中心学校</t>
  </si>
  <si>
    <t>[360037]福建省武平县帽村初级中学</t>
  </si>
  <si>
    <t>[360038]武平县中山中学</t>
  </si>
  <si>
    <t>[360039]武平县中山中心学校</t>
  </si>
  <si>
    <t>[360040]武平县象洞初级中学</t>
  </si>
  <si>
    <t>[360041]武平县象洞中心学校</t>
  </si>
  <si>
    <t>[360042]福建省武平县岩前中学</t>
  </si>
  <si>
    <t>[360043]武平县岩前中心学校</t>
  </si>
  <si>
    <t>[360045]武平县中小学生社会实践基地学校</t>
  </si>
  <si>
    <t>[2050299]其他普通教育支出</t>
  </si>
  <si>
    <t>[360046]武平县实验中学</t>
  </si>
  <si>
    <t>[360047]武平县第二实验幼儿园</t>
  </si>
  <si>
    <t>[360048]武平县平川幼儿园</t>
  </si>
  <si>
    <t>[360049]武平县刘亚楼红军小学</t>
  </si>
  <si>
    <t>[360050]武平县文山幼儿园</t>
  </si>
  <si>
    <t>[360051]武平县鼓楼幼儿园</t>
  </si>
  <si>
    <t>[360053]武平县第三实验小学</t>
  </si>
  <si>
    <t>[360055]武平县碧水幼儿园</t>
  </si>
  <si>
    <t>[360056]武平县梁野幼儿园</t>
  </si>
  <si>
    <t>[360057]武平县高新区幼儿园</t>
  </si>
  <si>
    <t>[360058]武平县教师进修学校附属小学集文校区</t>
  </si>
  <si>
    <t>[360059]武平县蓝天幼儿园</t>
  </si>
  <si>
    <t>[360101]武平县电化教育中心</t>
  </si>
  <si>
    <t>[2050199]其他教育管理事务支出</t>
  </si>
  <si>
    <t>[360102]武平县招生考试中心</t>
  </si>
  <si>
    <t>[281001]中共武平县委党校</t>
  </si>
  <si>
    <t>[2050802]干部教育</t>
  </si>
  <si>
    <t>[201005]武平县海峡两岸交流基地服务中心</t>
  </si>
  <si>
    <t>[2050899]其他进修及培训</t>
  </si>
  <si>
    <t>[731001]武平县科学技术协会</t>
  </si>
  <si>
    <t>[2060701]机构运行</t>
  </si>
  <si>
    <t>[731002]武平县科技馆</t>
  </si>
  <si>
    <t>[357001]武平县文化体育和旅游局</t>
  </si>
  <si>
    <t>[2070101]行政运行</t>
  </si>
  <si>
    <t>[357005]武平县图书馆</t>
  </si>
  <si>
    <t>[2070104]图书馆</t>
  </si>
  <si>
    <t>事业差额</t>
  </si>
  <si>
    <t>[357002]武平县汉剧艺术传承保护中心</t>
  </si>
  <si>
    <t>[2070107]艺术表演团体</t>
  </si>
  <si>
    <t>[357003]武平县文化馆</t>
  </si>
  <si>
    <t>[2070109]群众文化</t>
  </si>
  <si>
    <t>[357007]武平县文化市场综合执法大队</t>
  </si>
  <si>
    <t>[2070112]文化和旅游市场管理</t>
  </si>
  <si>
    <t>[357009]武平县体育中心</t>
  </si>
  <si>
    <t>[2070199]其他文化和旅游支出</t>
  </si>
  <si>
    <t>[357010]武平县旅游质量监督管理所</t>
  </si>
  <si>
    <t>[357011]武平县文物保护服务中心</t>
  </si>
  <si>
    <t>[357013]武平县全域旅游服务中心</t>
  </si>
  <si>
    <t>[357006]武平县博物馆</t>
  </si>
  <si>
    <t>[2070205]博物馆</t>
  </si>
  <si>
    <t>[357004]武平县少年儿童体育学校</t>
  </si>
  <si>
    <t>[2070306]体育训练</t>
  </si>
  <si>
    <t>[211005]武平县广播电视发射台</t>
  </si>
  <si>
    <t>[2070807]传输发射</t>
  </si>
  <si>
    <t>[211004]武平县融媒体中心</t>
  </si>
  <si>
    <t>[2070899]其他广播电视支出</t>
  </si>
  <si>
    <t>[357008]武平县兴贤坊传统文化街区服务中心</t>
  </si>
  <si>
    <t>[2079999]其他文化旅游体育与传媒支出</t>
  </si>
  <si>
    <t>[10]社保股</t>
  </si>
  <si>
    <t>[323001]武平县人力资源和社会保障局</t>
  </si>
  <si>
    <t>[2080101]行政运行</t>
  </si>
  <si>
    <t>[323003]武平县退休干部管理办公室</t>
  </si>
  <si>
    <t>[323008]武平县劳动保障监察大队</t>
  </si>
  <si>
    <t>[2080105]劳动保障监察</t>
  </si>
  <si>
    <t>[323006]武平县公共就业和人才服务中心</t>
  </si>
  <si>
    <t>[2080106]就业管理事务</t>
  </si>
  <si>
    <t>[323005]武平县机关事业单位社会保险中心</t>
  </si>
  <si>
    <t>[2080109]社会保险经办机构</t>
  </si>
  <si>
    <t>[323007]武平县城乡居民社会养老保险中心</t>
  </si>
  <si>
    <t>[323002]武平县劳动人事争议仲裁院</t>
  </si>
  <si>
    <t>[2080112]劳动人事争议调解仲裁</t>
  </si>
  <si>
    <t>[314001]武平县民政局</t>
  </si>
  <si>
    <t>[2080201]行政运行</t>
  </si>
  <si>
    <t>[314008]武平县社区养老服务中心</t>
  </si>
  <si>
    <t>[2080299]其他民政管理事务支出</t>
  </si>
  <si>
    <t>[314010]武平县慈善捐助服务中心</t>
  </si>
  <si>
    <t>[314012]武平县婚姻登记服务中心</t>
  </si>
  <si>
    <t>[314019]武平县救助服务中心</t>
  </si>
  <si>
    <t>[314020]武平县救助申请家庭经济状况核对中心</t>
  </si>
  <si>
    <t>[317004]武平县光荣院</t>
  </si>
  <si>
    <t>[2080807]光荣院</t>
  </si>
  <si>
    <t>[317005]武平县烈士纪念设施保护中心</t>
  </si>
  <si>
    <t>[2080808]烈士纪念设施管理维护</t>
  </si>
  <si>
    <t>[314005]武平县社会福利中心</t>
  </si>
  <si>
    <t>[2081005]社会福利事业单位</t>
  </si>
  <si>
    <t>[762001]福建省武平县残疾人联合会</t>
  </si>
  <si>
    <t>[2081101]行政运行</t>
  </si>
  <si>
    <t>[762002]福建省武平县残疾人就业指导中心</t>
  </si>
  <si>
    <t>[2081103]机关服务</t>
  </si>
  <si>
    <t>[361030]武平县红十字会</t>
  </si>
  <si>
    <t>[2081601]行政运行</t>
  </si>
  <si>
    <t>[317001]武平县退役军人事务局</t>
  </si>
  <si>
    <t>[2082801]行政运行</t>
  </si>
  <si>
    <t>[317003]武平县退役军人服务中心</t>
  </si>
  <si>
    <t>[2082850]事业运行</t>
  </si>
  <si>
    <t>[361001]武平县卫生健康局</t>
  </si>
  <si>
    <t>[2100101]行政运行</t>
  </si>
  <si>
    <t>[361004]武平县流动人口计划生育管理站</t>
  </si>
  <si>
    <t>[361002]武平县基层卫技人员服务中心</t>
  </si>
  <si>
    <t>[2100103]机关服务</t>
  </si>
  <si>
    <t>[361005]武平县突发公共卫生事件应急服务中心</t>
  </si>
  <si>
    <t>[361006]武平县爱国卫生服务中心</t>
  </si>
  <si>
    <t>[361025]武平县卫生进修学校</t>
  </si>
  <si>
    <t>[362002]武平县医院</t>
  </si>
  <si>
    <t>[2100201]综合医院</t>
  </si>
  <si>
    <t>[362003]武平县中医院</t>
  </si>
  <si>
    <t>[2100202]中医（民族）医院</t>
  </si>
  <si>
    <t>[362001]武平县总医院</t>
  </si>
  <si>
    <t>[2100299]其他公立医院支出</t>
  </si>
  <si>
    <t>[362009]武平县城区社区卫生服务中心</t>
  </si>
  <si>
    <t>[2100301]城市社区卫生机构</t>
  </si>
  <si>
    <t>[362004]武平县中堡卫生院</t>
  </si>
  <si>
    <t>[2100302]乡镇卫生院</t>
  </si>
  <si>
    <t>[362005]武平县武东卫生院</t>
  </si>
  <si>
    <t>[362006]武平县象洞卫生院</t>
  </si>
  <si>
    <t>[362007]武平县万安卫生院</t>
  </si>
  <si>
    <t>[362008]武平县下坝卫生院</t>
  </si>
  <si>
    <t>[362010]武平县中赤卫生院</t>
  </si>
  <si>
    <t>[362011]武平县民主卫生院</t>
  </si>
  <si>
    <t>[362012]武平县中山中心卫生院</t>
  </si>
  <si>
    <t>[362013]武平县东留卫生院</t>
  </si>
  <si>
    <t>[362014]武平县岩前中心卫生院</t>
  </si>
  <si>
    <t>[362015]武平县十方中心卫生院</t>
  </si>
  <si>
    <t>[362016]武平县湘店卫生院</t>
  </si>
  <si>
    <t>[362017]武平县大禾卫生院</t>
  </si>
  <si>
    <t>[362018]武平县桃溪中心卫生院</t>
  </si>
  <si>
    <t>[362019]武平县永平卫生院</t>
  </si>
  <si>
    <t>[361003]武平县疾病预防控制中心</t>
  </si>
  <si>
    <t>[2100401]疾病预防控制机构</t>
  </si>
  <si>
    <t>[361028]武平县卫生健康监督所</t>
  </si>
  <si>
    <t>[2100402]卫生监督机构</t>
  </si>
  <si>
    <t>[362020]武平县妇幼保健院</t>
  </si>
  <si>
    <t>[2100403]妇幼保健机构</t>
  </si>
  <si>
    <t>[363001]武平县计划生育协会</t>
  </si>
  <si>
    <t>[2100716]计划生育机构</t>
  </si>
  <si>
    <t>[333001]武平县住房和城乡建设局</t>
  </si>
  <si>
    <t>[2120101]行政运行</t>
  </si>
  <si>
    <t>[334001]武平县城市管理局</t>
  </si>
  <si>
    <t>[2120104]城管执法</t>
  </si>
  <si>
    <t>劳务派遣人员132人*1.2万/年=158.4，正式人员58人*1万/年=58，加班补贴190人*0.96=182.4，合计398.8万。</t>
  </si>
  <si>
    <t>[334002]武平县城建监察管理大队</t>
  </si>
  <si>
    <t>[334006]武平县城市管理综合执法大队</t>
  </si>
  <si>
    <t>[334007]武平县公用事业收费服务所</t>
  </si>
  <si>
    <t>[334008]武平县物业服务中心</t>
  </si>
  <si>
    <t>[333008]武平县住房保障站</t>
  </si>
  <si>
    <t>[2120109]住宅建设与房地产市场监管</t>
  </si>
  <si>
    <t>[333002]武平县建设工程造价站</t>
  </si>
  <si>
    <t>[2120199]其他城乡社区管理事务支出</t>
  </si>
  <si>
    <t>[333021]武平县房屋征收补偿站</t>
  </si>
  <si>
    <t>[334003]武平县市政维护所</t>
  </si>
  <si>
    <t>[333020]武平县村镇建设站</t>
  </si>
  <si>
    <t>[2120201]城乡社区规划与管理</t>
  </si>
  <si>
    <t>[334004]武平县环境卫生站</t>
  </si>
  <si>
    <t>[2120501]城乡社区环境卫生</t>
  </si>
  <si>
    <t>[334005]武平县园林所</t>
  </si>
  <si>
    <t>[333003]武平县消防化工建设工程中心</t>
  </si>
  <si>
    <t>[2120601]建设市场管理与监督</t>
  </si>
  <si>
    <t>[333012]武平县建设工程质量安全站</t>
  </si>
  <si>
    <t>[11]农业农村股</t>
  </si>
  <si>
    <t>[326001]武平县农业农村局</t>
  </si>
  <si>
    <t>[2130101]行政运行</t>
  </si>
  <si>
    <t>[326002]武平县农业机械推广站</t>
  </si>
  <si>
    <t>[326009]武平县农业综合执法大队</t>
  </si>
  <si>
    <t>[326015]中国渔政武平县大队</t>
  </si>
  <si>
    <t>[326004]武平县农业技术推广站</t>
  </si>
  <si>
    <t>[2130104]事业运行</t>
  </si>
  <si>
    <t>[326005]武平县农村合作经济经营服务中心</t>
  </si>
  <si>
    <t>[326006]武平县植保植检站</t>
  </si>
  <si>
    <t>[326007]武平县土壤肥料和生态能源技术服务站</t>
  </si>
  <si>
    <t>[326008]武平县经济作物技术推广站</t>
  </si>
  <si>
    <t>[326010]武平县农产品质量安全监管站</t>
  </si>
  <si>
    <t>[326011]武平县农产品质量检验检测站</t>
  </si>
  <si>
    <t>[326012]武平县小额信贷中心</t>
  </si>
  <si>
    <t>[326013]武平县牲畜屠宰执法大队</t>
  </si>
  <si>
    <t>[326014]武平县农村劳务开发服务中心</t>
  </si>
  <si>
    <t>[326016]武平县畜牧技术推广站</t>
  </si>
  <si>
    <t>[326017]武平县水产技术推广站</t>
  </si>
  <si>
    <t>[326018]武平县动物疫病预防控制中心</t>
  </si>
  <si>
    <t>[326019]武平县动物卫生监督所</t>
  </si>
  <si>
    <t>[326020]武平县城关畜牧兽医水产站</t>
  </si>
  <si>
    <t>[326021]武平县农田建设中心</t>
  </si>
  <si>
    <t>[326022]武平县乡村振兴服务中心</t>
  </si>
  <si>
    <t>[326023]武平县现代农业发展服务中心</t>
  </si>
  <si>
    <t>[07]资环股</t>
  </si>
  <si>
    <t>[327001]武平县林业局</t>
  </si>
  <si>
    <t>[2130201]行政运行</t>
  </si>
  <si>
    <t>[327003]福建梁野山国家级自然保护区管理局</t>
  </si>
  <si>
    <t>[327004]武平县中山河国家湿地公园保护中心</t>
  </si>
  <si>
    <t>[2130203]机关服务</t>
  </si>
  <si>
    <t>[327005]武平县林业规划设计队</t>
  </si>
  <si>
    <t>[327006]武平县林业执法大队</t>
  </si>
  <si>
    <t>[327007]武平县林业产业服务中心</t>
  </si>
  <si>
    <t>[327008]武平县护林站</t>
  </si>
  <si>
    <t>[327009]武平县森林资源站</t>
  </si>
  <si>
    <t>[327010]武平县森林植物检疫站</t>
  </si>
  <si>
    <t>[327011]武平县林业技术推广中心</t>
  </si>
  <si>
    <t>[327012]武平县捷文生态林业发展中心</t>
  </si>
  <si>
    <t>[327013]武平县乡镇林业工作站</t>
  </si>
  <si>
    <t>[327002]武平县森林资源资产评估中心</t>
  </si>
  <si>
    <t>[2130204]事业机构</t>
  </si>
  <si>
    <t>[332001]武平县水利局</t>
  </si>
  <si>
    <t>[2130301]行政运行</t>
  </si>
  <si>
    <t>[332004]武平县水利水电工程移民发展中心</t>
  </si>
  <si>
    <t>[2130303]机关服务</t>
  </si>
  <si>
    <t>[332005]武平县水土保持中心</t>
  </si>
  <si>
    <t>[332006]武平县水利水电服务中心</t>
  </si>
  <si>
    <t>[332007]武平县水政监察大队</t>
  </si>
  <si>
    <t>[332008]武平县河湖服务中心</t>
  </si>
  <si>
    <t>[332002]武平县六甲水库工作站</t>
  </si>
  <si>
    <t>[2130399]其他水利支出</t>
  </si>
  <si>
    <t>[332003]武平县捷文水库工作站</t>
  </si>
  <si>
    <t>[348001]武平县交通运输局</t>
  </si>
  <si>
    <t>[2140101]行政运行</t>
  </si>
  <si>
    <t>[348008]武平县运输管理所</t>
  </si>
  <si>
    <t>[348002]武平县农村公路发展服务中心</t>
  </si>
  <si>
    <t>[2140199]其他公路水路运输支出</t>
  </si>
  <si>
    <t>[348003]武平县农村公路养护所</t>
  </si>
  <si>
    <t>[348005]武平县交通基本建设工程质量监督站</t>
  </si>
  <si>
    <t>[348004]武平县铁路建设发展中心</t>
  </si>
  <si>
    <t>[2140299]其他铁路运输支出</t>
  </si>
  <si>
    <t>[312005]武平县道路交通事故社会救助基金服务中心</t>
  </si>
  <si>
    <t>[2149999]其他交通运输支出</t>
  </si>
  <si>
    <t>[348006]武平县交通运输综合执法大队</t>
  </si>
  <si>
    <t>[975001]武平县供销合作社联合社</t>
  </si>
  <si>
    <t>[2160201]行政运行</t>
  </si>
  <si>
    <t>[975002]武平县农民合作社发展服务中心</t>
  </si>
  <si>
    <t>[2160250]事业运行</t>
  </si>
  <si>
    <t>[325001]武平县自然资源局</t>
  </si>
  <si>
    <t>[2200101]行政运行</t>
  </si>
  <si>
    <t>[325010]武平县国土资源监察大队</t>
  </si>
  <si>
    <t>[325101]武平县乡镇自然资源所</t>
  </si>
  <si>
    <t>[325002]武平县耕地保护中心</t>
  </si>
  <si>
    <t>[2200150]事业运行</t>
  </si>
  <si>
    <t>[325003]武平县土地收购储备中心</t>
  </si>
  <si>
    <t>[325004]武平县不动产登记中心</t>
  </si>
  <si>
    <t>[325005]武平县土地征收与补偿服务中心</t>
  </si>
  <si>
    <t>[325007]武平县地质灾害防治中心</t>
  </si>
  <si>
    <t>[325009]武平县国土空间规划服务中心</t>
  </si>
  <si>
    <t>[325006]武平县矿产品流通服务中心</t>
  </si>
  <si>
    <t>[2200199]其他自然资源事务支出</t>
  </si>
  <si>
    <t>[416001]福建省武平县气象局</t>
  </si>
  <si>
    <t>[2200504]气象事业机构</t>
  </si>
  <si>
    <t>[342001]武平县应急管理局</t>
  </si>
  <si>
    <t>[2240101]行政运行</t>
  </si>
  <si>
    <t>[342002]武平县防汛抗旱指挥中心</t>
  </si>
  <si>
    <t>[342003]武平县安全生产监察大队</t>
  </si>
  <si>
    <t>[342004]武平县森林防灭火指挥中心</t>
  </si>
  <si>
    <t>[342005]武平县地震办公室</t>
  </si>
  <si>
    <t>[2240150]事业运行</t>
  </si>
  <si>
    <t>[342006]武平县应急救援中心</t>
  </si>
  <si>
    <t>[342007]武平县应急救援宣传教育中心</t>
  </si>
  <si>
    <t>[342008]武平县重大危险源监控中心</t>
  </si>
  <si>
    <t>[807001]武平县消防救援大队</t>
  </si>
  <si>
    <t>[2240204]消防应急救援</t>
  </si>
  <si>
    <t>[304004]武平县煤炭行业服务中心</t>
  </si>
  <si>
    <t>[2240450]事业运行</t>
  </si>
  <si>
    <t>公务员、参公</t>
  </si>
  <si>
    <t>事业人员</t>
  </si>
  <si>
    <t>社会性保障（五险二金）</t>
  </si>
  <si>
    <t>年初预算合计</t>
  </si>
  <si>
    <t>调整预算合计</t>
  </si>
  <si>
    <t>调整后合计</t>
  </si>
  <si>
    <t>一</t>
  </si>
  <si>
    <t>二</t>
  </si>
  <si>
    <t>三</t>
  </si>
  <si>
    <t>四</t>
  </si>
  <si>
    <t>五</t>
  </si>
  <si>
    <t>六</t>
  </si>
  <si>
    <t>七</t>
  </si>
  <si>
    <t>八</t>
  </si>
  <si>
    <t>九</t>
  </si>
  <si>
    <t>十</t>
  </si>
  <si>
    <t>十一</t>
  </si>
  <si>
    <t>十二</t>
  </si>
  <si>
    <t>十三</t>
  </si>
  <si>
    <t>2022年预算内工资福利支出预算调整明细表（公务员、参公人员）</t>
  </si>
  <si>
    <t>增减支情况</t>
  </si>
  <si>
    <t>调整后预算数</t>
  </si>
  <si>
    <t>调整预算说明</t>
  </si>
  <si>
    <t>基础绩效奖</t>
  </si>
  <si>
    <t>基础绩效奖2</t>
  </si>
  <si>
    <t>年度考核奖</t>
  </si>
  <si>
    <t>年休未休假报酬</t>
  </si>
  <si>
    <t>4人考核优秀、2人三等功</t>
  </si>
  <si>
    <t xml:space="preserve"> </t>
  </si>
  <si>
    <t>20.21年共6人考核优秀</t>
  </si>
  <si>
    <t>9人考核优秀1.35万元，全方位高质量发展奖金0.4万元</t>
  </si>
  <si>
    <t>考核优秀奖励0.15</t>
  </si>
  <si>
    <t>2 人考核优秀</t>
  </si>
  <si>
    <t>2021年武平县全方位推动高质量发展超越表彰3.2，年度考核优秀0.6</t>
  </si>
  <si>
    <t>1人三等功，4人考核优秀</t>
  </si>
  <si>
    <t>1 人考核优秀</t>
  </si>
  <si>
    <t>11人考核优秀</t>
  </si>
  <si>
    <t>[437002]武平高新技术产业园区规划发展中心</t>
  </si>
  <si>
    <t>1人考核优秀</t>
  </si>
  <si>
    <t>1个年度考核优秀</t>
  </si>
  <si>
    <t>考核优秀奖励0.3</t>
  </si>
  <si>
    <t>[206002]武平县直机关党建服务中心</t>
  </si>
  <si>
    <t>2人考核优秀0.3万元，全方位高质量发展奖金0.8万元</t>
  </si>
  <si>
    <t>[201008]武平县委县政府总值班室</t>
  </si>
  <si>
    <t>3个年度考核优秀</t>
  </si>
  <si>
    <t>考核优秀奖励0.6万</t>
  </si>
  <si>
    <t>12人考核优秀、2人三等功</t>
  </si>
  <si>
    <t>考核优秀奖励10.15万</t>
  </si>
  <si>
    <t>[312007]武平县反诈骗中心</t>
  </si>
  <si>
    <t>考核优秀奖励1.2万</t>
  </si>
  <si>
    <t>追加劳务派遣人员工资：校医33万；其他工资福利：课后服务专项绩效100万，考核优0.6，教育人才“五优”表彰奖励32.44</t>
  </si>
  <si>
    <t>[360010]福建省武平县大禾中学</t>
  </si>
  <si>
    <t>[360038]福建省武平县中山中学</t>
  </si>
  <si>
    <t>[731001]福建省武平县科学技术协会</t>
  </si>
  <si>
    <t>2人考核优秀</t>
  </si>
  <si>
    <t>[357003]福建省武平县文化馆</t>
  </si>
  <si>
    <t>[357006]福建省武平县博物馆</t>
  </si>
  <si>
    <t>[361028]武平县卫生局卫生监督所</t>
  </si>
  <si>
    <t>其他工资福利：大督查大落实表彰奖1.8万、年度考核优秀0.3万</t>
  </si>
  <si>
    <t>其他工资福利支出：年度考核优秀0.15万</t>
  </si>
  <si>
    <t>其他工资福利：2020年、2021年度考核优秀</t>
  </si>
  <si>
    <t>其他工资福利支出：武平县全方位推动高质量发展超越表彰奖金1.6万元（8人*2000元）。考核优秀奖励金4.05万元。</t>
  </si>
  <si>
    <t>2021年度2人考核优秀3000元</t>
  </si>
  <si>
    <t>应休未休实发29.0416万（2人1.1万未发）</t>
  </si>
  <si>
    <t>[3270014]武平县林长服务中心</t>
  </si>
  <si>
    <t>钟生祥考核优秀奖</t>
  </si>
  <si>
    <t>[332005]武平县水土保持委员会办公室</t>
  </si>
  <si>
    <t>年度考核优秀0.3</t>
  </si>
  <si>
    <t>年度考核优秀0.6</t>
  </si>
  <si>
    <t>[325010]武平县自然资源综合执法大队</t>
  </si>
  <si>
    <t xml:space="preserve">[325006]武平县矿产产品流通服务中心 </t>
  </si>
  <si>
    <t>年度考核优秀0.15</t>
  </si>
  <si>
    <t>2022年预算内工资福利支出预算调整明细表（事业）</t>
  </si>
  <si>
    <t>追加绩效工资总量</t>
  </si>
  <si>
    <t>年度考核奖0.15</t>
  </si>
  <si>
    <t>2人事业考核优秀</t>
  </si>
  <si>
    <t>3人考核优秀</t>
  </si>
  <si>
    <t>其他工资福利支出年度考核奖：0.15</t>
  </si>
  <si>
    <t>考核优秀奖励0.15万；事业人员医疗补助3.05万元</t>
  </si>
  <si>
    <t>2021年义务教育学校教师保障性绩效奖励金657.6万元。
其他工资福利支出：代课教师补贴200，工会定额补助30。追加保安工资716.04万元。</t>
  </si>
  <si>
    <t>考核优7.8万</t>
  </si>
  <si>
    <t>考核优4.05万</t>
  </si>
  <si>
    <t>考核优5.55万</t>
  </si>
  <si>
    <t>考核优3.3万</t>
  </si>
  <si>
    <t>考核优0.9万</t>
  </si>
  <si>
    <t>考核优0.6，提高20%津补贴-0.21，特教老师行业性津贴13.41</t>
  </si>
  <si>
    <t>考核优0.75，新毕业生五险一金及奖励性绩效1.88</t>
  </si>
  <si>
    <t>考核优4.5，新毕业生五险一金及奖励性绩效1.19</t>
  </si>
  <si>
    <t>考核优0.75，新毕业生五险一金及奖励性绩效2.74</t>
  </si>
  <si>
    <t>考核优1.2，新毕业五险一金及奖励性绩效6.24</t>
  </si>
  <si>
    <t>考核优0.15</t>
  </si>
  <si>
    <r>
      <rPr>
        <sz val="10"/>
        <color theme="1"/>
        <rFont val="宋体"/>
        <charset val="134"/>
        <scheme val="minor"/>
      </rPr>
      <t>考核优0.9，</t>
    </r>
    <r>
      <rPr>
        <sz val="10"/>
        <color rgb="FFFF0000"/>
        <rFont val="宋体"/>
        <charset val="134"/>
        <scheme val="minor"/>
      </rPr>
      <t>乡镇工作补贴年初预算12.96误填入津贴补贴</t>
    </r>
  </si>
  <si>
    <t>考核优0.75</t>
  </si>
  <si>
    <t>考核优1.35，新毕业五险一金及奖励性绩效0.9</t>
  </si>
  <si>
    <t>考核优0.45，新毕业五险一金及奖励性绩效5.48</t>
  </si>
  <si>
    <t>考核优0.75，新毕业生五险一金及奖励性绩效3.23</t>
  </si>
  <si>
    <t>考核优2.4，新毕业五险一金及奖励性绩效19.79</t>
  </si>
  <si>
    <t>考核优3.9，新毕业五险一金及奖励性绩效6.35</t>
  </si>
  <si>
    <t>考核优3.6</t>
  </si>
  <si>
    <t>考核优1.95</t>
  </si>
  <si>
    <t>考核优2.1</t>
  </si>
  <si>
    <r>
      <rPr>
        <sz val="10"/>
        <color theme="1"/>
        <rFont val="宋体"/>
        <charset val="134"/>
        <scheme val="minor"/>
      </rPr>
      <t>考核优2.4，新毕业五险一金及奖励性绩效8.99，</t>
    </r>
    <r>
      <rPr>
        <sz val="10"/>
        <color rgb="FFFF0000"/>
        <rFont val="宋体"/>
        <charset val="134"/>
        <scheme val="minor"/>
      </rPr>
      <t>年初乡镇补贴预算重复（年初津贴补贴31.4万中含重复预算乡镇补贴30.72）</t>
    </r>
  </si>
  <si>
    <t>考核优1.65</t>
  </si>
  <si>
    <r>
      <rPr>
        <sz val="10"/>
        <color theme="1"/>
        <rFont val="宋体"/>
        <charset val="134"/>
        <scheme val="minor"/>
      </rPr>
      <t>考核优1.5，</t>
    </r>
    <r>
      <rPr>
        <sz val="10"/>
        <color rgb="FFFF0000"/>
        <rFont val="宋体"/>
        <charset val="134"/>
        <scheme val="minor"/>
      </rPr>
      <t>年初预算津贴补贴多预算102.92万</t>
    </r>
  </si>
  <si>
    <t>考核优2.1，新毕业五险二金及奖励性绩效9.85</t>
  </si>
  <si>
    <t>考核优3.6，新毕业五险二金及奖励性绩效0.91</t>
  </si>
  <si>
    <t>考核优1.05</t>
  </si>
  <si>
    <t>考核优1.35，新毕业五险一金及奖励性绩效1.8</t>
  </si>
  <si>
    <r>
      <rPr>
        <sz val="10"/>
        <color theme="1"/>
        <rFont val="宋体"/>
        <charset val="134"/>
        <scheme val="minor"/>
      </rPr>
      <t>考核优1.35，新毕业五险一金及奖励性绩效1.83，</t>
    </r>
    <r>
      <rPr>
        <sz val="10"/>
        <color rgb="FFFF0000"/>
        <rFont val="宋体"/>
        <charset val="134"/>
        <scheme val="minor"/>
      </rPr>
      <t>年初乡镇补贴预算重复（年初津贴补贴17.05万中含重复预算乡镇补贴16.56）</t>
    </r>
  </si>
  <si>
    <t>考核优2.1，新毕业生五险一金及奖励性绩效12.67</t>
  </si>
  <si>
    <t>考核优1.95，新毕业生五险一金及奖励性绩效1.83</t>
  </si>
  <si>
    <t>考核优3.15，外县调入五险一金0.96</t>
  </si>
  <si>
    <t>考核优1.35，新毕业五险一金及奖励性绩效6.34</t>
  </si>
  <si>
    <t>考核优2.1，新毕业生五险一金及奖励性绩效2.69</t>
  </si>
  <si>
    <r>
      <rPr>
        <sz val="10"/>
        <color theme="1"/>
        <rFont val="宋体"/>
        <charset val="134"/>
        <scheme val="minor"/>
      </rPr>
      <t>考核优1.05，</t>
    </r>
    <r>
      <rPr>
        <sz val="10"/>
        <color rgb="FFFF0000"/>
        <rFont val="宋体"/>
        <charset val="134"/>
        <scheme val="minor"/>
      </rPr>
      <t>年初基本工资多预算77.69</t>
    </r>
  </si>
  <si>
    <t>考核优2.25</t>
  </si>
  <si>
    <t>考核优1.95，新毕业生五险一金及奖励性绩效0.89</t>
  </si>
  <si>
    <r>
      <rPr>
        <sz val="10"/>
        <color theme="1"/>
        <rFont val="宋体"/>
        <charset val="134"/>
        <scheme val="minor"/>
      </rPr>
      <t>考核优1.65，新毕业五险一金及奖励性绩效4.49，</t>
    </r>
    <r>
      <rPr>
        <sz val="10"/>
        <color rgb="FFFF0000"/>
        <rFont val="宋体"/>
        <charset val="134"/>
        <scheme val="minor"/>
      </rPr>
      <t>年初津贴补贴25.16万中含乡镇补贴21.48</t>
    </r>
  </si>
  <si>
    <t>考核优2.55，新毕业五险一金及奖励性绩效5.48</t>
  </si>
  <si>
    <t>考核优4.2，新毕业五险一金及奖励性绩效25.18</t>
  </si>
  <si>
    <t>考核优0.6</t>
  </si>
  <si>
    <t>考核优3</t>
  </si>
  <si>
    <t>考核优0.9，新毕业五险一金及奖励性绩效0.91</t>
  </si>
  <si>
    <t>考核优2.7</t>
  </si>
  <si>
    <t>考核优0.45，新毕业五险一金及奖励性绩效0.91</t>
  </si>
  <si>
    <t>乡镇工作补贴45.18为更正年初错误</t>
  </si>
  <si>
    <r>
      <rPr>
        <sz val="10"/>
        <color theme="1"/>
        <rFont val="宋体"/>
        <charset val="134"/>
        <scheme val="minor"/>
      </rPr>
      <t>考核优1.35，</t>
    </r>
    <r>
      <rPr>
        <sz val="10"/>
        <color rgb="FFFF0000"/>
        <rFont val="宋体"/>
        <charset val="134"/>
        <scheme val="minor"/>
      </rPr>
      <t>乡镇工作补贴46.78为更正年初错误</t>
    </r>
  </si>
  <si>
    <t>其他工资福利支出为奖励性绩效年初漏下2.18万元</t>
  </si>
  <si>
    <t>1人考核优秀、退休人员调资0.03万元</t>
  </si>
  <si>
    <t>其他工资福利支出为1.84高山补贴，2人事业考核优秀0.3，钟干龙单位负担部分职业年金0.04万</t>
  </si>
  <si>
    <t>其他工资福利支出：0.75</t>
  </si>
  <si>
    <t>其他工资福利支出：年度考核优秀0.15</t>
  </si>
  <si>
    <t>其他工资福利支出：年度考核优秀0.3</t>
  </si>
  <si>
    <t>其他工资福利支出：工资调标0.9万、考核优秀0.15、转正增加奖励性绩效0.3823万</t>
  </si>
  <si>
    <t>其他工资福利支出:2021年度林艳茹、刘京平等2人考核优秀3000元</t>
  </si>
  <si>
    <t>其他工资福利支出:2021年度刘玺、罗耀昌等2人考核优秀3000元</t>
  </si>
  <si>
    <t>其他工资福利支出:2021年度钟瑞桂、李秀英、兰水古3人考核优秀4500元</t>
  </si>
  <si>
    <t>其他工资福利支出:2021年度潘明丰考核优秀1500元</t>
  </si>
  <si>
    <t>其他工资福利支出:2021年度张小明、温正标2人考核优秀3000元</t>
  </si>
  <si>
    <t>定额补助1.06万元：追加基本工资0.95万、林彩永考核优秀奖0.11万；基础性绩效3.05万；追加绩效工资总量0.9万</t>
  </si>
  <si>
    <t>其他工资福利支出：年度考核优秀0.45</t>
  </si>
  <si>
    <t>2022年预算内工资福利支出调整预算明细表（五险二金）</t>
  </si>
  <si>
    <t>2022年预算内对个人和家庭的补助支出调整预算明细表</t>
  </si>
  <si>
    <t>对个人和家庭的补助支出</t>
  </si>
  <si>
    <t>对机关事业单位基本养老保险基金的补助</t>
  </si>
  <si>
    <t>离休人员代发款</t>
  </si>
  <si>
    <t>退休人员代发款</t>
  </si>
  <si>
    <t>退职退养人员费用</t>
  </si>
  <si>
    <t>离休人员生活补贴</t>
  </si>
  <si>
    <t>退休人员生活补贴</t>
  </si>
  <si>
    <t>离退休两费</t>
  </si>
  <si>
    <t>退休人员其他补助</t>
  </si>
  <si>
    <t>退休人员活动费</t>
  </si>
  <si>
    <t>机关参公遗属生活补助</t>
  </si>
  <si>
    <t>事业单位遗属生活补助</t>
  </si>
  <si>
    <t>生活补助</t>
  </si>
  <si>
    <t>民警加班补贴</t>
  </si>
  <si>
    <t>六大员补贴</t>
  </si>
  <si>
    <t>村居干部工资（含五险一金）</t>
  </si>
  <si>
    <t>其他对个人和家庭的补助</t>
  </si>
  <si>
    <t>王春平死亡抚恤金30.43</t>
  </si>
  <si>
    <t>退休抚恤金等3.68</t>
  </si>
  <si>
    <t>原煤炭公司退休人员高龄补贴0.72万</t>
  </si>
  <si>
    <t>精简机构人员补助0.65</t>
  </si>
  <si>
    <t>追加张斌抚恤金11.062万</t>
  </si>
  <si>
    <t>调查员及调查户补助60</t>
  </si>
  <si>
    <t>离任妇代会主任津补贴6.08</t>
  </si>
  <si>
    <t>社教人员补助0.1</t>
  </si>
  <si>
    <t>社教人员补助0.2</t>
  </si>
  <si>
    <t>社教人员补助0.6</t>
  </si>
  <si>
    <t>社教人员补助0.5</t>
  </si>
  <si>
    <t>社教人员补助0.8</t>
  </si>
  <si>
    <t>社教人员补助0.9</t>
  </si>
  <si>
    <t>社教人员补助0.7</t>
  </si>
  <si>
    <t>社教人员补助0.4</t>
  </si>
  <si>
    <t>基层民警误餐补贴103.32，民警人身意外伤害保险12.92，拘留人员伙食及医疗衣被费12.24，民警加班补贴241.12</t>
  </si>
  <si>
    <t>民警加班补贴19.6，民警误餐补贴8.28，公安民警意外伤害保险1.04</t>
  </si>
  <si>
    <t>调减民警人身意外伤害保险0.09万元</t>
  </si>
  <si>
    <t>民警人身意外伤害保险1.58</t>
  </si>
  <si>
    <t>民警人身意外伤害保险0.18万元</t>
  </si>
  <si>
    <t>在职死亡抚恤金未下拔</t>
  </si>
  <si>
    <t>在职死亡抚恤金已下拔</t>
  </si>
  <si>
    <t>退休人员其他补助50：机关事业单位退休人员慰问费。
生活补助135.39：市级三支一扶人员生活补助。</t>
  </si>
  <si>
    <t>汀江防洪项目被征地农民养老金、梁野山五村互通工程被征地农民养老金2.8</t>
  </si>
  <si>
    <t>生活补助：离任村主干生活补助199.48；困难群众慰问费15；80-99周岁高龄补贴523.67；百岁老人重阳节慰问费5.5；麻风病人生活费3.36；社会定补90.57；“8491”支前民兵患矽肺病人员补助6.067；完全失能老人护理补贴0.96；五老人员生活补助1.068；敬老院工作人员补助金51.12；孤儿、事实无人抚养生活补助30.67。</t>
  </si>
  <si>
    <t>[901004]武平县财政局（社保基金专户）</t>
  </si>
  <si>
    <t>[2080507]对机关事业单位基本养老保险基金的补助</t>
  </si>
  <si>
    <t>[2080599]其他行政事业单位离退休支出</t>
  </si>
  <si>
    <t>原福利厂人员各项保险16.58</t>
  </si>
  <si>
    <t>其他对个人和家庭的补助：吴兴华死亡三费</t>
  </si>
  <si>
    <t>罗晋绥等三人遗属生活困难补助830每月</t>
  </si>
  <si>
    <t>遗属生活补助：追加5.32万。生活补助：劳模补助追加800元。</t>
  </si>
  <si>
    <t>六大员补贴：根据《武平县人民政府关于河道巡查与保洁办法（试行）的通知》（武政文[2017]407号）及县委常委扩大会议纪要[2018]19号，17个乡镇河道巡查与保洁经费共需341.64万，其中上级专款安排204.24万，县级经费安排137.4万。</t>
  </si>
  <si>
    <t>六大员补贴（河道专管员补贴）河道巡查与保洁费用(含河湖物业化管理）137.4万。</t>
  </si>
  <si>
    <t>[2130705]对村民委员会和村党支部的补助</t>
  </si>
  <si>
    <t>刘启照等3人核增高龄补贴</t>
  </si>
  <si>
    <t>2022年预算内商品和服务支出预算调整明细表</t>
  </si>
  <si>
    <t>序号</t>
  </si>
  <si>
    <t>重新转回暂付款</t>
  </si>
  <si>
    <t>定额公用经费</t>
  </si>
  <si>
    <t>车辆定额经费</t>
  </si>
  <si>
    <t>其他公用经费（机关参公人员车改补贴）</t>
  </si>
  <si>
    <t>教育生均经费</t>
  </si>
  <si>
    <t>定额基本业务费</t>
  </si>
  <si>
    <t xml:space="preserve">定额基本业务费说明 </t>
  </si>
  <si>
    <t>其他基本业务费（股室代编）</t>
  </si>
  <si>
    <t>其他专项业务费</t>
  </si>
  <si>
    <t>其他专项业务费说明</t>
  </si>
  <si>
    <t>经费开支渠道</t>
  </si>
  <si>
    <t>其他基本业务费</t>
  </si>
  <si>
    <t>基本业务费（核销暂付款）</t>
  </si>
  <si>
    <t>一般公共预算支出</t>
  </si>
  <si>
    <t>存量资金</t>
  </si>
  <si>
    <t>上级专项</t>
  </si>
  <si>
    <t>一般预算</t>
  </si>
  <si>
    <t>行政性收费及办案费补助</t>
  </si>
  <si>
    <t>争取资金奖励</t>
  </si>
  <si>
    <t>人大会议费75万，办公设备购置10万。</t>
  </si>
  <si>
    <t>其他基本业务费：争取资金奖励0.71万</t>
  </si>
  <si>
    <t>客家联谊会专项经费10；政协会议费70万。</t>
  </si>
  <si>
    <t>智慧武平运营经费500万。</t>
  </si>
  <si>
    <t>车辆运行维护及购置309万；行政科166万；食堂124万；公用经费51万。</t>
  </si>
  <si>
    <t>政府大院绿化改造项目30万。</t>
  </si>
  <si>
    <t>窗口运行经费及窗口绩效考勤：入驻人员经费19.32万元（161人*1200元/人.年）；人员补贴41.40万元（115人*300元/人.月*12月）。</t>
  </si>
  <si>
    <t>办事大厅工作业务费122.78万元：1至5楼办事大厅水电22.87万；工作服10.28万(26人*3955元）；e龙岩自助服务一体机项目建设运维服务费（0.6）及耗材费用（0.5）计1.1万元；新办企业免费刻印章费用18.41万(700家*263)元；电信费8万；物业费8.3万元；保洁服务7.8万（0.65*12）；大厅前台窗口五档电子评价器采购经费余款16.02万；房租30万（付国投公司）。</t>
  </si>
  <si>
    <t>其他基本业务费含：乡镇运转经费补助92.55、飞地分成、争取资金奖励。</t>
  </si>
  <si>
    <t>其他基本业务费：涉诈人员劝返经费2，乡镇运转经费补助92.55，争取资金奖励4.16，税收分成31.53</t>
  </si>
  <si>
    <t>其他基本业务费含：乡镇运转经费补助76.17、烟叶税分成131.03、飞地分成、争取资金奖励。</t>
  </si>
  <si>
    <t>其他基本业务费：涉诈人员劝返经费4万，乡镇运转经费补助76.17、烟叶税分成131.03，争取资金奖励38.66，税收分成58.07</t>
  </si>
  <si>
    <t>其他基本业务费含：乡镇运转经费补助3.43、烟叶税分成56.23、飞地分成、争取资金奖励。</t>
  </si>
  <si>
    <t>其他基本业务费：乡镇运转经费补助3.43，烟叶税分成56.23，争取资金奖励45.38，税收分成72.66</t>
  </si>
  <si>
    <t>其他基本业务费含：乡镇运转经费补助12.19、烟叶税分成107.07、飞地分成、争取资金奖励。</t>
  </si>
  <si>
    <t>其他基本业务费：涉诈人员劝返经费2，乡镇运转经费补助12.19，烟叶税分成107.07，争取资金奖励72.39，税收分成33.73</t>
  </si>
  <si>
    <t>其他基本业务费含：乡镇运转经费补助7.02、烟叶税分成51.57、飞地分成、争取资金奖励。</t>
  </si>
  <si>
    <t>其他基本业务费：涉诈人员劝返经费2，乡镇运转经费补助7.02，烟叶税分成51.57，争取资金奖励38.05，税收分成82.06</t>
  </si>
  <si>
    <t>其他基本业务费含：乡镇运转经费补助31.32、烟叶税分成、飞地分成、争取资金奖励。</t>
  </si>
  <si>
    <t>其他基本业务费：乡镇运转经费补助31.32，争取资金奖励9.82，税收分成12.51</t>
  </si>
  <si>
    <t>其他基本业务费含：乡镇运转经费补助49.97、烟叶税分成1.03、飞地分成、争取资金奖励。</t>
  </si>
  <si>
    <t>其他基本业务费：涉诈人员劝返经费2，乡镇运转经费补助49.97，烟叶税分成1.03，争取资金奖励4.85，税收分成22.03</t>
  </si>
  <si>
    <t>其他基本业务费含：乡镇运转经费补助30.02、烟叶税分成12.64、飞地分成、争取资金奖励。</t>
  </si>
  <si>
    <t>定额公用经费：年初少预算16.8万元，现已下指标；其他基本业务费：乡镇运转经费补助30.02，烟叶税分成12.64，争取资金奖励9.29，税收分成19.74</t>
  </si>
  <si>
    <t>其他基本业务费含：乡镇运转经费补助128.24、烟叶税分成301.85、飞地分成、争取资金奖励。</t>
  </si>
  <si>
    <t>车改补贴：年初漏预算23.82万，调减0.56万；其他基本业务费：岩前服务园区税收分成135，乡镇运转经费补助128.24，烟叶税分成301.85，争取资金奖励85.12，税收分成190.99</t>
  </si>
  <si>
    <t>其他基本业务费含：乡镇运转经费补助15.47、烟叶税分成223.98、飞地分成、争取资金奖励。</t>
  </si>
  <si>
    <t>其他基本业务费：涉诈人员劝返经费4，乡镇运转经费补助15.47，烟叶税分成223.98，争取资金奖励4.93，税收分成76.88</t>
  </si>
  <si>
    <t>其他基本业务费含：乡镇运转经费补助10.33、烟叶税分成180.54、飞地分成、争取资金奖励。</t>
  </si>
  <si>
    <t>其他基本业务费：追加十方镇服务园区税收分成16.5，乡镇运转经费补助10.33，烟叶税分成180.54，争取资金奖励8.01，税收分成76.38</t>
  </si>
  <si>
    <t>其他基本业务费含：乡镇运转经费补助13.32、烟叶税分成126.94、飞地分成、争取资金奖励。</t>
  </si>
  <si>
    <t>其他基本业务费：涉诈人员劝返经费4，乡镇运转经费补助13.32、烟叶税分成126.94，争取资金奖励44.81</t>
  </si>
  <si>
    <t>其他基本业务费含：乡镇运转经费补助18.14、烟叶税分成169.54、飞地分成、争取资金奖励。</t>
  </si>
  <si>
    <t>其他基本业务费：乡镇运转经费补助18.14，烟叶税分成169.54，争取资金奖励36.47，税收分成62.12</t>
  </si>
  <si>
    <t>其他基本业务费含：乡镇运转经费补助12.54、烟叶税分成38.25、飞地分成、争取资金奖励。</t>
  </si>
  <si>
    <t>其他基本业务费：涉诈人员劝返经费4，乡镇运转经费补助12.54，烟叶税分成38.25，争取资金奖励71.23，税收分成36.54</t>
  </si>
  <si>
    <t>其他基本业务费含：乡镇运转经费补助17.69、烟叶税分成83.71、飞地分成、争取资金奖励。</t>
  </si>
  <si>
    <t>其他基本业务费：乡镇运转经费补助17.69，烟叶税分成83.71，争取资金奖励73.84，税收分成23.98</t>
  </si>
  <si>
    <t>其他基本业务费含：乡镇运转经费补助70.98、烟叶税分成51.16、飞地分成、争取资金奖励。</t>
  </si>
  <si>
    <t>其他基本业务费：乡镇运转经费补助70.98，烟叶税分成51.16，争取资金奖励5.81，税收分成22.84</t>
  </si>
  <si>
    <t>其他基本业务费含：乡镇运转经费补助40.26、烟叶税分成26.71、飞地分成、争取资金奖励。</t>
  </si>
  <si>
    <t>其他基本业务费：乡镇运转经费补助40.26，烟叶税分成26.71，争取资金奖励15.16，税收分成23.11</t>
  </si>
  <si>
    <t>物业费及租金13.4万元；信访救助金、代理记账费、高清视频运维服务费、心理咨询费等6.6万。</t>
  </si>
  <si>
    <t>其他基本业务费：争取资金奖励0.99万，县政府审批追加党的二十大驻京驻赣、省两会驻榕、突发事件应急处置差旅费及办公设备购置16万元；其他专项业务费：信访救助金1万元。</t>
  </si>
  <si>
    <t>固定资产投资项目节能评审经费5；县粮食安全行政首长责任制考核办公室运行费3万，粮食流通服务中心3万，粮食检验检测费5万，粮食质量安全监测监管费3万，粮食应急供应网点补助6万；重点项目管理系统维护费5；外派龙岩驻京联络处人员经费25；苏区振兴服务中心办公场所改造及办公设备购置30万；苏区振兴服务中心房租及对口支援工作经费15万；第二十届6·18工作经费12；市公共信用信息平台（二期）开发建设及用户服务费10.5，合计122.5万。</t>
  </si>
  <si>
    <t>项目考察调研、评估认证经费、项目谋划编制费10万。</t>
  </si>
  <si>
    <t>武财发追指[2022]1号车辆购置费14万</t>
  </si>
  <si>
    <t>四上企业统计基础工作考核奖励专项业务费68万（340家*2000元/家/年）；统计基础工作建设及统计调查专项业务费（武政办[2020]7号）50万；人口普查100万。</t>
  </si>
  <si>
    <t>其他基本业务费：争取资金奖励9.72万。
其他专项业务费：四上企业调查经费调减68万元。</t>
  </si>
  <si>
    <t>协税护税经费，《武平县协税护税工作方案》（武政办〔2015〕40号）。</t>
  </si>
  <si>
    <t>预算管理一体化实施费用120万（其中财务核算20万）根据闽财办〔2021〕4号要求预算管理一体化实施费用由县级财政负担；财政业务系统运维35万；网络超市运维费10万；绩效系统维护3万。</t>
  </si>
  <si>
    <t>其他基本业务费：争取资金奖励66.14万。</t>
  </si>
  <si>
    <t>水电及保洁费15万。</t>
  </si>
  <si>
    <t>1.天睿商务派遣人员管理费15人*3万/人=45万；天睿商务派遣人员工资97.452万；天睿商务派遣人员五险二金36.642万（工资的37.6%）；天睿商务派遣人员平安单位奖金3.7647万（补发2020年的）；天睿商务派遣人员效益工资182.5937万，共计365.45万。
2.专业计价软件购买、升级、服务费5；材料价格调查、查询（网络会员）费3.5；整理档案费用25，共计33.5万。</t>
  </si>
  <si>
    <t>乡镇财政两基建设经费34万。</t>
  </si>
  <si>
    <t>国资系统档案整理费10万，国资党委党建经费10万。</t>
  </si>
  <si>
    <t>[903003]国家税务总局武平县税务局</t>
  </si>
  <si>
    <t>[2070799]其他税收事务支出</t>
  </si>
  <si>
    <t>税收征管经费，《福建省税务部门经费保障实施办法》（闽财税〔2021〕19号）。</t>
  </si>
  <si>
    <t>审核项目委托第三方机构抽审20；项目归档10万。</t>
  </si>
  <si>
    <t>其他基本业务费：争取资金奖励1.23万</t>
  </si>
  <si>
    <t>市委县级交叉巡察71.2万；常规巡察153万；县委专项巡察25.5万；；政治生态清风馆租金12.88（县委专题会议纪要[2019]21号）；党风廉政教育及宣传经费等23.42万。</t>
  </si>
  <si>
    <t>其他基本业务费：办案费补助64万</t>
  </si>
  <si>
    <t>援藏援疆慰问2.7；企业与企业家联合会工作经费10万。</t>
  </si>
  <si>
    <t>其他基本业务费：争取资金奖励54.86万。其他专项业务费：外聘煤矿安全专家经费6万。</t>
  </si>
  <si>
    <t>1、质量安全可追溯体系建设及肉品质量安全信息追溯系统和信息录入员工资27万元；2、春节市场供应调节经费10万元（慰问部队、低保户、环卫工人等特殊群体费用）；3、电商一月一活动经费6万元；4、招商引资绩效考评奖金115万元；5、武平县商务局办公场所租赁费用6.72万元；6、招商团经费62.40万元；7、招商引资专项业务费150万元。</t>
  </si>
  <si>
    <t>其他基本业务费：争取资金奖励27.38万。其他专项业务费：春节市场调节供应增加2.9208万元；招商团经费减少62.40万元；招商引资绩效考评奖金减少3.80万元。</t>
  </si>
  <si>
    <t>钟振华4月公车补贴由县纪委发放</t>
  </si>
  <si>
    <t>按每册档案2元</t>
  </si>
  <si>
    <t>档案库房电费10万；电梯维护及设备维修维护2万（消防、电脑、网络、库房智能化设备等）；档案数字化处理8万。</t>
  </si>
  <si>
    <t>其他专项业务费：工商联（总商会）第九次代表大会工作经费7.48万元,非公企业职称评审工作经费0.50万元。</t>
  </si>
  <si>
    <t>劳模协会工作经费16万；示范职工疗休养经费7万。</t>
  </si>
  <si>
    <t>乡镇团委工作经费17；智农青创众创空间运营经费20；清华大学社会实践经费1；五四活动经费5；预青工作经费3；服务欠发达地区计划大学生志愿者国家助学贷款代偿资金1.6；市民服务中心办公室租金及物业费3.41；少工委工作经费4.5。</t>
  </si>
  <si>
    <t>其他基本业务费：争取资金奖励0.39万。</t>
  </si>
  <si>
    <t>办公楼租金及物业管理费3；乡镇妇联工作经费17；困难妇女资助经费5；妇联业务费15万（含巾帼文明岗创建经费、妇女之家创建工作经费、巾帼志愿服务工作经费、妇女儿童活动中心运转工作经费、三八活动经费等）</t>
  </si>
  <si>
    <t>12个下属协会经费20万；《南海文苑》编辑出版费10万。</t>
  </si>
  <si>
    <t>基层侨联工作经费5万；海外华人华侨社团联谊经费5万。</t>
  </si>
  <si>
    <t>其他基本业务费：争取资金奖励0.14万。</t>
  </si>
  <si>
    <t>青少年宫校外活动中心运转经费5万。</t>
  </si>
  <si>
    <t>[204005]武平县老年协会研究小组</t>
  </si>
  <si>
    <t>其他基本业务费：争取资金奖励36万</t>
  </si>
  <si>
    <t>对台工作交流经费、总值班经费等100万。</t>
  </si>
  <si>
    <t>专业信息系统运行维护费20万。</t>
  </si>
  <si>
    <t>其他基本业务费：争取资金奖励0.46万。</t>
  </si>
  <si>
    <t>党建工作经费30万（武委〔2019〕50号）。</t>
  </si>
  <si>
    <t>未成年心理健康辅导站搬迁费、新时代文明实践中心搬迁费10万；新时代文明实践中心、所、站经费100万；乡村学校少年宫建设经费（15所学校*1万）5万；“好人数字体验馆”运行维护经费10万；创建全国文明城市100万（武委〔2017〕183号），县委文明办根据创城需要安排了6个工作项目；创建《中国文明武平》网站建设经费20万。武平县诚信促进会办公经费8万；志愿者协会工作经费3万。</t>
  </si>
  <si>
    <t>其他基本业务费：争取资金奖励1.8万</t>
  </si>
  <si>
    <t>平安建设业务费（含平安建设宣传、维稳、治理创新、反邪教、禁毒反诈、扫黑除恶、政府救助保险等）、综治视联网租赁费、市民服务中心办公用房租金等40万。</t>
  </si>
  <si>
    <t>其他基本业务费：争取资金奖励1.08万</t>
  </si>
  <si>
    <t>其他基本业务费：争取资金奖励34.7万</t>
  </si>
  <si>
    <t>落实意识形态工作、扫黄打非、接待媒体记者、队伍建设、网信、新闻出版、社科宣传、党建活动等工作经费56万；重大活动宣传及外宣品制作17万；县委中心组理论学习、学习强国及小蜜蜂理论宣传18万；与上级媒体战略合作经费169万；电影场次及设备维修费40万。</t>
  </si>
  <si>
    <t>其他基本业务费：争取资金奖励2.75万</t>
  </si>
  <si>
    <t>[2013399]其他宣传事务支出</t>
  </si>
  <si>
    <t>广电网络技术平台年费等150万。</t>
  </si>
  <si>
    <t>其他基本业务费：争取资金奖励2.24万</t>
  </si>
  <si>
    <t>香港工作经费20万；党外知识分子联谊会工作经费17万；新的社会阶层人士联谊会工作经费8万；民族宗教工作经费18万；宗教团体工作及活动场所安全管理经费17万。</t>
  </si>
  <si>
    <t>其他基本业务费：争取资金奖励0.09万</t>
  </si>
  <si>
    <t>老干部体检、慰问、走访等费用100万。</t>
  </si>
  <si>
    <t>《武平县组织史》20万；《武平县青少年红色文化教育读本》30万；《武平县脱贫攻坚口述史》20万；《武平县志》25万；《武平县年鉴》20万；“中央苏区福建党政军机关红军最后战斗历程”史料挖掘采写65万。</t>
  </si>
  <si>
    <t>业务费及老年体育工作经费20万；聘用退休人员劳务费和培训费10万。</t>
  </si>
  <si>
    <t>市第十一届老年人健身大会经费17.72万。</t>
  </si>
  <si>
    <t>食品安全监管经费60万（县常委会会议纪要[2020]18号）；食品安全监督抽检经费30万（武委[2020]33号第14条）；制服采购款10万；商标奖励20万。</t>
  </si>
  <si>
    <t>其他基本业务费：向上争取资金奖励0.11，罚没款和行政性收费补助51。其他专项业务费：县政府审批食品安全抽检经费追加10万元。</t>
  </si>
  <si>
    <t>[2040101]武装警察部队</t>
  </si>
  <si>
    <t>看守所80万，武警中队48万。</t>
  </si>
  <si>
    <t>看守所监房及附属楼安全技术防范工程及“磐石工程”一期维修服务费29.5万元(按工程总价格399.02+25.78+66.5=491.3万元的6%）29.5；政府购买医疗服务40万。</t>
  </si>
  <si>
    <t>其他基本业务费：争取资金奖励0.92万</t>
  </si>
  <si>
    <t>高清视频卡口建设1300万。</t>
  </si>
  <si>
    <t>其他基本业务费：争取资金奖励5.92，罚没款和行政性收费补助259.11。其他专项业务费：城厢住宅小区智能门禁项目10万元。</t>
  </si>
  <si>
    <t>道安办经费10万；军警民一体化建设10万。</t>
  </si>
  <si>
    <t>其他基本业务费：争取资金奖励31万，罚没款和行政性收费补助341.82万。交通事故调委会3.6，办公经费1万。
其他专项业务费：根据【2018】10号县委常委会纪要红绿灯维护经费79.34万元。</t>
  </si>
  <si>
    <t>[2040299]其他公安支出</t>
  </si>
  <si>
    <t>[151001]武平县人民检察院</t>
  </si>
  <si>
    <t>其他基本业务费：争取资金奖励6.15万</t>
  </si>
  <si>
    <t>[161001]武平县人民法院</t>
  </si>
  <si>
    <t>其他基本业务费：争取资金奖励4.1万</t>
  </si>
  <si>
    <t>值班律师费10万；人民调解案件补贴10万；县政府法律顾问3.2万；行政应诉工作经费5.8万；办公用房租金、物业费、代理记账服务费12万；公职人员学法考试业务费5万；全国法治建设示范县50万。</t>
  </si>
  <si>
    <t>国防动员费5万；征兵工作经费50万（一年两征工作经费，含役前教育训练经费）；民兵训练补助110万（根据龙政综[2021]26号文件精神，上级下达我县全年民兵训练任务数400人*12天*230元/天=110万元（不含伙食费、保险及医疗费等附加支出），年度训练任务结束后剩余经费返还财政局）；民兵应急连经费15万（民兵应急连120人常态化备勤及国旗护卫队保障国庆等重大活动）；民兵应急分队经费40万（共32人含班长等保障人员）。</t>
  </si>
  <si>
    <t>调减工会经费5.65万元至退役军人事务局。</t>
  </si>
  <si>
    <t>教育管理1084.86万（考试经费279.34+教育培训经费793.52+教师节最美乡村教师县先进工作者12）；教育费附加98万（教育督导55+教育费附加增加手续费42+校园周边安全1）</t>
  </si>
  <si>
    <t>其他基本业务费：争取资金奖励16.84万</t>
  </si>
  <si>
    <t>高中生均公用经费72.57万元。
根据武委[2017]11号，武平一中历年积欠的银行贷款1600万的利息由县财政承担50%计60万。</t>
  </si>
  <si>
    <t>高中生均公用经费55.08万</t>
  </si>
  <si>
    <t>义务教育生均公用经费47.12万（含鼓楼校区）</t>
  </si>
  <si>
    <t>义务教育生均公用经费22.52万</t>
  </si>
  <si>
    <t>[2050799]其他特殊教育支出</t>
  </si>
  <si>
    <t>特殊教育学生生均公用经费</t>
  </si>
  <si>
    <t>其他基本业务费：争取资金奖励0.03万。</t>
  </si>
  <si>
    <t>学前教育生均公用经费3.02万；义务教育生均公用经费3.98万；学前教育其他生均公用经费21.71万</t>
  </si>
  <si>
    <t>其他基本业务费：争取资金奖励2.82万</t>
  </si>
  <si>
    <t>义务教育生均公用经费8万</t>
  </si>
  <si>
    <t>1、学前教育生均公用经费3.78万；2、义务教育生均公用经费10.21万；3、学前教育其他生均公用经费21.17万</t>
  </si>
  <si>
    <t>义务教育生均公用经费7.72万</t>
  </si>
  <si>
    <t>1、学前教育生均公用经费4.55万；2、义务教育生均公用经费4.63万；3、学前教育其他生均公用经费36.77万</t>
  </si>
  <si>
    <t>义务教育生均公用经费8.36万</t>
  </si>
  <si>
    <t>义务教育生均公用经费10.58万</t>
  </si>
  <si>
    <t>1、学前教育生均公用经费2.79万；2、义务教育生均公用经费2.79万；3、学前教育其他生均公用经费17.65万</t>
  </si>
  <si>
    <t>1、学前教育生均公用经费11.16万；2、义务教育生均公用经费12.09万；3、学前教育其他生均公用经费80.6万</t>
  </si>
  <si>
    <t>1、学前教育生均公用经费26.78万；2、义务教育生均公用经费19.62万；3、学前教育其他生均公用经费197.64万</t>
  </si>
  <si>
    <t>1、高中生均公用经费15.57万；2、义务教育生均公用经费9.16万；食堂工资4.5万元。</t>
  </si>
  <si>
    <t>义务教育生均公用经费14.41万</t>
  </si>
  <si>
    <t>义务教育生均公用经费21.65万</t>
  </si>
  <si>
    <t>1、学前教育生均公用经费9.95万；2、义务教育生均公用经费20.37万；3、学前教育其他生均公用经费118.8</t>
  </si>
  <si>
    <t>义务教育生均公用经费14.62万</t>
  </si>
  <si>
    <t>义务教育生均公用经费13.1万</t>
  </si>
  <si>
    <t>1、学前教育生均公用经费6.08万；2、义务教育生均公用经费10.19万；3、学前教育其他生均公用经费43.74万</t>
  </si>
  <si>
    <t>1、学前教育生均公用经费24.62万；2、义务教育生均公用经费21.24万；3、学前教育其他生均公用经费177.23万</t>
  </si>
  <si>
    <t>义务教育生均公用经费24.5万</t>
  </si>
  <si>
    <t>义务教育生均公用经费8.69万</t>
  </si>
  <si>
    <t>1、学前教育生均公用经费13.1万；2、义务教育生均公用经费9.06万元；3、学前教育其他生均公用经费94.28万</t>
  </si>
  <si>
    <t>义务教育生均公用经费15.06万</t>
  </si>
  <si>
    <t>1、学前教育生均公用经费8.64万；2、义务教育生均公用经费14.36万；3、学前教育其他生均公用经费84.64</t>
  </si>
  <si>
    <t>1、学前教育生均公用经费43.16万；2、学前教育其他生均公用经费362.62万</t>
  </si>
  <si>
    <t>义务教育生均公用经费32.93万</t>
  </si>
  <si>
    <t>1、学前教育生均公用经费5.36万；2、义务教育生均公用经费9.06万；3、学前教育其他生均公用经费55.12</t>
  </si>
  <si>
    <t>1、学前教育生均公用经费4.86万；2、义务教育生均公用经费7.17万；3、学前教育其他生均公用经费35.24万</t>
  </si>
  <si>
    <t>义务教育生均公用经费7.63万</t>
  </si>
  <si>
    <t>义务教育生均公用经费14.07万</t>
  </si>
  <si>
    <t>1、学前教育生均公用经费14.67万；2、义务教育生均公用经费8.53万；3、学前教育其他生均公用经费106.97万</t>
  </si>
  <si>
    <t>义务教育生均公用经费8.41万</t>
  </si>
  <si>
    <t>1、学前教育生均公用经费7.56万；2、义务教育生均公用经费9.41万；学前教育其他生均公用经费58.71万</t>
  </si>
  <si>
    <t>义务教育生均公用经费21.64万</t>
  </si>
  <si>
    <t>1、学前教育生均公用经费41.94万；2、义务教育生均公用经费30.21万；3、学前教育其他生均公用经费317.74</t>
  </si>
  <si>
    <t>用于学校平时正常运转经费</t>
  </si>
  <si>
    <t>义务教育生均公用经费26.29万</t>
  </si>
  <si>
    <t>学前教育生均公用经费21.56万；学前教育其他生均公用经费185.37万</t>
  </si>
  <si>
    <t>1、学前教育生均公用经费20.97万；2、学前教育其他生均公用经费180.34万</t>
  </si>
  <si>
    <t>义务教育生均公用经费26.4万</t>
  </si>
  <si>
    <t>1、学前教育生均公用经费20.52万；2、学前教育其他生均公用经费221.62万</t>
  </si>
  <si>
    <t>1、学前教育生均公用经费21.56万；2、学前教育其他生均公用经费181.12万</t>
  </si>
  <si>
    <t>义务教育生均公用经费11.34万</t>
  </si>
  <si>
    <t>1、学前教育生均公用经费11.75万；2、学前教育其他生均公用经费84.56万</t>
  </si>
  <si>
    <t>1、学前教育生均公用经费6.71万；2、学前教育其他生均公用经费48.28万</t>
  </si>
  <si>
    <t>1、学前教育生均公用经费4.5万；2、学前教育其他生均公用经费32.4万</t>
  </si>
  <si>
    <t>义务教育生均公用经费4.55万</t>
  </si>
  <si>
    <t>1、学前教育生均公用经费3.15万；2、学前教育其他生均公用经费51.84万</t>
  </si>
  <si>
    <t>干部培训费50万。</t>
  </si>
  <si>
    <t>其他专项业务费：县政府审批2022年干部能力素质提升系列专题培训经费29.5万元。</t>
  </si>
  <si>
    <t>县委县政府公务接待费80万；继续教育基地监管服务及研学培训服务保障支出5万。</t>
  </si>
  <si>
    <t>按每个常住人口2元</t>
  </si>
  <si>
    <t>科技创新平台建设资金10万。</t>
  </si>
  <si>
    <t>其他基本业务费：争取资金奖励1.47万。其他专项业务费：县政府审批追加创建2021-2025年度全国科普示范工作经费20万。</t>
  </si>
  <si>
    <t>其他基本业务费：争取资金奖励0.22万。</t>
  </si>
  <si>
    <t>兴贤坊非遗文化活化工程30万；文艺活动专项业务费40万；文物保护专项业务费100万；办公场所租金10.51万。</t>
  </si>
  <si>
    <t>其他基本业务费：争取资金奖励26.71万</t>
  </si>
  <si>
    <t>图书馆搬迁费15万。</t>
  </si>
  <si>
    <t>定向委培生学费24.3万(6.48万/4年*15人)；公益演出经费35.7万（含梨园物业水电等）。</t>
  </si>
  <si>
    <t>群众文化示范活动建设5万。</t>
  </si>
  <si>
    <t>综合行政执法制式服装费2万。</t>
  </si>
  <si>
    <t>教练员、运动员伙食补贴34万。</t>
  </si>
  <si>
    <t>其他基本业务费：争取资金奖励0.08万。</t>
  </si>
  <si>
    <t>2021年7月至12月梁山书院及文庙物业费17.5万；2022年度梁山书院、文庙物业费35万；兴贤坊循墨公司政务讲解费3万（2020年开街至2021年12月政务讲解费1.5万；2022年政务讲解费1.5万）；匾额博物馆（树德堂）运营管理费70万。</t>
  </si>
  <si>
    <t>其他专项业务费：县政府审批追加2020年7月至2021年7月物业管理费39万。</t>
  </si>
  <si>
    <t>工伤调查认定工作经费、劳动仲裁办案经费、事业单位招聘考试业务费、工人及大中专毕业生档案管理费、社保基金征缴扩面及人力资源网络运行维护费等88万；政府购买服务费200万。</t>
  </si>
  <si>
    <t>劳动保障监察执法专项业务费。</t>
  </si>
  <si>
    <t>招用工费用支出。</t>
  </si>
  <si>
    <t>业务档案信息化处理及信息系统本地化服务费等工作经费。</t>
  </si>
  <si>
    <t>城乡居民基本养老保险（含被征地农民养老保障）政策宣传经费；城乡居民基本养老保险（含被征地农民养老保障）业务档案整理扫描费用；村级信息化平台建设工作经费；基金安全运行工作经费。</t>
  </si>
  <si>
    <t>[323009]武平县社会劳动保险管理中心</t>
  </si>
  <si>
    <t>工伤保险业务经费。</t>
  </si>
  <si>
    <t>[323014]武平县企业退休人员管理服务办公室</t>
  </si>
  <si>
    <t>企业退休人员活动经费10万（企业退休人员活动经费参照行政事业退休人员80/人*888人＝7.1万，县退管办与乡镇企业退管站工作经费2.9）。（武政文[2004]306号）国有企业退休人员社会化管理经费475人*100＝4.75万（武委办发[2020]25号）</t>
  </si>
  <si>
    <t>2021年社会福利中心资产转让评估测绘费用3.3万；农村留守儿童关爱保护工作经费20万；城乡低保特困救助工作专项业务费60万；残疾人二项补贴工作专项业务费20万；养老事业发展专项业务费50万；民主乡下坝乡撤乡设镇宣传、专家评审费等费用20万；地名普查档案数字化及地名数据库维护更新10万；委托第三方评估代理费10万；全县救助申请家庭经济状况核对系统维护经费5万。</t>
  </si>
  <si>
    <t>其他基本业务费：争取资金奖励52.95万</t>
  </si>
  <si>
    <t>婚姻登记证工本费6.4万。</t>
  </si>
  <si>
    <t>扶持15户残疾人养蜂、180名残疾人社会保险补助、2家集中安置企业奖励补助、接纳高校残疾学生补助、辅助5人以上智力、精神及重度残疾人就业、为60名残疾人提供农村实用技术培训、县乡残联换届选举、召开第六次代表大会相关费用等39.8万；福建省梁野残疾人慈善基金会注册资金由县财政预拨200万，预拨资金从安排县残联一般公共预算专项（残保金安排的支出）中每年扣回50万；帮助20名残疾学生、低保户残疾人子女完成学业、“一户多残”生活困难补助、残疾人意外伤害保险、助残日和两节慰问、特殊学校教育培训、第三代智能证模块材料费、打证机维护费、残疾人保障法宣传、动态更新等50万。</t>
  </si>
  <si>
    <t>其他基本业务费：争取资金奖励9.02万。其他专项业务费：县残联第六次代表大会和乡镇（街道）残联换届工作经费11.7万。</t>
  </si>
  <si>
    <t>组织无偿献血、开展精神传播及活动、群众性现场应急救护知识普及培训和人道救助等活动经费5万。</t>
  </si>
  <si>
    <t>退役军人安置就业教育工作经费、退役军人档案整理工作经费、英烈事迹编撰整理工作经费共50万。创省级“双拥模范县”工作经费10万。</t>
  </si>
  <si>
    <t>其他基本业务费：争取资金奖励15.57万。
其他专项业务费：县委2021年议军会议纪要[2021]21号人武部15名人员工会经费5.65万</t>
  </si>
  <si>
    <t>烈士纪念设施保护经费30万（市政府专题会议纪要[2021]21号）。</t>
  </si>
  <si>
    <t>爱国卫生工作经费45万（国家卫生县城复审经费、县城中心城区“四害”消杀经费）；老龄工作及老年学会研究经费21万（70岁老年人免费乘坐公交车15万，老年协会研究小组经费6万）；疾病预防控制及应急专项经费90万（卫生应急队伍运转维护经费、儿童青少年近视调查工作经费）；医疗纠纷调委会经费1万。</t>
  </si>
  <si>
    <t>其他基本业务费：争取资金奖励19.96万，2020年向上争取债券资金奖励12万</t>
  </si>
  <si>
    <t>结核病艾滋病等防治经费、预防接种工作经费、应急保障及物资储备、疫情防控工作经费、疾病防控和卫生监测工作经费共60万。</t>
  </si>
  <si>
    <t>其他基本业务费：罚没款和行政性收费补助0.18万</t>
  </si>
  <si>
    <t>卫生监督专项业务费16万。</t>
  </si>
  <si>
    <t>其他基本业务费：罚没款和行政性收费补助6.06万</t>
  </si>
  <si>
    <t>适龄儿童牙齿窝沟封闭防龋项目、免费婚前医学检查项目共50万。</t>
  </si>
  <si>
    <t>计生协会事业费80万(意外险38万，生育关怀等业务费42万）。</t>
  </si>
  <si>
    <t>其他基本业务费：争取资金奖励2.23万。其他专项业务费：第七次会员代表大会经费1.85万（武财社追指[2022]1号）</t>
  </si>
  <si>
    <t>[324001]龙岩市医疗保障基金管理中心武平管理部</t>
  </si>
  <si>
    <t>[2101506]医疗保障经办事务</t>
  </si>
  <si>
    <t>特殊人群医疗保障工作经费5万；城乡居民医疗保险征缴经费30万（岩税发[2019]53号、龙政综[2019]160号）；重精医疗救助基金管理专项经费1万（龙政办[2019]19号）。</t>
  </si>
  <si>
    <t>[365001]龙岩市武平生态环境局</t>
  </si>
  <si>
    <t>[2110199]其他环境保护管理事务支出</t>
  </si>
  <si>
    <t>其他基本业务费：争取资金奖励89.17万，全方位推动高质量发展超越表彰奖金0.6万</t>
  </si>
  <si>
    <t>房地产综合管理平台运维服务11.8万，房地产管理信息系统维护服务0.8万。</t>
  </si>
  <si>
    <t>其他基本业务费：争取资金奖励6.95万，罚没款和行政性收费补助8.83万；其他专项业务费：防空警报设备经费2.24万、防空警报试鸣人民防空综合演练费0.42万</t>
  </si>
  <si>
    <t>其他基本业务费：罚没款和行政性收费补助55</t>
  </si>
  <si>
    <t>环卫车辆费用20万；12座公厕24万；9座爱心驿站6万；垃圾中转站日常维护费用10万；春节、环卫工人节慰问费7万。</t>
  </si>
  <si>
    <t>监控及音箱维护费5万，儿童乐园运行管理经费45万。</t>
  </si>
  <si>
    <t>在建项目聘请专家检查费10万。</t>
  </si>
  <si>
    <t>巩固脱贫攻坚成果工作经费100万（含5个脱贫乡镇25万，每个乡镇5万）；县委乡村振兴办经费20万；补充耕地项目乡镇整改工作经费52万；扶贫协会工作经费8万；省市驻村干部住宿费10万；农业综合开发项目工作经费350万。</t>
  </si>
  <si>
    <t>其他基本业务费：向上争取资金奖励282.27，罚没款和行政性收费补助0.47</t>
  </si>
  <si>
    <t>国家级主要农作物示范县全程机械化创建专项业务费10万；行政执法制服1.66万。</t>
  </si>
  <si>
    <t>定额公用经费：年初漏预算1人0.77万。其他基本业务费：向上争取资金奖励17.23</t>
  </si>
  <si>
    <t>武平县林业金融区块链融资服务平台维护服务费10万；摄制党员教育电视片经费10万；举办学习贯彻习近平总书记对武平林改重要指示20周年系列活动100万。</t>
  </si>
  <si>
    <t>其他基本业务费：争取资金奖励171.37，罚没款和行政性收费补助14万。</t>
  </si>
  <si>
    <t>管护工作经费30万。</t>
  </si>
  <si>
    <t>其他基本业务费：争取资金奖励15.96</t>
  </si>
  <si>
    <t>城乡一体化建设指挥部办公经费20万；武平县河长制办公经费30万（根据岩河长组办〔2021〕1号关于市县乡三级河长制办公室标准化建设的实施意见，河长制目标考核要求每县办公经费不少于30万）。</t>
  </si>
  <si>
    <t>其他公用经费：车改补贴追加钟生祥3月份调入（990元/月）；其他基本业务费：向上争取资金奖励182.35</t>
  </si>
  <si>
    <t>其他基本业务费：争取资金奖励68.52万</t>
  </si>
  <si>
    <t>龙岩至龙川铁路武平至梅州段前期工作经费（龙龙铁路指挥部日常运转经费）30万。</t>
  </si>
  <si>
    <t>其他基本业务费：罚没款和行政性收费补助12.54万</t>
  </si>
  <si>
    <t>其他基本业务费：争取资金奖励0.9万</t>
  </si>
  <si>
    <t>[903001]中国人民银行武平县支行</t>
  </si>
  <si>
    <t>[2179999]其他金融支出</t>
  </si>
  <si>
    <t>奖补经费100万。</t>
  </si>
  <si>
    <t>[903002]中国银行业监督管理委员会龙岩监管分局武平办事处</t>
  </si>
  <si>
    <t>奖补经费10万。</t>
  </si>
  <si>
    <t>法律法规宣传费、律师顾问咨询、案件代理诉讼费5万。</t>
  </si>
  <si>
    <t>其他基本业务费：争取资金奖励5.32，罚没款和行政性收费补助15</t>
  </si>
  <si>
    <t>办公用房租金7万；不动产登记系统运维服务10万。</t>
  </si>
  <si>
    <t>其他基本业务费：罚没款和行政性收费补助12万，下达2021年7-12月契税协助征收经费32.14万。其他专项业务费:不动产统一登记系统升级扩容及网络平台建设项目64.2万，2020年已完成验收，总价款147.2万元，已下拨83万元。</t>
  </si>
  <si>
    <t>[325006]武平县矿产产品流通服务中心</t>
  </si>
  <si>
    <t>武财资环用追指[2022]3号协税护税专项业务费10万</t>
  </si>
  <si>
    <t>地方气象事业经费、人工影响天气经费25万（武气发[2019]5号、闽政办[2021]29号、国办发[2020]47号）</t>
  </si>
  <si>
    <t>十四</t>
  </si>
  <si>
    <t>安全生产、应急管理等专项业务费50万；防震减灾5万；无人机管理专项业务费5万。</t>
  </si>
  <si>
    <t>其他基本业务费：争取资金奖励0.54，罚没款和行政性收费补助15；其他专项业务费：5·27突发强降雨应急抢险救援工作后勤保障经费6.9万</t>
  </si>
  <si>
    <t>《福建省地方消防经费管理办法》</t>
  </si>
  <si>
    <t>购置统型装备、灭火药剂100万。</t>
  </si>
  <si>
    <t>其他基本业务费：罚没款和行政性收费补助2.38万。
其他专项业务费：县政府审批十方消防救援站营房修缮经费10万。</t>
  </si>
  <si>
    <t>煤矿安全生产监察经费1.2万；煤矿安全监控系统网络租金及运行维护费1.96万。</t>
  </si>
  <si>
    <t>十五</t>
  </si>
  <si>
    <t>[09]综合股</t>
  </si>
  <si>
    <t>[902201]武平县天盛矿业投资集团有限公司</t>
  </si>
  <si>
    <t>[2299999]其他支出</t>
  </si>
  <si>
    <t>核销暂付款-原煤炭公司运转经费</t>
  </si>
  <si>
    <t>核销暂付款-2021年度运转经费</t>
  </si>
  <si>
    <t>2022年一般公共预算项目支出（县本级）预算调整表</t>
  </si>
  <si>
    <t>项目名称</t>
  </si>
  <si>
    <t>存量资金安排支出</t>
  </si>
  <si>
    <t xml:space="preserve">截止10.14日已支出-总会计
</t>
  </si>
  <si>
    <t>年 初 预 算 说 明</t>
  </si>
  <si>
    <t>为平衡预算调减列入下年预算</t>
  </si>
  <si>
    <t>本级发展性支出</t>
  </si>
  <si>
    <t>本级补贴清算类支出</t>
  </si>
  <si>
    <t>其他特定目标类项目</t>
  </si>
  <si>
    <t>201一般公共服务支出</t>
  </si>
  <si>
    <t>[16]项目资金管理股</t>
  </si>
  <si>
    <t>[2010399]其他政府办公厅（室）及相关机构事务支出</t>
  </si>
  <si>
    <t>县委县政府大院5号楼维修改造项目</t>
  </si>
  <si>
    <t>维修改造县委县政府大院5号楼。</t>
  </si>
  <si>
    <t>[2010499]其他发展与改革事务支出</t>
  </si>
  <si>
    <t>服务业稳定增长扶持奖励资金</t>
  </si>
  <si>
    <t>用于扶持奖励服务业企业稳定增长。</t>
  </si>
  <si>
    <t>固定资产投资工作经费</t>
  </si>
  <si>
    <t>项目落地攻坚专项经费</t>
  </si>
  <si>
    <t>含五个一批正向激励经费、开竣工活动经费、项目特派员经费等。</t>
  </si>
  <si>
    <t>重点项目前期经费</t>
  </si>
  <si>
    <t>含项目储备奖励经费、项目谋划工作经费。</t>
  </si>
  <si>
    <t>[2010408]物价管理</t>
  </si>
  <si>
    <t>2021年中秋、国庆农副产品平价销售工作经费</t>
  </si>
  <si>
    <t>县领导审批，武财发追指[2022]6号。</t>
  </si>
  <si>
    <t>回拨省级预算内投资正向激励前期工作奖励经费剩余资金</t>
  </si>
  <si>
    <t>武财发用存指[2022]3号</t>
  </si>
  <si>
    <t>[2010507]专项普查活动</t>
  </si>
  <si>
    <t>第七次全国人口普查</t>
  </si>
  <si>
    <t>[2011199]其他纪检监察事务支出</t>
  </si>
  <si>
    <t>清风馆建设经费</t>
  </si>
  <si>
    <t>2021年指标收回重新安排</t>
  </si>
  <si>
    <t>物流快递企业租金补贴</t>
  </si>
  <si>
    <t>入驻龙洲物流园区、高新区的物流、快递企业租金补贴。</t>
  </si>
  <si>
    <t>疫情应急物资储存保管费用</t>
  </si>
  <si>
    <t>县级应急物资保障体系建设的重点救治物品、医疗防护物资、医疗救治设备的储存保管费用支出。</t>
  </si>
  <si>
    <t>奕源偏光片项目全景参观通道补助资金</t>
  </si>
  <si>
    <t>县领导审批，武财发追指[2022]15号（169.52㎡*230元/平方米）</t>
  </si>
  <si>
    <t>扩园指挥部工作经费</t>
  </si>
  <si>
    <t>县领导审批，武财发追指[2022]5号</t>
  </si>
  <si>
    <t>个人自费出书补助</t>
  </si>
  <si>
    <t>用于补助个人自费出书经费。</t>
  </si>
  <si>
    <t>办公设备更新</t>
  </si>
  <si>
    <t>[2013105]专项业务</t>
  </si>
  <si>
    <t>党建经费</t>
  </si>
  <si>
    <t>基层党建工作经费、党建目管奖、基层党建示范点建设</t>
  </si>
  <si>
    <t>基层党建工作经费100万元、党建目管奖85万元、基层党建示范点建设45万元。</t>
  </si>
  <si>
    <t>[2013299]其他组织事务支出</t>
  </si>
  <si>
    <t>村居干部五项考评资金</t>
  </si>
  <si>
    <t>2022年村居干部五项考评资金</t>
  </si>
  <si>
    <t>干部人事档案数字化建设</t>
  </si>
  <si>
    <t>上年结转干部人事档案数字化建设项目</t>
  </si>
  <si>
    <t>关心关爱基层党员干部专项资金</t>
  </si>
  <si>
    <t>设立县级关心关爱基层党员干部专项资金，出台并实施若干措施。</t>
  </si>
  <si>
    <t>人才资源开发专项经费</t>
  </si>
  <si>
    <t>含各种人才资源开发专项经费，用于培养造就一支优良的人才队伍。</t>
  </si>
  <si>
    <t>村村响广播电视公共服务（含农家书屋提升改造等）</t>
  </si>
  <si>
    <t>调剂科目至文化旅游体育与传媒支出</t>
  </si>
  <si>
    <t>三下乡活动（含宣传思想文化设施与阵地建设、农民文化体育节）</t>
  </si>
  <si>
    <t>宣传部“三下乡”活动（含宣传思想文化设施与阵地建设、农民文化体育节）</t>
  </si>
  <si>
    <t>文化产业发展</t>
  </si>
  <si>
    <t>2022年文化产业发展专项资金</t>
  </si>
  <si>
    <t>舆情应对与网评员队伍建设</t>
  </si>
  <si>
    <t>舆情应对与网评员队伍建设经费</t>
  </si>
  <si>
    <t>武平县融媒体中心“中央厨房”技术平台升级改造项目</t>
  </si>
  <si>
    <t>[902008]武平县天然文化旅游投资有限公司</t>
  </si>
  <si>
    <t>林改纪录片制作经费</t>
  </si>
  <si>
    <t>县政府审批追加林改纪录片制作经费</t>
  </si>
  <si>
    <t>宗教活动场所安全管理经费</t>
  </si>
  <si>
    <t>核销2021年暂付款</t>
  </si>
  <si>
    <t>[2013899]其他市场监督管理事务</t>
  </si>
  <si>
    <t>知识产权专利发展专项资金</t>
  </si>
  <si>
    <t>根据龙政办[2021]19号文件,市级财政与县级财政按2:8比例分担，预计2022年度我县国家发明专利奖励、市知识产权优势企业5家、专利质押贷款贴息企业、市级专利奖评审3家，共计120万元。</t>
  </si>
  <si>
    <t>204公共安全支出</t>
  </si>
  <si>
    <t>[2049902]国家司法救助支出</t>
  </si>
  <si>
    <t>涉法涉诉及应急维稳救助基金</t>
  </si>
  <si>
    <t>平安建设村居三个10%及其他奖补</t>
  </si>
  <si>
    <t>兑现2020年度平安村（居）民基础养老金、医疗保险个人缴费、大病保险报销补助等10%奖励补助资金，包括县级配套平安乡镇、平安村居奖励经费及重症精神病人监护补助资金。</t>
  </si>
  <si>
    <t>“平安中国建设示范县”创建专项经费</t>
  </si>
  <si>
    <t>205教育支出</t>
  </si>
  <si>
    <t>百年校庆校园提升改造</t>
  </si>
  <si>
    <t>省投资开发公司2022年对口援捐建设项目150万</t>
  </si>
  <si>
    <t>百年校庆校园提升改造项目</t>
  </si>
  <si>
    <t>学前教育保教费</t>
  </si>
  <si>
    <t>教育绩效考核激励经费</t>
  </si>
  <si>
    <t>学业水平考试、新高考适应性考试等经费</t>
  </si>
  <si>
    <t>《中国林改20年：县域生态文明建设的武平实践》一书编辑出版经费</t>
  </si>
  <si>
    <t>县政府审批追加《中国林改20年：县域生态文明建设的武平实践》一书编辑出版经费</t>
  </si>
  <si>
    <t>武平一中课后辅导财政补助经费</t>
  </si>
  <si>
    <t>用于2022年我校高一至高三学生寒假、暑假、周末补课，早晚读、晚下班等课后辅导经费开支206.05万元。</t>
  </si>
  <si>
    <t>小学家庭经济困难学生生活补助</t>
  </si>
  <si>
    <t>按上级财政规定比例配套</t>
  </si>
  <si>
    <t>初中家庭经济困难学生生活补助</t>
  </si>
  <si>
    <t>学前教育、高校学生学费奖励建档立卡贫困户学生资助经费县级配套</t>
  </si>
  <si>
    <t>农村义务教育学生营养改善计划</t>
  </si>
  <si>
    <t>普通高中学生资助</t>
  </si>
  <si>
    <t>免除建档立卡等家庭经济困难学生学杂费</t>
  </si>
  <si>
    <t>免作业本县级配套</t>
  </si>
  <si>
    <t>[2050999]其他教育费附加安排的支出</t>
  </si>
  <si>
    <t>初中壮腰</t>
  </si>
  <si>
    <t>初中教改</t>
  </si>
  <si>
    <t>改善办学条件</t>
  </si>
  <si>
    <t>学校扩容</t>
  </si>
  <si>
    <t>学校网络提速及视频监控</t>
  </si>
  <si>
    <t>全县中小及幼儿园学校网络提速及视频监控</t>
  </si>
  <si>
    <t>中小学校近视防控教室照明改造工程</t>
  </si>
  <si>
    <t>县政府审批</t>
  </si>
  <si>
    <t>龙岩市教育信息化项目</t>
  </si>
  <si>
    <t>[18]债务股</t>
  </si>
  <si>
    <t>武平县基础教育扩容提升建设</t>
  </si>
  <si>
    <t>武财（债）指[2022]08号</t>
  </si>
  <si>
    <t>[2059999]其他教育支出</t>
  </si>
  <si>
    <t>武平县基础教育扩容提升建设项目</t>
  </si>
  <si>
    <t>武财（债）指[2022]02号</t>
  </si>
  <si>
    <t>中职教育学生资助</t>
  </si>
  <si>
    <t>中职教育学杂费</t>
  </si>
  <si>
    <t>206科学技术支出</t>
  </si>
  <si>
    <t>[2069999]其他科学技术支出</t>
  </si>
  <si>
    <t>科技特派员创新创业基金</t>
  </si>
  <si>
    <t>保障科技特派员工作的正常运行，扶持一批科特派实施的后补助项目，培育一批科特派创新创业示范基地。</t>
  </si>
  <si>
    <t>[2066999]其他科学技术支出</t>
  </si>
  <si>
    <t>工信科技高质量发展落实赶超十八条措施奖励</t>
  </si>
  <si>
    <t>2022年一季度福建福盛达电子有限公司等17家规上工业企业用电增量县级奖励(武财企预〔2022〕42号)。</t>
  </si>
  <si>
    <t>武平县人民政府关于推动工业信息化和科技创新高质量发展十八条措施的通知</t>
  </si>
  <si>
    <t>外资发展专项资金</t>
  </si>
  <si>
    <t>进一步提高我县对外开放水平，积极引进外资，提高利用外资水平和质量。</t>
  </si>
  <si>
    <t>电子商务产业发展扶持资金</t>
  </si>
  <si>
    <t>龙洲电商物流产业园租金补助（武平百香果分拣中心、武平县道成网络科技有限公司）(武财企预〔2022〕41号)。</t>
  </si>
  <si>
    <t>[902001]福建武平国有投资集团有限公司</t>
  </si>
  <si>
    <t>职业技能实训基地项目建设</t>
  </si>
  <si>
    <t>职业技能实训基地项目建设本息（武财债更正[2022]02号）</t>
  </si>
  <si>
    <t>[902101]武平县天恒城市建设投资集团有限公司</t>
  </si>
  <si>
    <t>南部片区市政基础设施建设项目</t>
  </si>
  <si>
    <t>武财（债）指[2022]02号安排300万，武财（债）指[2022]06号安排1102万</t>
  </si>
  <si>
    <t>补更正通知书212调整为206</t>
  </si>
  <si>
    <t>城区市政公用设施功能完善提升工程</t>
  </si>
  <si>
    <t>武平县城区道路改扩建工程项目</t>
  </si>
  <si>
    <t>武财（债）指[2022]06号</t>
  </si>
  <si>
    <t>[902011]武平工业园区投资发展有限公司</t>
  </si>
  <si>
    <t>省级科技孵化器暨职业技能实训基地项目贷款利息</t>
  </si>
  <si>
    <t>2022提前归还本金800万元，利息23.39万元。</t>
  </si>
  <si>
    <t>2016年2月因职业技能实训基地项目建设的需要，由县园区公司向县国开行申请基金贷款1200万元，贷款期限15年（2016-2031），贷款年利率1.5%，按季付息，该项国家专项建设基金资金已全部用于职业技能实训基地项目建设，至2021年底贷款余额800万元，2022年应付贷款利息12.17万元。</t>
  </si>
  <si>
    <t>207文化旅游体育与传媒支出</t>
  </si>
  <si>
    <t>图书馆新馆定制家居</t>
  </si>
  <si>
    <t>图书馆新馆办公及业务家具购置，政府采购，搬迁前完成。</t>
  </si>
  <si>
    <t>图书馆新馆购书经费</t>
  </si>
  <si>
    <t>图书馆新馆图书采购8万册，实行政府招投标采购，在明年新馆搬迁前完成。</t>
  </si>
  <si>
    <t>图书馆新馆信息化设备购置</t>
  </si>
  <si>
    <t>图书馆新馆信息化建设，采取政府采购投标方式，2022年3月前完成。</t>
  </si>
  <si>
    <t>非物质文化遗产保护</t>
  </si>
  <si>
    <t>非物质文化遗产保护经费。</t>
  </si>
  <si>
    <t>年初已预算，科目调剂至文化旅游体育与传媒支出</t>
  </si>
  <si>
    <t>武平县城北片区改造一期（兴贤坊）项目政府购买服务（还本付息）</t>
  </si>
  <si>
    <t>2022年归还本金1000万元，利息218.73万元。</t>
  </si>
  <si>
    <t>2022年应归还本金1000万元，利息218.86万元。</t>
  </si>
  <si>
    <t>武平县定光佛旅游景区项目（还本付息）</t>
  </si>
  <si>
    <t>2022年归还本金300万元，利息17.84万元。</t>
  </si>
  <si>
    <t>2022年应归还本金300万元，利息18.45万元。</t>
  </si>
  <si>
    <t>武平县梁野山创5A级景区项目（还息）</t>
  </si>
  <si>
    <t>2022年利息291.60万元。</t>
  </si>
  <si>
    <t>2022年利息364.32万元。</t>
  </si>
  <si>
    <t>[2070399]其他体育支出</t>
  </si>
  <si>
    <t>武平县体育公园项目（还本付息）</t>
  </si>
  <si>
    <t>2022年应归还本金240万元，利息13.43万元。</t>
  </si>
  <si>
    <t>2022年应归还本金300万元，利息13.82万元。</t>
  </si>
  <si>
    <t>中山古镇保护与旅游开发建设项目（付息）</t>
  </si>
  <si>
    <t>武财（债）指[2022]03号追加2022年利息61.57万元</t>
  </si>
  <si>
    <t>[2070108]文化活动</t>
  </si>
  <si>
    <t>文艺活动专项</t>
  </si>
  <si>
    <t>[2070113]旅游宣传</t>
  </si>
  <si>
    <t>旅游发展专项</t>
  </si>
  <si>
    <t>208社会保障和就业支出</t>
  </si>
  <si>
    <t>引工留工政策补贴</t>
  </si>
  <si>
    <t>办公楼外墙老旧玻璃拆除及外墙修复</t>
  </si>
  <si>
    <t>民政局办公楼属原工商局办公楼，外墙老旧玻璃存在脱落危险，需全部拆除及外墙修复。</t>
  </si>
  <si>
    <t>[2080207]行政区划和地名管理</t>
  </si>
  <si>
    <t>行政区域界线维护</t>
  </si>
  <si>
    <t>界线界桩巡查和维护。</t>
  </si>
  <si>
    <t>街道、村委会地名标志牌建设维修经费</t>
  </si>
  <si>
    <t>新设置路牌村牌、公益广告更新和维护费10万元。</t>
  </si>
  <si>
    <t>农村敬老院拓展提升为区域性的养老服务中心</t>
  </si>
  <si>
    <t>2022年武东镇、象洞镇敬老院提升，县级配套30万*2。</t>
  </si>
  <si>
    <t>[2080899]其他优抚支出</t>
  </si>
  <si>
    <t>其他优抚经费</t>
  </si>
  <si>
    <t>县长批示件，其他优抚经费含大学生入伍一次性奖励金（武财社追指[2022]5号），价格临时补贴（龙发改价[2022]32号）</t>
  </si>
  <si>
    <t>退役军人其他优抚资金</t>
  </si>
  <si>
    <t>义务兵优待金</t>
  </si>
  <si>
    <t>核销2021年暂付款197.088329万元</t>
  </si>
  <si>
    <t>义务兵优待金、进藏进疆人员增发优待金及一次性优待补助金及预备消防士优待金。</t>
  </si>
  <si>
    <t>优抚对象抚恤经费</t>
  </si>
  <si>
    <t>核销2021年暂付款640.14万元，今年增加5.44万元</t>
  </si>
  <si>
    <t>烈士遗属、因公牺牲军人遗属、病故军人遗属、复员军人、带病回乡退伍军人、参战退役人员、参与铀矿开采退役人员、伤残军人、烈士老子女、60周岁以上农村籍退役士兵及复企人员等优抚对象的抚恤和生活补助。</t>
  </si>
  <si>
    <t>[2080999]其他退役安置支出</t>
  </si>
  <si>
    <t>退役安置支出</t>
  </si>
  <si>
    <t>包括自主就业退役士兵地方一次性经济补助、进藏进疆自主就业退役士兵增发地方一次性经济补助、待安置士官生活及医社保补助、企业军转干部困难生活补助、自主择业军转干部医疗保险缴费及补助等。</t>
  </si>
  <si>
    <t>[2081004]殡葬</t>
  </si>
  <si>
    <t>殡葬改革及骨灰堂管理人员费用</t>
  </si>
  <si>
    <t>殡葬改革宣传费、乡镇巡查等费用、管理人员费用11万元（工资1500元/人/月、五险一金844.43元/人/月、特殊岗位补贴380元/人/月、夜班补贴800元/人/月，绩效1.2万元/人/年，合计10.86万元）。</t>
  </si>
  <si>
    <t>村级骨灰堂建设补助</t>
  </si>
  <si>
    <t>2022年建设30个村级骨灰堂，每个补助17万元。</t>
  </si>
  <si>
    <t>[2081006]养老服务</t>
  </si>
  <si>
    <t>城厢镇敬老院附属工程建设</t>
  </si>
  <si>
    <t>上半年审计整改收回，现工程已完工，需支付余款</t>
  </si>
  <si>
    <t>[2081099]其他社会福利支出</t>
  </si>
  <si>
    <t>“互联网+养老”信息服务平台建设</t>
  </si>
  <si>
    <t>线上3000人、线下1200人共50万。</t>
  </si>
  <si>
    <t>福利中心建设专项基金利息</t>
  </si>
  <si>
    <t>2022年应付利息6.09万元。</t>
  </si>
  <si>
    <t>[2080199]其他民政事务管理支出</t>
  </si>
  <si>
    <t>福利中心建设补助</t>
  </si>
  <si>
    <t>武财债更正[2022]02号农发重点建设基金本息</t>
  </si>
  <si>
    <t>精神障碍社区康复服务（康乐家园）</t>
  </si>
  <si>
    <t>预计30名学员，每天午餐10元/人，22天*10元*30人*12个月=7.92万元，服务费8000元/人年*30人=24万元，共31.92万。</t>
  </si>
  <si>
    <t>民办非营利性养老机构（含公建民营的乡镇敬老院）运营补贴</t>
  </si>
  <si>
    <t>按实结算</t>
  </si>
  <si>
    <t>民办非营利性养老机构运营补贴2400元/人（省、县各负担50%）。县级1200元/人:颐养家园、福康老年公寓、幸福园托老院、社区养老服务中心、公园福星老年公寓、公建民营的乡镇敬老院合计65万元。</t>
  </si>
  <si>
    <t>民办非营利性养老机构一次性开办费</t>
  </si>
  <si>
    <t>民办非营利性养老机构一次性开办费。</t>
  </si>
  <si>
    <t>农村幸福院建设及质量提升奖补</t>
  </si>
  <si>
    <t>县级为民办实事项目</t>
  </si>
  <si>
    <t>提升45个农村幸福院，每个1万元；2020年评为五星级、四星级、三星级奖励12万。</t>
  </si>
  <si>
    <t>社区养老服务中心运营经费</t>
  </si>
  <si>
    <t>1.家园式日间照料中心根据招标合同，每年应付运营费用110万元。2.社区照料中心8个；6个养老服务站；按武委发[2017]11号文件，财政前三年给予每个照料中心不低于10万元，每个养老服务站不低于2万元运营经费补助，5*10万元+6*2万元=62万元；每个照料中心设置2名助老员、每个服务站设置1名助老员，22人（8*2+6*1）*5万元（含五险一金）=110万元。合计110+172=282万元。</t>
  </si>
  <si>
    <t>养老服务设施老年人意外伤害保险及等级评定奖补</t>
  </si>
  <si>
    <t>武平县落实龙岩市加快推进健康养老产业发展（2021—2025年）二十条措施任务分解表：1.根据第12条：我县入住养老机构约650人，居家社区养老服务设施建筑面积约52420+8*200=平米。共需经费：650*100+（54020÷25）*100=281080元。2.根据第19条：武平县社区养老服务中心通过五星级评定后，入住50人，每床增加补贴200元，共10000元。</t>
  </si>
  <si>
    <t>已建成验收投入使用农村幸福院运营补贴</t>
  </si>
  <si>
    <t>2014-2021年已建成验收并投入使用农村幸福院157个*5000元/年=78.5万元。</t>
  </si>
  <si>
    <t>残疾儿童康复训练补助、精神残疾人医疗救助</t>
  </si>
  <si>
    <t>残疾儿童康复训练、辅助器具补助、精神残疾人医疗救助152.54万。</t>
  </si>
  <si>
    <t>[2081107]残疾人生活和护理补贴</t>
  </si>
  <si>
    <t>残疾人二项补贴</t>
  </si>
  <si>
    <t>约5000人，每人每月119元（其中99元省负担80%，县负担20%，提标的20元，市县各负担50%）一级生活困难重度一级护理补贴人数1600人，每人每月119元；非生活困难重度一级护理补贴人数500人每人每月115元；（省负担80%，县负担20%）二级生活困难重度二级护理补贴人数2500人，每人每月99元，二级非生活困难重度二级护理补贴人数600人，每人每月85元，（省负担80%，县负担20%）</t>
  </si>
  <si>
    <t>[2081901]城市最低生活保障金支出</t>
  </si>
  <si>
    <t>城市低保</t>
  </si>
  <si>
    <t>计算公式：低保金：300人×470元/人、月×12*1.03（含0.03购买服务）=174.28万元；高龄补贴：10人×100元/人、月×12=1.2万元；其中省级补助：4750元/年*300*90%=128.25万元。县级配套175.48-128.25=47.23万元。</t>
  </si>
  <si>
    <t>[2081902]农村最低生活保障金支出</t>
  </si>
  <si>
    <t>农村低保</t>
  </si>
  <si>
    <t>计算公式：低保金：9500人×470元/人、月×12*1.03（含0.03购买服务）=5518.74万元；高龄补贴：700人×100元/人、月×12=84万元；其中省级补助：4750元/年*9500*90%=4061.25万元。县级配套5602.74-4061.25=1541.49万元。</t>
  </si>
  <si>
    <t>[2082002]流浪乞讨人员救助支出</t>
  </si>
  <si>
    <t>流浪乞讨人员救助服务</t>
  </si>
  <si>
    <t>流浪乞讨人员救助服务60</t>
  </si>
  <si>
    <t>[2082102]农村特困人员救助供养支出</t>
  </si>
  <si>
    <t>特困供养</t>
  </si>
  <si>
    <t>计算依据：1300人×1200元/人、月×12*1.03（含0.03购买服务）=1928.16万元，其中省级补助：4750*2*1300*90%=1111.5万元。县级配套1928.16-1111.5=816.66万元。</t>
  </si>
  <si>
    <t>[2082602]财政对城乡居民基本养老保险基金的补助</t>
  </si>
  <si>
    <t>城乡居民基本养老保险补助</t>
  </si>
  <si>
    <t>1、参保补助:120500人*45元*20%=108.45万元；
2、低保重残等特殊群体代缴保费补助:5460人*200元+2320人*100元=132.4万元；
3、计生对象缴费补助:18865人*10元=18.87万元；
4、县级基础养老金补助:58645人*25元*12=1759.35万元；
5、长缴多得补助:15018人*15元*12=70.32万元；
6、丧葬金补助:1920人*155元*20=595.2万元；
7、计生户养老补助:1635人*10元*12=19.62万元；
城乡居民养老保险小计:2904.21万元。</t>
  </si>
  <si>
    <t>[2082702]财政对工伤保险基金的补助</t>
  </si>
  <si>
    <t>财政对工伤保险基金的补助</t>
  </si>
  <si>
    <t>对工伤保险基金的县级财政补助</t>
  </si>
  <si>
    <t>[2089999]其他社会保障和就业支出</t>
  </si>
  <si>
    <t>未参保老年生活保障金</t>
  </si>
  <si>
    <t>发放标准提高</t>
  </si>
  <si>
    <t>用于支付未参保人员老年生活保障金</t>
  </si>
  <si>
    <t>210卫生健康支出</t>
  </si>
  <si>
    <t>[2100199]其他卫生健康管理事务支出</t>
  </si>
  <si>
    <t>乡村医生养老保险及生活补助</t>
  </si>
  <si>
    <t>60周岁以上的乡村医生养老生活补助：570人×7152元／人／年=407.66万元；60周岁以下养老保险补助：220人×（8371元／人／年×50%)=92.08万元。</t>
  </si>
  <si>
    <t>强制送医流浪乞讨（三无）严重精神障碍患者医疗救助基金</t>
  </si>
  <si>
    <t>对强制送医流浪乞讨（三无）严重精神障碍患者进行医疗救治和保障基本生活。2019年度31.09万元；2020年度49.82万元；2021年度67.11万元；2022年度预算18人*110元/人/天*365天=72.27万元。预安排100万。</t>
  </si>
  <si>
    <t>县医院设施及设备购置、重点学科建设、人才培养补助</t>
  </si>
  <si>
    <t>通过购置专用医疗设备，开展新技术新项目，不断提高医院医疗水平，提高医院就诊率和治愈率，项目资金通过财政拨款解决。</t>
  </si>
  <si>
    <t>中医院设施及设备购置、重点学科建设、人才培养补助</t>
  </si>
  <si>
    <t>财政补助中医院设施及设备购置、重点学科建设、人才培养资金。</t>
  </si>
  <si>
    <t>基本药物制度改革补偿</t>
  </si>
  <si>
    <t>财政每年补助120万元（其中补助村所27.80万人*1元/人/年=27.80万元、基层医疗卫生机构92.20万元）</t>
  </si>
  <si>
    <t>[2100499]其他公共卫生支出</t>
  </si>
  <si>
    <t>二类疫苗接种服务费</t>
  </si>
  <si>
    <t>乡镇、社区卫生院二类疫苗接种服务费</t>
  </si>
  <si>
    <t>检验检测能力提升（设备购置31台套）</t>
  </si>
  <si>
    <t>省投资开发公司2022年捐赠资金项目</t>
  </si>
  <si>
    <t>[2100408]基本公共卫生服务</t>
  </si>
  <si>
    <t>基本公共卫生服务经费</t>
  </si>
  <si>
    <t>按（常住人口27.8万人+流动人口0.4万）*75元/人/年*20%（县级财政负担）=423万</t>
  </si>
  <si>
    <t>家庭医生签约服务县级财政补助</t>
  </si>
  <si>
    <t>特殊人群家庭医生签约服务个人付费部分由县财政补助：23994人×20元/人/年＝479880元（特困人员1180人、低保8402人、革命五老6人、重点优抚1209人、残疾11400人、计生特殊家庭247人、严重精神障碍患者1550人）</t>
  </si>
  <si>
    <t>2022年适龄女性人乳头瘤病毒（HPV）疫苗免费接种试点项目县级配套资金</t>
  </si>
  <si>
    <t>2022年省市为民办实事项目,市卫健委、市财政局等四部门（龙卫基妇[2022]5号）按省80%县20%配套</t>
  </si>
  <si>
    <t>[2100717]计划生育服务</t>
  </si>
  <si>
    <t>计生奖励扶助费</t>
  </si>
  <si>
    <t>坚持计划生育基本国策，提高出生人口素质，全面实施二孩政策，促进人口长期均衡发展，顺利完成上级下达的各项指标任务。</t>
  </si>
  <si>
    <t>[2100799]其他计划生育事务支出</t>
  </si>
  <si>
    <t>计生事业费</t>
  </si>
  <si>
    <t>计划生育免费基本技术服务。[福建省物价局、省财政厅、省卫生厅、省人口和计划生育委员会《关于调整计划生育技术服务收费结算标准的通知》（闽价服[2009]295号）及龙岩市人口计生工作领导小组关于印发《龙岩市计划生育技术服务改革实施方案》（试行）的通知（龙人口领[2017]5号）]</t>
  </si>
  <si>
    <t>[2101202]财政对城乡居民基本医疗保险基金的补助</t>
  </si>
  <si>
    <t>计生户城乡居民医保政府资助缴费补助</t>
  </si>
  <si>
    <t>对农村独女户、二女结扎户的家庭成员，其城乡医保个人缴费部分由政府给予补助，补助16200人*350元/年=567万元。</t>
  </si>
  <si>
    <t>[2101399]其他医疗救助支出</t>
  </si>
  <si>
    <t>重症精神病医疗救助基金</t>
  </si>
  <si>
    <t xml:space="preserve">2021年结算支出104.431319万元； 
2020年结算支出110.557328万元； 
合计214.988647万元。 </t>
  </si>
  <si>
    <t>根据《龙岩市人民政府办公室关于印发龙岩市严重精神障碍患者救治救助工作实施办法的通知》（龙政办[2019]19号文件精神，为推行全市精神障碍患者救治救助工作，建立健全保障机制，设立严重精神障碍患者救治救助基金。县级财政每年年初预拨重精医疗救助基金30万元。</t>
  </si>
  <si>
    <t>改制企业职工退休补缴医保费</t>
  </si>
  <si>
    <t>2021年实际支出42.434908万元。</t>
  </si>
  <si>
    <t>我县从2005年8月1日起施行企业基本医疗保险制度，部分国有、集体因资金紧缺无法按时参保，改制后造成中断缴纳2005年8月至改制时的医疗保险费。根据《武平县人民政府关于我县部分原国有、集体改制企业退休职工医保遗留问题的批复》武政文[2015]307号文件精神，2021年办理退休应补缴医疗保险费约30万。</t>
  </si>
  <si>
    <t>[2109999]其他卫生健康支出</t>
  </si>
  <si>
    <t>定向委培项目</t>
  </si>
  <si>
    <t>1.福建医科大学共10人：140600元；2.中医药大学共18人：241200元；3.莆田学院共8人：106400元；4.厦门医学院共12人：155640元；5..泉州医学高等专科学校5人：66250元；6.福建卫生职业技术学院9人：121230元；7.漳州卫生职业学院4人：54280元；2022年定向计划招聘26人：349220元。</t>
  </si>
  <si>
    <t>县新冠肺炎疫情防控指挥部专项经费</t>
  </si>
  <si>
    <t>疫情防控需要</t>
  </si>
  <si>
    <t>疫情防控应急指挥部办公室经费50万元；疫情防控核酸检测经费1700万；集中隔离场所经费预算250万元。</t>
  </si>
  <si>
    <t>孕产妇免费产前筛查诊断项目</t>
  </si>
  <si>
    <t>孕产妇免费产前筛查诊断项目经费</t>
  </si>
  <si>
    <t>211节能环保支出</t>
  </si>
  <si>
    <t>[2110302]农村环境保护</t>
  </si>
  <si>
    <t>危险废物清运、暂存费用</t>
  </si>
  <si>
    <t>县政府已审批，，武财资环用追指[2022]8号</t>
  </si>
  <si>
    <t>[2110302]水体</t>
  </si>
  <si>
    <t>地下水基础环境状况调查地下水基础环境状况调查（20%）尾款</t>
  </si>
  <si>
    <t>武财资环指［2021］19号</t>
  </si>
  <si>
    <t>[2110301]大气</t>
  </si>
  <si>
    <t>空气质量智能精细化监管建设项目地方政府投资资金</t>
  </si>
  <si>
    <t>武财发用存指〔2022〕4号</t>
  </si>
  <si>
    <t>各乡镇</t>
  </si>
  <si>
    <t>[2110399]其他污染防治支出</t>
  </si>
  <si>
    <t>乡镇垃圾填埋场封场整治工程补助资金</t>
  </si>
  <si>
    <t>武财发用存指〔2022〕1号</t>
  </si>
  <si>
    <t>武平岩前工业集中区投资发展有限公司</t>
  </si>
  <si>
    <t>[2110304]固体废弃物与化学品</t>
  </si>
  <si>
    <t>岩前工业集中区电子废弃物综合利用项目贷款利息</t>
  </si>
  <si>
    <t>2022年利息4.64万由天泉供水公司支付</t>
  </si>
  <si>
    <t>武平县梁川水利投资有限公司</t>
  </si>
  <si>
    <t>武平县象洞溪流域水环境综合治理贷款利息</t>
  </si>
  <si>
    <t>国开基金初始贷款本金7500万元，2021年未余额5020万元，用于象洞溪流域水环境综合治理工程，2022年利息61.08万元。</t>
  </si>
  <si>
    <t>偿还武平县生猪退养生态环境治理项目贷款</t>
  </si>
  <si>
    <t>2022年归还本金2800万元，利息568.88万元。</t>
  </si>
  <si>
    <t>偿还武平县生猪退养生态环境治理项目贷款本金及利息。</t>
  </si>
  <si>
    <t>生活垃圾无害化处理场运营费</t>
  </si>
  <si>
    <t>2021年9月-2022年10月垃圾处理费缺口资金</t>
  </si>
  <si>
    <t>2021年9-12月及2022年垃圾处理费。</t>
  </si>
  <si>
    <t>生活垃圾无害化处理场渗滤液应急处理费</t>
  </si>
  <si>
    <t>县领导批示，武财发追指[2022]15号，按照项目运行截至2022年12月测算需付处理费652万元，缺口资金约513万元。为确保我县生活垃圾无害化处理渗滤液应急处理正常运行，建议先拨付2021年8月-2022年7月应急处理费250.2525万，剩余费用列入明年预算。</t>
  </si>
  <si>
    <t>生活垃圾无害化处理场地下水治理项目费用</t>
  </si>
  <si>
    <t>县政府审批，武财发追指[2022]14号</t>
  </si>
  <si>
    <t>农村污水治理工作经费</t>
  </si>
  <si>
    <t>武财发追指[2022]8号，县领导批示，先拨5万，五月底看成效如何再定后续。</t>
  </si>
  <si>
    <t>污水处理营运费</t>
  </si>
  <si>
    <t>由武平县三达水务公司负责武平县城区污水处理，2022年污水处理营运费预计2130万，从基金安排700万，一般公共预算安排1430万。</t>
  </si>
  <si>
    <t>二级环卫</t>
  </si>
  <si>
    <t>二级环卫（河东片区873378.2元，河西片区715000元，兴贤坊89000）</t>
  </si>
  <si>
    <t>212城乡社区支出</t>
  </si>
  <si>
    <t>“两违”整治专项经费</t>
  </si>
  <si>
    <t>县政府常务会议纪要[2013]9号</t>
  </si>
  <si>
    <t>[902103]武平县天泉供水有限公司</t>
  </si>
  <si>
    <t>[2120303]小城镇基础设施建设</t>
  </si>
  <si>
    <t>武平县污水处理设施建设项目贷款本金</t>
  </si>
  <si>
    <t>武财（债）指[2022]03号追加2021年本金150万</t>
  </si>
  <si>
    <t>市政消火栓专项维修保养资金</t>
  </si>
  <si>
    <t>武财发追指[2022]15号</t>
  </si>
  <si>
    <t>房管系统网络安全等保建设项目</t>
  </si>
  <si>
    <t>2019年指标收回，尚需支付</t>
  </si>
  <si>
    <t>[2129999]其他城乡社区支出</t>
  </si>
  <si>
    <t>年初已预算，科目调剂至其他城乡社区支出</t>
  </si>
  <si>
    <t>园区区域评估（交通影响评价）评价费</t>
  </si>
  <si>
    <t>武财发追指[2022]4号，县领导批示请财政据实核拨。</t>
  </si>
  <si>
    <t>武财经发[2021]便函15号，关于要求下拨武平高新区区域评估费用的函，财政根据招投标结果据实核拨。</t>
  </si>
  <si>
    <t>天然文化旅游投资有限公司</t>
  </si>
  <si>
    <t>将军广场塑胶跑道景观桥面及绿化改造工程</t>
  </si>
  <si>
    <t>2019年县领导批示实施，总造价268.53万元，2020年已安排100万元。</t>
  </si>
  <si>
    <t>海绵城市专项规划编制</t>
  </si>
  <si>
    <t>县政府审批，按招投标结算。</t>
  </si>
  <si>
    <t>[2121401]污水处理设施建设和运营</t>
  </si>
  <si>
    <t>乡镇生活污水管网延伸项目</t>
  </si>
  <si>
    <t>按科目调整预算调至基金预算</t>
  </si>
  <si>
    <t>根据《武平县人民政府办公室关于做好2021年乡镇污水管网延伸项目建设的通知》（武政办[2021]30号）及市建设局下达任务指标精神，2022年计划实施15公里，每公里补助5万元。</t>
  </si>
  <si>
    <t>农村生活垃圾清运补助</t>
  </si>
  <si>
    <t>其中核销2021年暂付款（村镇建设站60.22万元、各乡镇65.84万元）</t>
  </si>
  <si>
    <t>根据《关于继续执行武平县农村垃圾整治资金保障及绩效考评政策的复函》（武财经发[2021]便函第26号），按常住人口40万人给予补助，补助标准为15元/人。</t>
  </si>
  <si>
    <t>农村垃圾清运补助</t>
  </si>
  <si>
    <t>核销2021年暂付款65.84万元</t>
  </si>
  <si>
    <t>2020年房屋安全鉴定专家补贴</t>
  </si>
  <si>
    <t>一级环卫政府购买服务</t>
  </si>
  <si>
    <t>原合同1332.85，南环路保洁经费10，新增鼓楼路、法院至老城厢中学门口等路段179.15</t>
  </si>
  <si>
    <t>环卫一体化服务费（核销）</t>
  </si>
  <si>
    <t>建筑业发展经费</t>
  </si>
  <si>
    <t>《武平县人民政府关于进一步扶持建筑业发展壮大的八条实施意见》</t>
  </si>
  <si>
    <t>武平县高新区扩园规划编制</t>
  </si>
  <si>
    <t>县委[2021]39号专题会议纪要</t>
  </si>
  <si>
    <t>园区零星工程</t>
  </si>
  <si>
    <t>省级科技孵化器一期4号厂房室外改造等零星工程36万（县政府已审批），2022年园区零星工程100万</t>
  </si>
  <si>
    <t>2022年园区零星工程100万。</t>
  </si>
  <si>
    <t>[14]国资金融股</t>
  </si>
  <si>
    <t>东门市场改扩建项目资金（资本金）</t>
  </si>
  <si>
    <t>根据县政府的批示，2021年预拨东门市场改扩建项目建设资金41.3675万元（武财国金预拨［2021］1号）。</t>
  </si>
  <si>
    <t>改扩建基本完成，剩余未支付各项费用180万元，其中：档案整理费用12.50万元；拆迁公司费用25.11万元；陂了角头停车场、绿化工程款45万元；陂子角头安置小区主排水管及沿溪道路改工程款40万元（未结算）；陂子角头安置小区挡土墙工程款13万元；陂子角头安置小区路灯安装工程款4.5万元；安置地、安置房办证费用25万元。</t>
  </si>
  <si>
    <t>孵化器暨县职业技能实训基地</t>
  </si>
  <si>
    <t>武财债更正[2022]02号职业技能实训基地项目建设本金</t>
  </si>
  <si>
    <t>武平县丰平路东段工程</t>
  </si>
  <si>
    <t>武平县沿河西路三期工程（中医院至初级中学）道路工程</t>
  </si>
  <si>
    <t>武平城区功能品质提升工程</t>
  </si>
  <si>
    <t>[902102]武平县天安城市建设投资发展有限公司</t>
  </si>
  <si>
    <t>[2120399]其他城乡社区公共设施支出</t>
  </si>
  <si>
    <t>武平县城区排水设施改扩建工程项目贷款利息</t>
  </si>
  <si>
    <t>农发基金贷款初始金额1500万元，2021年未余额800万，全部用于武平县城区排水设施改扩建工程，2022年利息9.76万元。</t>
  </si>
  <si>
    <t>213农林水支出</t>
  </si>
  <si>
    <t>[2130199]其他农业支出</t>
  </si>
  <si>
    <t>国家级农产品质量安全创建</t>
  </si>
  <si>
    <t>根据上级创建国家农产品质量安全县要求，县级配套相关预算做好各项项目实施。</t>
  </si>
  <si>
    <t>粮食生产</t>
  </si>
  <si>
    <t>用于扶持早稻生产、粮食安全行政首长责任制、储备种子、粮食面积与产量调查点奖补资金。</t>
  </si>
  <si>
    <t>农业保险补贴</t>
  </si>
  <si>
    <t>用于水稻种植保险、烟叶种植保险、能繁母猪保险、农业产业帮扶保险、设施花卉及百香果保险、三农综合等保险补贴。</t>
  </si>
  <si>
    <t>农业生产资料冬储贴息</t>
  </si>
  <si>
    <t>保证春耕用肥和平抑春耕化肥的市场价格。</t>
  </si>
  <si>
    <t>[2130209]森林生态效益补偿</t>
  </si>
  <si>
    <t>森林生态效益补偿金县级补助资金</t>
  </si>
  <si>
    <t>生态公益林增补县级财政0.2元/亩。</t>
  </si>
  <si>
    <t>[2130299]其他林业和草原支出</t>
  </si>
  <si>
    <t>造林绿化空间调查评估专项资金</t>
  </si>
  <si>
    <t>武财资环用存指〔2022〕4号</t>
  </si>
  <si>
    <t>保护区林业能力建设</t>
  </si>
  <si>
    <t>武财资环用存指〔2022〕3号</t>
  </si>
  <si>
    <t>林业改革发展经费</t>
  </si>
  <si>
    <t>武财资环用存指〔2022〕1号</t>
  </si>
  <si>
    <t>林地管理及野生动物保护</t>
  </si>
  <si>
    <t>2021-2030年林地保护利用规划和2021-2035年生物多样性保护利用规划编制等。</t>
  </si>
  <si>
    <t>林业有害生物防治</t>
  </si>
  <si>
    <t>主要用于林业有害生物监测调查、防治费用，松材线虫病防控专项费用。</t>
  </si>
  <si>
    <t>林业执法工作经费</t>
  </si>
  <si>
    <t>2022年办理林业行政执法案件所需的人员经费、车辆费、材料、资质评估的部门进行现场勘验和评估等相关费用。</t>
  </si>
  <si>
    <t>林长制建设工作经费</t>
  </si>
  <si>
    <t>林长制平台建设、宣传等经费。</t>
  </si>
  <si>
    <t>森林生态公益保护基金</t>
  </si>
  <si>
    <t>用于森林生态公益事业的建设、保护和管理的资金。</t>
  </si>
  <si>
    <t>森林生态效益补偿</t>
  </si>
  <si>
    <t>生态公益林增补县级财政负担部分0.2元/亩。</t>
  </si>
  <si>
    <t>森林资源建档</t>
  </si>
  <si>
    <t>每年由国家、省、市、县林业主管部门统一组织年度森林资源数据更新和林地变更调查。</t>
  </si>
  <si>
    <t>森林综合保险县级补助</t>
  </si>
  <si>
    <t>生态林面积59953公倾、天然林面积88000公倾，县级承担的补助保险费用部分。</t>
  </si>
  <si>
    <t>20周年系列活动林改提升项目</t>
  </si>
  <si>
    <t>未开展活动</t>
  </si>
  <si>
    <t>习近平总书记对武平林改重要指示20周年系列活动。</t>
  </si>
  <si>
    <t>创建国家森林城市检查验收经费</t>
  </si>
  <si>
    <t>县政府审批，武财资环用追指[2022]11号</t>
  </si>
  <si>
    <t>生物多样性保护及生态公益林布局规划利用</t>
  </si>
  <si>
    <t>县政府已审批，申请继续使用2020年结转资金</t>
  </si>
  <si>
    <t>[2130314]防汛</t>
  </si>
  <si>
    <t>防汛抗旱资金（含防汛抗旱宣传、培训、演练）</t>
  </si>
  <si>
    <t>主要用于购置各类防汛抗旱抢险设备物资、防汛视频系统设备、印发防汛抗旱宣传资料、组织人员培训、开展队伍演练、购买社会力量、汛期防汛值班伙食补助等。其中队伍组建、宣传、培训演练、购买社会力量、组织救援15万元，汛期防汛值班伙食补助5万元，添置抗旱设备20万元。</t>
  </si>
  <si>
    <t>城区河道保洁经费</t>
  </si>
  <si>
    <t>根据《城区环境卫生保洁实施方案》（武政办[2015]95号），委托第三方保洁，包括河道保洁和河道种植管护工作。</t>
  </si>
  <si>
    <t>电灌站运行经费</t>
  </si>
  <si>
    <t>根据《武平县人民政府办公室关于解决城厢镇上东村蓝塘电灌站等历史遗留问题专题会议纪要》（武政办[2016]60号），我县每年应分别承担城厢镇上东村蓝塘电灌站2.5万元和平川街道青云山电灌站1.25万元的日常运行管理工作经费。</t>
  </si>
  <si>
    <t>公益类中小型水库工程管理与保护范围划定工作实施方案编制</t>
  </si>
  <si>
    <t>根据《福建省水利厅关于做好水利工程管理与保护范围划定工作的通知》（闽水运管[2021]1号），我县计划分别在2022-2024年期间每年分别对3、4、5座中小型水库实施编制。</t>
  </si>
  <si>
    <t>江海堤防设施保险配套资金</t>
  </si>
  <si>
    <t>根据福建省财政厅和水利厅《关于印发&lt;福建省江海堤防保险实施意见（试行）&gt;的通知&gt;》（闽财农[2017]59号），保险配套费列入县级财政预算，我县现有11条四级堤防19.37公里、13条五级堤防12.41公里列入保险范畴，年保险费共25万元，其中省级补助80%，县级配套20%计5万。</t>
  </si>
  <si>
    <t>棉花滩水电站库区保洁经费</t>
  </si>
  <si>
    <t>用于汀江流域棉花滩水电站库区日常保洁工作经费。</t>
  </si>
  <si>
    <t>武平县2021-2035年水土保持规划经费</t>
  </si>
  <si>
    <t>根据水利部办公厅《关于印发国家水土保持示范创建管理办法的通知》文件精神制定武平县2021-2035年水土保持规划。</t>
  </si>
  <si>
    <t>武平县流域综合规划编制</t>
  </si>
  <si>
    <t>根据福建省水利厅《关于印发&lt;福建省流域综合规划编制大纲（实行）&gt;的通知》，全县共有10条河流需编制流域综合规划。</t>
  </si>
  <si>
    <t>武平县平川河一级、二级水闸及橡胶坝安全鉴定</t>
  </si>
  <si>
    <t>根据福建省水利厅《关于做好2021年堤闸安全运行管理工作的通知》（闽水函[2021]77号）的要求，委托第三方编制武平县平川河一级、二级水闸及橡胶坝安全鉴定。</t>
  </si>
  <si>
    <t>武平县水资源配置规划</t>
  </si>
  <si>
    <t>根据福建省水利厅《关于开展全省县域水资源配置规划工作的通知》（闽水函〔2021〕207号）文件精神实施规划。</t>
  </si>
  <si>
    <t>六大员补贴（河道专管员补贴）</t>
  </si>
  <si>
    <t>个人家庭补助已预算</t>
  </si>
  <si>
    <t>根据《武平县人民政府关于河道巡查与保洁办法（试行）的通知》（武政文[2017]407号）及县委常委扩大会议纪要[2018]19号，17个乡镇河道巡查与保洁经费共需341.64万，其中上级专款安排204.24万，县级经费安排137.4万。</t>
  </si>
  <si>
    <t>购置县工业园区标准化厂房项目</t>
  </si>
  <si>
    <t>武财农用存〔2022〕1号</t>
  </si>
  <si>
    <t>移民项目资金</t>
  </si>
  <si>
    <t>武财农用存〔2022〕2号、武财农用存〔2022〕3号</t>
  </si>
  <si>
    <t>武财农用存〔2022〕4号</t>
  </si>
  <si>
    <t>武平县“十四五”水安全保障规划编制费用</t>
  </si>
  <si>
    <t>武南重点中型灌区节水配套改造项目</t>
  </si>
  <si>
    <t>武财农用存〔2022〕5号</t>
  </si>
  <si>
    <t>[2130599]其他巩固脱贫衔接乡村振兴支出</t>
  </si>
  <si>
    <t>2022年扶持壮大村集体经济</t>
  </si>
  <si>
    <t>财政衔接推进乡村振兴补助资金：县级激励性扶贫项目</t>
  </si>
  <si>
    <t>武财农用存〔2022〕6号</t>
  </si>
  <si>
    <t>“十三五”异地扶贫搬迁项目还本付息</t>
  </si>
  <si>
    <t>归还2022年“十三五”异地扶贫搬迁项目贷款本金69.92及利息36.60；2021年少算利息0.77万元；异地扶贫搬迁地方政府债券资金利息94.40万元。</t>
  </si>
  <si>
    <t>归还“十三五”异地扶贫搬迁项目贷款本金及利息。</t>
  </si>
  <si>
    <t>武平县城区造福工程集中安置点一、二期建设项目还本付息</t>
  </si>
  <si>
    <t>2022年归还本金3400万元及利息231.14万元</t>
  </si>
  <si>
    <t>为武平县城区造福工程集中安置点一、二期建设项目还本付息。</t>
  </si>
  <si>
    <t>2022年农村公路养护</t>
  </si>
  <si>
    <t>领导交办件,武财发追指[2022]9号2022年农村公路养护县级配套，市县配套比例由4:6改成2:8。</t>
  </si>
  <si>
    <t>根据省、市及《武平县人县政府关于建立农村公路路长制和乡村道专管员制度全面推进“四好农村路”建设的实施意见》（武政文〔2018〕25号）等文件要求，管养全县农村公路里程1460公里，其中县道342.3公里，乡道761.6公里，村道356.1公里。</t>
  </si>
  <si>
    <t>财政衔接推进乡村振兴补助资金</t>
  </si>
  <si>
    <t>调减县级激励性扶贫项目（含脱贫户激励性帮扶项目）资金105.19万元从存量（历年收回扶贫资金）中安排。财政衔接推进乡村振兴补助资金：1."扶贫保”农业保险45万，“健康扶贫”保险费50万元，气象指数保险费58万元；2.支持打造产业振兴示范村补助资金100万元（十方镇叶坑村、万安镇捷文村各50万元）；3.乡村振兴“惠民保险”县级配套16.042万元；4.岩前大布村产业发展资金70万元；5.“两治一拆”验收村奖补项目、县级激励性扶贫项目（含脱贫户激励性帮扶项目）、乡镇村产业发展项目等</t>
  </si>
  <si>
    <t>1.脱贫乡镇（村）发展资金、“两治一拆”验收村奖补项目等830万元；2.县级激励性扶贫项目资金200万元（含脱贫户激励性帮扶项目）；3."扶贫保”农业保险40万，“健康扶贫”保险费50万元，气象指数保险费58万元。</t>
  </si>
  <si>
    <t>乡村振兴资金</t>
  </si>
  <si>
    <t>县级配套乡村振兴试点村471.3（闽财农[2019]51号、龙财农[2020]4号），思明区对口支持资金1600万（其中：乡村振兴试点村1200万，3个乡镇集镇提升改造400万，闽财农[2020]4号）。</t>
  </si>
  <si>
    <t>综合股</t>
  </si>
  <si>
    <t>岩前大布村2022年省投挂村干部项目工作经费</t>
  </si>
  <si>
    <t>武东六甲2022年省投挂村干部项目工作经费</t>
  </si>
  <si>
    <t>中堡2022年省投挂村干部项目工作经费</t>
  </si>
  <si>
    <t>社区办公经费、党建经费</t>
  </si>
  <si>
    <t>根据武党委[2017]3号规定，每个社区每年党建经费5万元，办公经费15万元。</t>
  </si>
  <si>
    <t>村级办公经费</t>
  </si>
  <si>
    <t>村（居）组织运转支出:根据《关于加强村级组织运转经费保障工作的通知》（岩委组通〔2017〕39号）规定的行政村村级办公经费标准，按村民1000人（含）以下每村2万元、1000至2000人（含）每村2.5万元、2000至3000人（含）每村2.8万元、3000人以上每村3万元标准核定村级办公经费。</t>
  </si>
  <si>
    <t>[2130899]其他普惠金融发展支出</t>
  </si>
  <si>
    <t>小额担保贷款贴息补助</t>
  </si>
  <si>
    <t>用于为我县城镇失业登记人员、就业困难人员、退役军人、刑满释放人员建档立卡贫困户等人员提供创业担保贷款贴息。</t>
  </si>
  <si>
    <t>[2139999]其他农林水支出</t>
  </si>
  <si>
    <t>动物强制疫苗县级配套</t>
  </si>
  <si>
    <t>按国家规定对全县畜禽实行强制免疫，促进畜牧业健康持续发展，维护公共卫生安全，县级承担部分强制免疫所需疫苗费用。</t>
  </si>
  <si>
    <t>烟基工程管护资金</t>
  </si>
  <si>
    <t>由烟农合作社及各乡镇烟基项目村，对我县2005年至2021年在运行状态的2323个烟基项目和2484座密集式烤房进行管护和维修。</t>
  </si>
  <si>
    <t>[2130701]对村级公益事业建设的补助</t>
  </si>
  <si>
    <t>农村公益事业建设财政奖补资金</t>
  </si>
  <si>
    <t>项目涉及全县16个乡（镇），涵盖农村道路、村庄绿化美化等多个村级公益事业建设领域。财政奖补资金由各级财政部门安排，其中中央及省财政负担80%，县财政负担20%。每年省财政厅下达我县奖补资金控制规模，我县在省财政厅下达的资金控制规模内申报项目。</t>
  </si>
  <si>
    <t>214交通运输支出</t>
  </si>
  <si>
    <t>[2140104]公路建设</t>
  </si>
  <si>
    <t>“四好农村路”建设补助资金</t>
  </si>
  <si>
    <t>2019年度“四好农村路”建设补助要求的项目共26个，计59.103公里（其中：乡道12个计31.589公里，村道14个计27.514公里）；2020年度“四好农村路”建设补助要求的项目共16个，计50.914公里（其中：县道2个计12.822公里，乡道13个计35.592公里，村道1个计2.5公里）。</t>
  </si>
  <si>
    <t>中堡-高坊公路建设</t>
  </si>
  <si>
    <t>武财发用存指〔2022〕2号</t>
  </si>
  <si>
    <t>2021年农村公路建设改造资金</t>
  </si>
  <si>
    <t>武财发用存指〔2022〕5号</t>
  </si>
  <si>
    <t>基础设施项目建设补助</t>
  </si>
  <si>
    <t>武财发追指[2022]12号，根据县委常委会会议纪要《十四届第21号）议定事项及合同约定，补助龙洲公司基础设施项目建设96.37万元，给予龙洲公司农村客运一次性运营补贴100万元，合计196.37万元。</t>
  </si>
  <si>
    <t>[2149901]公共交通运营补助</t>
  </si>
  <si>
    <t>农村客运一次性运营补贴</t>
  </si>
  <si>
    <t>公交车运营补助</t>
  </si>
  <si>
    <t>城区公交车36辆，农村客运公交82辆，118辆*10万1180万元；1路2路夜班车补助10万元；5路车延伸至公交首末站补助3辆*1.5万=4.5万元；集文校区专线补助3辆*5万=15万元；上杭古田专线2辆*10万=20万；旅游专线2辆*10万=20万。合计1249.5万元。</t>
  </si>
  <si>
    <t>公交首末站建设补助</t>
  </si>
  <si>
    <t>公交首末站场站固定资产按照国家会计制度规定计提的折旧计入当期损益，并与武平县财政结算经营性亏损补贴。现公交首末站建设剩余款478.94万元，从2017年2月开始按照30年提取折旧，每年补助15.96万元。</t>
  </si>
  <si>
    <t>2021年6-12月专线运营补助</t>
  </si>
  <si>
    <t>县领导批示，武财发追指[2022]2号，一季度30万物流专线补助</t>
  </si>
  <si>
    <t>宁象公路、环城东路补交水土保持补偿费</t>
  </si>
  <si>
    <t>县政府批示，财政统筹资金按时缴交</t>
  </si>
  <si>
    <t>[903005]龙岩市财政局</t>
  </si>
  <si>
    <t>[2140399]其他民用航空运输支出</t>
  </si>
  <si>
    <t>龙岩冠豸山机场航线运营补贴</t>
  </si>
  <si>
    <t>215资源勘探工业信息等支出</t>
  </si>
  <si>
    <t>[2150899]其他支持中小企业发展和管理支出</t>
  </si>
  <si>
    <t>资本金</t>
  </si>
  <si>
    <t>因兴贤坊传统文化街区建设项目的需要，2020年县文旅公司在农业行贷款25000万元，资金已全部用于兴贤坊传统文化街区项目建设。至2021年止，贷款余额22000万元，剩余3000万暂未放贷，按合同约定，2022年还本付息2147.62万元，其中：利息1147.62万元，本金1000万元</t>
  </si>
  <si>
    <t>[2150799]其他国有资产监管支出</t>
  </si>
  <si>
    <t>2021年改制企业退休人员遗属补助</t>
  </si>
  <si>
    <t>根据县政府工作安排，改制企业退休人员遗属补助（无承接主体）由国投公司承担，至2021年12月底累计垫付补助资金115.36万元；经县财政局研究同意，拨2021年度遗属补助资金35万元（核销2021年暂付款）</t>
  </si>
  <si>
    <t>2021年天宏市场东南、西门市场管理费用</t>
  </si>
  <si>
    <t>根据2016年7月13日县领导对《呈阅件》批示，东南、西门市场管理以政府购买服务的形式委托县天宏市场公司管理，每年核定费用90万元（20人*4.5万），经县财政局研究同意，2022年预拨2021年度费用30万元（武财国金预拨[2022]1号），目前尚有150万元未下拨。</t>
  </si>
  <si>
    <t>2021年天睿商务公司运行费用</t>
  </si>
  <si>
    <t>根据《武平县行政事业单位代理记账暂行管理办法》的通知（武财会[2018]5号）文件精神，2022年应拨天睿商务公司2021年度运行费用80万（2021年度已下拨130万，共210万），其中：1月份下拨50万元，2月份下拨30万元。（武财国金预拨[2022]1号、[2021]4号）</t>
  </si>
  <si>
    <t>2022年天睿商务公司运行费用</t>
  </si>
  <si>
    <t>根据武平县财政局关于印发《武平县行政事业单位代理记账暂行管理办法》的通知（武财会【2018】5号）文件计算。2022年天睿商务公司收入预计111.65万元,经营费用预计321.82万元，财政安排补助190万元。</t>
  </si>
  <si>
    <t>改制企业遗属补助款</t>
  </si>
  <si>
    <t>至2021年12月底累计垫付的遗属补助资金80.36万元；预计2022年度需支付遗属补助127万元。</t>
  </si>
  <si>
    <t>粮食改制企业遗属补助款</t>
  </si>
  <si>
    <t>根据《关于将粮食收储公司遗属救济金列入财政预算的复函》（武财建函[2019]14号）文件精神，原粮食企业已资产已收储，无收入来源，从2020年起遗属救济金列入财政预算。2022年根据县粮食收储公司预计遗属补助39.84万元，2021年未拨付2.81万元，合计42.65万元。</t>
  </si>
  <si>
    <t>年初基金预算已安排，调整至一般公共预算支出</t>
  </si>
  <si>
    <t>216商业服务业等支出</t>
  </si>
  <si>
    <t>县级示范农民合作社奖励资金</t>
  </si>
  <si>
    <t>《关于加快和规范发展农民专业合作社的若干意见的通知》（武政文[2017]106号）</t>
  </si>
  <si>
    <t>217金融支出</t>
  </si>
  <si>
    <t>金融支持实体经济奖励及普惠金融发展专项资金</t>
  </si>
  <si>
    <t>上年奖励资金尚有结余，本年预算予以调减。</t>
  </si>
  <si>
    <t>用于对各商业银行金融支持实体经济奖励。</t>
  </si>
  <si>
    <t>220自然资源海洋气象等支出</t>
  </si>
  <si>
    <t>[2200106]自然资源利用与保护</t>
  </si>
  <si>
    <t>2021年武平县历史遗留矿山核查工作专项经费</t>
  </si>
  <si>
    <t>根据《福建省自然资源厅办公室转发自然资源部办公厅关于开展历史遗留矿山核查工作的通知》，查明全县历史遗留矿山分布、损毁土地面积和权属和存在主要生态问题、拟修复方向等基本情况。</t>
  </si>
  <si>
    <t>[2200109]自然资源调查与确权登记</t>
  </si>
  <si>
    <t>2021年度国土变更调查专项经费</t>
  </si>
  <si>
    <t>2021年11月县政府已审批</t>
  </si>
  <si>
    <t>2020年武平县武东洋门石场水文地质调查</t>
  </si>
  <si>
    <t>根据武环督办〔2019〕16号，对洋门石场矿山水文地质环境进行调查评估。</t>
  </si>
  <si>
    <t>2021年度矿山生态环境恢复治理GNSS巡查服务经费</t>
  </si>
  <si>
    <t>县政府已审批，武财资环用追指[2022]9号</t>
  </si>
  <si>
    <t>福建塔牌绿色矿山建设第三方评估费用</t>
  </si>
  <si>
    <t>[2200104]自然资源规划及管理</t>
  </si>
  <si>
    <t>土空间总体规划及23项专项规划编制经费</t>
  </si>
  <si>
    <t>222粮油物资储备支出</t>
  </si>
  <si>
    <t>[901002]武平县财政局（粮食风险金专户）</t>
  </si>
  <si>
    <t>[2220115]粮食风险基金</t>
  </si>
  <si>
    <t>粮食风险基金</t>
  </si>
  <si>
    <t>[2220199]其他粮油物资事务支出</t>
  </si>
  <si>
    <t>订单粮收购直接补贴</t>
  </si>
  <si>
    <t>武政办规【2022】11号 ，每50公斤12元，县级订单粮5500吨。</t>
  </si>
  <si>
    <t>224灾害防治及应急管理支出</t>
  </si>
  <si>
    <t>[2240104]灾害风险防治</t>
  </si>
  <si>
    <t>自然灾害综合风险普查经费</t>
  </si>
  <si>
    <t>县政府审批，普查经费控制在700万元内，2021年已安排350万。</t>
  </si>
  <si>
    <t>[2240106]安全监管</t>
  </si>
  <si>
    <t>安全生产事故隐患和非法违法行为奖励资金</t>
  </si>
  <si>
    <t>《龙岩市安全生产事故隐患和非法违法行为举报奖励办法（暂行）的通知》</t>
  </si>
  <si>
    <t>安全生产专项资金</t>
  </si>
  <si>
    <t>《中共武平县委武平县人民政府印发关于推进安全生产领域改革发展的实施意见通知》（武委发[2018]4号）和《武平县人民政府办公室关于印发武平县安全生产专项资金管理办法的通知》（武政办[2014]196号）</t>
  </si>
  <si>
    <t>[2240199]其他应急管理支出</t>
  </si>
  <si>
    <t>“五个一百”安全应急保障提升工程县级配套资金</t>
  </si>
  <si>
    <t>县政府批示</t>
  </si>
  <si>
    <t>[807001]武平县公安消防大队</t>
  </si>
  <si>
    <t>[2240201]行政运行</t>
  </si>
  <si>
    <t>对南门消防站和十方、岩前消防站装备统型更新经费</t>
  </si>
  <si>
    <t>[2240299]其他消防救援事务支出</t>
  </si>
  <si>
    <t>购置自装卸式消防车</t>
  </si>
  <si>
    <t>县政府审批追加购置自装卸式消防车经费</t>
  </si>
  <si>
    <t>[2240602]森林草原防灾减灾</t>
  </si>
  <si>
    <t>扑火物资购置及维护</t>
  </si>
  <si>
    <t>用于添置森林防火灭火物资及机具。</t>
  </si>
  <si>
    <t>森林防火年度责任书考核奖</t>
  </si>
  <si>
    <t>根据《武平县人民政府关于下达武平县2017-2020年森林防火责任书的通知》（武政文[2017]65号）要求，用于乡镇森林防灭火工作开展情况奖罚。</t>
  </si>
  <si>
    <t>县级森林消防队经费</t>
  </si>
  <si>
    <t>用于森林消防工资及培训演练经费。</t>
  </si>
  <si>
    <t>乡镇半专业森林消防队经费</t>
  </si>
  <si>
    <t>用于各乡镇的半专业森林消防队人员工资及培训演练经费。</t>
  </si>
  <si>
    <t>[2240699]其他自然灾害防治支出</t>
  </si>
  <si>
    <t>突发灾难公众责任保险（原自然灾害公众责任保险）</t>
  </si>
  <si>
    <t>根据《关于印发福建省自然灾害生活救助资金管理暂行办法》（闽财社[2011]80号）、《市政府办关于印发“三农”综合保险“龙岩模式”巩固提升实施方案的通知》（龙政办[2020]52号）。</t>
  </si>
  <si>
    <t>政策性农村住房保险（乡村振兴）</t>
  </si>
  <si>
    <t>根据《关于印发福建省自然灾害生活救助资金管理暂行办法》（闽财社[2011]80号）、《福建省人民政府办公厅关于印发福建省政策性农村住房保险实施方案的通知》（民政办[2016]161号）的要求，全县人口总数38万人，总户数10万户，其中农村人口占29万人，非农业人口7万余人，财政补贴：基本户98734户*每户1.6元=15.8万元，普通农户92469户*每户3元=27.7万元。</t>
  </si>
  <si>
    <t>[2240704]自然灾害灾后重建补助</t>
  </si>
  <si>
    <t>灾民建房补助</t>
  </si>
  <si>
    <t>自然灾害救灾</t>
  </si>
  <si>
    <t>《武平县2022年重大自然灾害受灾农房重建实施方案》（武政办〔2022〕38号）</t>
  </si>
  <si>
    <t>[911001]武平县平川街道办事处</t>
  </si>
  <si>
    <t>[2240799]其他自然灾害救灾恢及复重建支出</t>
  </si>
  <si>
    <t>平川街道红东行里地质灾害点治理</t>
  </si>
  <si>
    <t>厦门思明区转入对口支援（抗灾）经费</t>
  </si>
  <si>
    <t>《关于印发福建省自然灾害生活救助资金管理暂行办法》（闽财社[2011]80号）。</t>
  </si>
  <si>
    <t>心月公园灾后重建项目</t>
  </si>
  <si>
    <t>根据县领导领导批示同意，下拨国投公司心月公园灾后重建资金50万元（武财国金追指[2022]2号）</t>
  </si>
  <si>
    <t>自然灾害救灾及修复重建</t>
  </si>
  <si>
    <t>武财发用指〔2022〕13号房顶修复工程灾后重建5.45万元，灾后修复加固修缮费用1.9795万元</t>
  </si>
  <si>
    <t>自然灾害救灾及恢复重建</t>
  </si>
  <si>
    <t>武财发用指〔2022〕13号集镇通信线路改造及通信线路灾后修复资金10万元，武东集镇道路提升改造建设资金（用于店招灾后维护）40万元</t>
  </si>
  <si>
    <t>227预备费</t>
  </si>
  <si>
    <t>各相关单位</t>
  </si>
  <si>
    <t>[227]预备费</t>
  </si>
  <si>
    <t>2022年从预备费支出的自然灾害救灾资金（代武平县禾金塑料有限责任公司付刘立发意外事故身亡相关费用）252.6万元已列入调整预算。</t>
  </si>
  <si>
    <t>应急局救灾物资储备购置10万，发改局应急救灾物资储备管理费10万。</t>
  </si>
  <si>
    <t>229其他支出</t>
  </si>
  <si>
    <t>重点代表建议项目经费</t>
  </si>
  <si>
    <t>援藏、援疆经费</t>
  </si>
  <si>
    <t>“十四五”期间每年对口支援西藏32万、新疆96万。</t>
  </si>
  <si>
    <t>232债务付息支出</t>
  </si>
  <si>
    <t>[2320301]地方政府一般债券付息支出</t>
  </si>
  <si>
    <t>地方政府一般债券付息支出</t>
  </si>
  <si>
    <t>2022年应还11665.9292万元，扣除2022年省级脱贫县相关补助资金1760.7万元，加上半年发行一般债券下半年付息98.6776万元，调整后合计1003.9068万元。</t>
  </si>
  <si>
    <t>2022年地方政府一般债券应付利息</t>
  </si>
  <si>
    <t>[2320303]地方政府向国际组织借款付息支出</t>
  </si>
  <si>
    <t>外债还本付息支出</t>
  </si>
  <si>
    <t>233债务发行费用支出</t>
  </si>
  <si>
    <t>[23303]地方政府一般债务发行费用支出</t>
  </si>
  <si>
    <t>地方政府一般债券发行费用</t>
  </si>
  <si>
    <t>2022年一般债发行费19.630952万</t>
  </si>
  <si>
    <t>加：231债务还本支出</t>
  </si>
  <si>
    <t>[2310301]地方政府一般债券还本支出</t>
  </si>
  <si>
    <t>地方政府一般债券还本支出</t>
  </si>
  <si>
    <t>2022年应还一般债本金44462万元，扣除再融资一般债32527万元后，县级财力需负担11935万元。</t>
  </si>
  <si>
    <t>[2310303]地方政府向国际组织借款还本支出</t>
  </si>
  <si>
    <t>外债还本支出</t>
  </si>
  <si>
    <t>按实际支出调整</t>
  </si>
  <si>
    <t>上解支出</t>
  </si>
  <si>
    <t>附件5</t>
  </si>
  <si>
    <t>2022年县本级政府性基金收支预算平衡表</t>
  </si>
  <si>
    <t>2021年预计数</t>
  </si>
  <si>
    <t>比上年增减额</t>
  </si>
  <si>
    <t>一、收入合计</t>
  </si>
  <si>
    <t xml:space="preserve">  1.县本级政府性基金收入</t>
  </si>
  <si>
    <t xml:space="preserve">  2.债务转贷收入（专项债券）</t>
  </si>
  <si>
    <t xml:space="preserve">  3.债务转贷收入（再融资债券）</t>
  </si>
  <si>
    <t xml:space="preserve">  4.上年结转</t>
  </si>
  <si>
    <t>二、支出合计</t>
  </si>
  <si>
    <t xml:space="preserve">  1.政府性基金支出</t>
  </si>
  <si>
    <t xml:space="preserve">  2.债券还本支出</t>
  </si>
  <si>
    <t xml:space="preserve">  3.调出资金</t>
  </si>
  <si>
    <t>三、收支平衡</t>
  </si>
  <si>
    <t>附件6</t>
  </si>
  <si>
    <t>2022年县本级政府性基金财力预算调整表</t>
  </si>
  <si>
    <t>一、县本级政府性基金收入</t>
  </si>
  <si>
    <t xml:space="preserve">  1.国有土地收益基金收入</t>
  </si>
  <si>
    <t xml:space="preserve">  2.农业土地开发资金收入</t>
  </si>
  <si>
    <t xml:space="preserve">  3.国有土地使用权出让收入</t>
  </si>
  <si>
    <t xml:space="preserve">   （1）土地出让价款收入</t>
  </si>
  <si>
    <t xml:space="preserve">   （2）其他国有土地使用权出让收入（土地指标交易收入等）</t>
  </si>
  <si>
    <t xml:space="preserve">  4.城市基础设施配套费收入</t>
  </si>
  <si>
    <t xml:space="preserve">  5.污水处理费收入</t>
  </si>
  <si>
    <t xml:space="preserve">  6.彩票公益金收入</t>
  </si>
  <si>
    <t>二、转移性收入</t>
  </si>
  <si>
    <t xml:space="preserve">  1.债务转贷收入（新增债券）</t>
  </si>
  <si>
    <t xml:space="preserve">  2.上年结余收入</t>
  </si>
  <si>
    <t>收入合计</t>
  </si>
  <si>
    <t>附件7</t>
  </si>
  <si>
    <t>2022年县本级政府性基金支出总量预算调整表</t>
  </si>
  <si>
    <t>[2310411]国有土地使用权出让金债务还本支出</t>
  </si>
  <si>
    <t>[2300802]调出资金</t>
  </si>
  <si>
    <t>2022年基金支出（县本级）预算调整表</t>
  </si>
  <si>
    <t>截止10.14日已支出-总会计</t>
  </si>
  <si>
    <t>为平衡预算调减的项目支出</t>
  </si>
  <si>
    <t>一、</t>
  </si>
  <si>
    <t>（一）</t>
  </si>
  <si>
    <t>20709旅游发展基金支出</t>
  </si>
  <si>
    <t>[2070903]旅游事业补助</t>
  </si>
  <si>
    <t>全域旅游发展专项</t>
  </si>
  <si>
    <t>全域旅游发展专项资金1000万，其中县级安排200万，上级补助800万。</t>
  </si>
  <si>
    <t>二、</t>
  </si>
  <si>
    <t>21208国有土地使用权出让收入安排的支出</t>
  </si>
  <si>
    <t>[2120801]征地和拆迁补偿支出（土地使用权出让收入安排的支出）</t>
  </si>
  <si>
    <t>储备土地围墙、危房拆除、杆线迁移</t>
  </si>
  <si>
    <t>2021年安排储备地块围墙、危房拆除100万。</t>
  </si>
  <si>
    <t>[2120802]土地开发支出（国有土地使用权出让收入安排的支出）</t>
  </si>
  <si>
    <t>2021年度变更调查和遥感监测工作经费</t>
  </si>
  <si>
    <t>根据土地调查条例开展2021年度变更调查和遥感监测工作。</t>
  </si>
  <si>
    <t>万安捷文村至东留大明村路面白改黑工程业主管理费</t>
  </si>
  <si>
    <t>公交车候车亭</t>
  </si>
  <si>
    <t>根据[2015]40号县政府专题会议纪要《关于交通项目建设及城市公交发展专题会议纪要》会议精神，县城区公交车站建设由县文旅公司实施，县财给予50%建设资金补助。项目分期建设，目前第一期至第六期竣工验收投入使用，总投资615.86万，财政应负担307.53万元，扣除累计下拨的241.37万元，2022年预算未拨部分66.56万元。</t>
  </si>
  <si>
    <t>[902002]福建武平天润实业有限公司</t>
  </si>
  <si>
    <t>龙龙铁路武平站房补助</t>
  </si>
  <si>
    <t>2019年根据工作安排，龙龙铁路站房再原有的基础上扩建3000平方米，天润实业公司向业主单位福平铁路公司出具3000万元工程履约保函，2019-2022利息需144万元，扣除2021年下拨的36万元，2022年预算安排108万元。</t>
  </si>
  <si>
    <t>古武高速县级资本金贷款利息</t>
  </si>
  <si>
    <t>调整至一般公共预算支出</t>
  </si>
  <si>
    <t xml:space="preserve">贷款本金5242万元，年利率5.35%，2022年预计利息280.447万元。 </t>
  </si>
  <si>
    <t>成片开发方案</t>
  </si>
  <si>
    <t>《中华人民共和国土地管理法》，根据土地管理法第四十五条规定，经营性用地需要征收农村集体土地时，须编制土地成片开发方案。</t>
  </si>
  <si>
    <t>规划编制经费（南部片区）</t>
  </si>
  <si>
    <t>2021年11月县政府批示请财政提出意见。（县城南部片区控制性规划等）</t>
  </si>
  <si>
    <t>[2120803]城市建设支出</t>
  </si>
  <si>
    <t>历年政府投资项目工程尾款</t>
  </si>
  <si>
    <t>历年政府投资项目工程尾款，基金安排支出。</t>
  </si>
  <si>
    <t>[2120804]农村基础设施建设支出</t>
  </si>
  <si>
    <t>集镇示范街区提升改造</t>
  </si>
  <si>
    <t>十方、中赤集镇提升改造，每个镇县级配套600万元，共计1200万元。长连武资金安排350万元，思明区专项资金中安排400万元，还需450万元。</t>
  </si>
  <si>
    <t>根据《关于实施集镇示范街区整治提升行动的通知》（武政办[2021]7号），实施3个乡镇开展集镇示范街区提升改造项目。</t>
  </si>
  <si>
    <t>2022年村道生命安全防护工程</t>
  </si>
  <si>
    <t>根据“四好农村路"建设要求，为完善道路基础设施，保障道路安全，畅通，计划实施消除30公里农村公路安全隐患。</t>
  </si>
  <si>
    <t>农村公路危桥改造</t>
  </si>
  <si>
    <t>本项目包括半坝口桥、罗坊小桥、鲁溪桥、上片桥、新礤桥、上赤村小坡段桥等。</t>
  </si>
  <si>
    <t>[2120805]补助被征地农民支出（国有土地使用权出让收入安排的支出）</t>
  </si>
  <si>
    <t>被征地农民社会保障资金</t>
  </si>
  <si>
    <t>上年土地出让收入55080万元*1%=550.8万元</t>
  </si>
  <si>
    <t>按上年土地出让收入的1%计提。</t>
  </si>
  <si>
    <t>[2120806]土地出让业务支出</t>
  </si>
  <si>
    <t>各乡镇、各片区指挥部、房屋征收站土地房屋征收工作经费</t>
  </si>
  <si>
    <t>政府已审批</t>
  </si>
  <si>
    <t>根据《武平县人民政府关于进一步加强土地房屋征收工作的补充意见》（武政文[2017]304号）、《武平县人民政府关于印发武平县重点项目土地房屋征收绩效管理考评办法的通知》（武政文[2021]17号）等文件精神，房屋征收工作经费按征地补偿总额的5%核定，其中：片区指挥部0.5%，镇（村）3.5%，房屋征收中心1%。</t>
  </si>
  <si>
    <t>基础测绘经费、土地出让业务经费</t>
  </si>
  <si>
    <t>基础测绘经费、土地出让业务费，确保土地出让正常进行，完成基金收入事项。</t>
  </si>
  <si>
    <t>土地储备开发管理业务费</t>
  </si>
  <si>
    <t>武财资环指[2022]追基字3号</t>
  </si>
  <si>
    <t>乡镇、各指挥部土地房屋征收工作经费等</t>
  </si>
  <si>
    <t>根据《武平县人民政府关于进一步加强土地房屋征收工作的补充意见》（武政文[2017]304号）、《武平县人民政府关于印发武平县重点项目土地房屋征收绩效管理考评办法的通知》（武政文[2019]36号）等文件精神，土地征收工作经费按征地补偿总额的11%核定，其中：片区指挥部2%，镇（村）7%，土地征收中心2%。</t>
  </si>
  <si>
    <t>2021年乡镇、各指挥部土地房屋征收工作经费等</t>
  </si>
  <si>
    <t>2021年县政府已审批</t>
  </si>
  <si>
    <t>重点项目土地房屋征迁周转资金</t>
  </si>
  <si>
    <t>控制性详细规划</t>
  </si>
  <si>
    <t>根据2021年6月初武平县国土空间规划委员会第二次会议精神，做好县城北部片区控制祥详细规划及城市设计，做好县域内地块控制性详细规划。</t>
  </si>
  <si>
    <t>武平县国土空间总体规划</t>
  </si>
  <si>
    <t>《中共中央国务院关于建立国土空间规划体系并监督实施的若干意见》、《自然资源部关于做好市县国土空间总体规划编制工作的指导意见》。</t>
  </si>
  <si>
    <t>专项规划</t>
  </si>
  <si>
    <t>《中共中央国务院关于建立国土空间规划体系并监督实施的若干意见》、《自然资源部关于做好市县国土空间总体规划编制工作的指导意见》，开展武平县国土空间规划实施方案中的23个专项规划工作。</t>
  </si>
  <si>
    <t>乡镇国土空间规划和村庄规划编制奖补资金</t>
  </si>
  <si>
    <t>武财资环指[2022]追基字1号</t>
  </si>
  <si>
    <t>“县域现状评估调查规划、县城南部片区控制性详细规划”规划编制及招标代理费</t>
  </si>
  <si>
    <t>武财资环预指[2022]3号</t>
  </si>
  <si>
    <t>2022年度土地征收成片开发方案</t>
  </si>
  <si>
    <t>武平华润矿业有限公司</t>
  </si>
  <si>
    <t>项目用地垫付费用</t>
  </si>
  <si>
    <t>武财资环指[2022]追基字2号</t>
  </si>
  <si>
    <t>土地储备周转金</t>
  </si>
  <si>
    <t>武财资环指[2022]追基字8号</t>
  </si>
  <si>
    <t>[2120807]廉租住房支出</t>
  </si>
  <si>
    <t>廉租住房支出</t>
  </si>
  <si>
    <t>按年出让收入2%计提</t>
  </si>
  <si>
    <t>[2120899]其他国有土地使用权出让收入安排的支出</t>
  </si>
  <si>
    <t>卫片执法技术服务费</t>
  </si>
  <si>
    <t>卫片执法技术服务费。</t>
  </si>
  <si>
    <t>县城南部片区项目建设指挥部办公经费</t>
  </si>
  <si>
    <t>县城南部片区项目建设指挥部办公经费。</t>
  </si>
  <si>
    <t>工程建设与生态修复项目多余砂石土公开处置前期工作经费</t>
  </si>
  <si>
    <t>依工程项目建设申请，县政府批复后实施，工程建设与生态修复项目多余砂石土公开处置。</t>
  </si>
  <si>
    <t>农村地籍房屋调查项目工作经费尾款</t>
  </si>
  <si>
    <t>《武平县人民政府办公室关于印发武平县加快推进宅基地和集体建设用地使用权确权登记发证工作实施方案的通知》（武政办[2015]47号），于2015年11月份签订合同。</t>
  </si>
  <si>
    <t>城厢镇汾水村等9个2021年土地整治项目首期补助资金</t>
  </si>
  <si>
    <t>武财资环指[2022]追基字4号</t>
  </si>
  <si>
    <t>2022年度卫片执法工作经费</t>
  </si>
  <si>
    <t>武财资环指[2022]追基字5号</t>
  </si>
  <si>
    <t>开展塔牌与盛丰石矿矿区交界处资源及武平三鑫采矿权空白区处置工作经费</t>
  </si>
  <si>
    <t>客都会B地块房屋关闭补偿费用</t>
  </si>
  <si>
    <t>武财资环指[2022]追基字6号</t>
  </si>
  <si>
    <t>古武高速A4段临时用地复垦</t>
  </si>
  <si>
    <t>武财资环指[2022]追基字7号</t>
  </si>
  <si>
    <t>农村地籍房屋调查项目经费</t>
  </si>
  <si>
    <t>2019年旧村复垦项目补助资金</t>
  </si>
  <si>
    <t>城厢镇汾水村等5个2020年土地整治项目补助资金</t>
  </si>
  <si>
    <t>2019-2020年土地整治项目补助资金</t>
  </si>
  <si>
    <t>武财资环预指〔2022〕1号（拨耕保中心）、武财资环预指[2022]3号</t>
  </si>
  <si>
    <t>自然资源工作运行经费</t>
  </si>
  <si>
    <t>城区排水设施改扩建工程项目</t>
  </si>
  <si>
    <t>武财债更正[2022]02号农发重点建设基金本金暂付列支</t>
  </si>
  <si>
    <t>乡镇生活污水处理厂网PPP项目运营补贴付费</t>
  </si>
  <si>
    <t>按PPP合同付费</t>
  </si>
  <si>
    <t>乡镇污水处理厂网一体化PPP项目还本付息</t>
  </si>
  <si>
    <t>乡镇污水处理站及配套管理工程PPP项目还本付息</t>
  </si>
  <si>
    <t>环城东路、北路PPP项目还本付息</t>
  </si>
  <si>
    <t>（二）</t>
  </si>
  <si>
    <t>21211农业土地开发资金安排的支出</t>
  </si>
  <si>
    <t>[21211]农业土地开发资金安排的支出</t>
  </si>
  <si>
    <t>农业土地开发资金支出</t>
  </si>
  <si>
    <t>按规定计提</t>
  </si>
  <si>
    <t>（三）</t>
  </si>
  <si>
    <t>21213城市基础设施配套费安排的支出</t>
  </si>
  <si>
    <t>[2121301]城市公共设施（城市基础设施配套费安排的支出）</t>
  </si>
  <si>
    <t>公共自行车管护费用</t>
  </si>
  <si>
    <t>武财发基追指[2022]1号，缺口资金。</t>
  </si>
  <si>
    <t>城区公共自行车营运管理项目承包合同。</t>
  </si>
  <si>
    <t>城区路灯夜景添置与维护</t>
  </si>
  <si>
    <t>路灯电费300万元，路灯设施维护材料费用50万。</t>
  </si>
  <si>
    <t>碧水公园管理费</t>
  </si>
  <si>
    <t>碧水公园车辆费、监控维护费等。</t>
  </si>
  <si>
    <t>城区绿地养护管理费用</t>
  </si>
  <si>
    <t>2021年9月-2022年10月需管护费用1192万元。</t>
  </si>
  <si>
    <t>合同（1250.6+1739.87）/3年=997万元/年。</t>
  </si>
  <si>
    <t>马头山公园管理费</t>
  </si>
  <si>
    <t>马头山公园监控维护费等。</t>
  </si>
  <si>
    <t>城区市政设施日常维护工程</t>
  </si>
  <si>
    <t>[2121399]其他城市基础设施配套费安排的支出</t>
  </si>
  <si>
    <t>配套费征管经费</t>
  </si>
  <si>
    <t>预计年底收取2054万，按5%提取</t>
  </si>
  <si>
    <t>2022年预计收取1600万元，按年预计收入的5%计算征管经费80万元。</t>
  </si>
  <si>
    <t>平川桥维修加固工程</t>
  </si>
  <si>
    <t>核销暂付款（武财项目追指［2021］9号）</t>
  </si>
  <si>
    <t>城区临时大型车辆停车场项目k28大型停车场质保金</t>
  </si>
  <si>
    <t>核销暂付款（武财项目追指〔2021〕17号）</t>
  </si>
  <si>
    <t>城市管理局付武平大道、西进片区夜景灯光提升工程</t>
  </si>
  <si>
    <t>核销暂付款（武财项目预拨［2021］9号）</t>
  </si>
  <si>
    <t>沿河东路街景改造工程第三标段</t>
  </si>
  <si>
    <t>2021年市政道路日常维护工程结算审核费</t>
  </si>
  <si>
    <t>武平县城区市政日常维护工程</t>
  </si>
  <si>
    <t>工业园区绿化提升工程二期</t>
  </si>
  <si>
    <t>核销暂付款（武财项目预指〔2021〕18号）</t>
  </si>
  <si>
    <t>城区沿街立面破旧修缮工程</t>
  </si>
  <si>
    <t>平川路（县标至汽车站）人行道改造工程</t>
  </si>
  <si>
    <t>核销暂付款（武财项目预〔2021〕21号）</t>
  </si>
  <si>
    <t>武平大道、西进片区夜景灯光提升工程</t>
  </si>
  <si>
    <t>核销暂付款</t>
  </si>
  <si>
    <t>（四）</t>
  </si>
  <si>
    <t>21214污水处理费安排的支出</t>
  </si>
  <si>
    <t>污水处理费</t>
  </si>
  <si>
    <t>预计2022年收入700万元。</t>
  </si>
  <si>
    <t>年初列为一般公共预算，按科目调整为基金预算列支。</t>
  </si>
  <si>
    <t>三、</t>
  </si>
  <si>
    <t>[2147199]其他政府收费公路专项债券收入安排的支出</t>
  </si>
  <si>
    <t>漳武高速十方互通及接线工程</t>
  </si>
  <si>
    <t>武财（债）指[2022]02号安排8000万，武财（债）指[2022]08号安排12000万</t>
  </si>
  <si>
    <t>四、</t>
  </si>
  <si>
    <t>22904其他政府性基金及对应专项债务收入安排的支出</t>
  </si>
  <si>
    <t>[2290402]其他地方自行试点项目收益专项债券收入安排的支出</t>
  </si>
  <si>
    <t>武平县2021年公办幼儿园建设</t>
  </si>
  <si>
    <t>武平县应急医疗救助中心</t>
  </si>
  <si>
    <t>武平县省级科技孵化器三期（信息广电与智能制造产业园）</t>
  </si>
  <si>
    <t>武财（债）指[2022]02号6350万，武财（债）指[2022]06号10000万，武财（债）指[2022]10号5000万</t>
  </si>
  <si>
    <t>武平县新型显示产业园项目</t>
  </si>
  <si>
    <t>武平县城区雨污分流改造工程</t>
  </si>
  <si>
    <t>武平县城乡供水一体化水源建设项目</t>
  </si>
  <si>
    <t>武平县土地整治项目</t>
  </si>
  <si>
    <t>武财（债）指[2022]10号</t>
  </si>
  <si>
    <t>武平县全域旅游二期</t>
  </si>
  <si>
    <t>武平工业园区南部片区扩园项目</t>
  </si>
  <si>
    <t>22960福利彩票收入安排的支出</t>
  </si>
  <si>
    <t>[2296002]用于社会福利的彩票公益金支出</t>
  </si>
  <si>
    <t>银龄安康保险</t>
  </si>
  <si>
    <t>1.5万人*20元=30万元、县级负担一半，在福彩金中安排15万元。</t>
  </si>
  <si>
    <t>22960体育彩票收入安排的支出</t>
  </si>
  <si>
    <t>[2296003]用于体育事业的彩票公益金支出</t>
  </si>
  <si>
    <t>全民健身体育项目</t>
  </si>
  <si>
    <t>全民健身设施建设，群众体育支出，竞技体育购买服务经费，大型运动会，手球运动及传统优势体育运动项目。</t>
  </si>
  <si>
    <t>体育场所免费对外开放</t>
  </si>
  <si>
    <t>学校运动场所开放补助。</t>
  </si>
  <si>
    <t>五、</t>
  </si>
  <si>
    <t>[2320411]国有土地使用权出让金债务付息支出</t>
  </si>
  <si>
    <t>地方政府专项债券付息支出</t>
  </si>
  <si>
    <t>2022年应付利息4431.7518万元</t>
  </si>
  <si>
    <t>2022年专项债券付息支出11032.32万元。</t>
  </si>
  <si>
    <t>[2320432]政府收费公路专项债券付息支出</t>
  </si>
  <si>
    <t>2022年上半年发行收费公路专项债券、下半年需付息320万元</t>
  </si>
  <si>
    <t>[2320498]其他地方自行试点项目收益专项债券付息支出</t>
  </si>
  <si>
    <t>2022年应付利息6600.5609万元，加上上半年发行、下半年需付息769.2264万元，合计7369.7873万元。</t>
  </si>
  <si>
    <t>六、</t>
  </si>
  <si>
    <t>[2330411]国有土地使用权出让金债务发行费用支出</t>
  </si>
  <si>
    <t>地方政府专项债券发行费用</t>
  </si>
  <si>
    <t>2022年未发行国有土地使用权出让金相关债券</t>
  </si>
  <si>
    <t>2022年专项债券发行费用40万元。</t>
  </si>
  <si>
    <t>[2330432]政府收费公路专项债券发行费用支出</t>
  </si>
  <si>
    <t>[2330498]其他地方自行试点项目收益专项债券发行费用支出</t>
  </si>
  <si>
    <t>第四批专项债券16000万元10.25发行，按费率0.1064%算预计还需发行费17万左右。</t>
  </si>
  <si>
    <t>地方政府专项债券还本支出</t>
  </si>
  <si>
    <t>2022年应还地方政府专项债券本金2006万元，追加1003万元。</t>
  </si>
  <si>
    <t>2022年地方政府专项债券还本1003万元。</t>
  </si>
  <si>
    <t>加：调出资金</t>
  </si>
  <si>
    <t>政府性基金预算调出资金</t>
  </si>
  <si>
    <t>调入一般公共预算</t>
  </si>
  <si>
    <t>县本级基金支出总计</t>
  </si>
  <si>
    <t>附件8</t>
  </si>
  <si>
    <t>2022年社会保险基金收支预算调整表</t>
  </si>
  <si>
    <t>项        目</t>
  </si>
  <si>
    <t>城乡居民基本养老保险基金</t>
  </si>
  <si>
    <t>机关事业单位基本养老保险基金</t>
  </si>
  <si>
    <t>一、2021年结余</t>
  </si>
  <si>
    <t>二、本年收入</t>
  </si>
  <si>
    <t xml:space="preserve">    其中： 1.保险费收入</t>
  </si>
  <si>
    <t xml:space="preserve">           2.利息收入</t>
  </si>
  <si>
    <t xml:space="preserve">           3.财政补贴收入</t>
  </si>
  <si>
    <t>　　　　   　其中：县级财政补助收入</t>
  </si>
  <si>
    <t xml:space="preserve">           4.委托投资收益</t>
  </si>
  <si>
    <t xml:space="preserve">           5.其他收入</t>
  </si>
  <si>
    <t xml:space="preserve">           6.转移收入</t>
  </si>
  <si>
    <t>三、本年支出</t>
  </si>
  <si>
    <t xml:space="preserve">    其中： 1.社会保险待遇支出</t>
  </si>
  <si>
    <t xml:space="preserve">           2.其他支出</t>
  </si>
  <si>
    <t xml:space="preserve">           3.转移支出</t>
  </si>
  <si>
    <t>四、本年收支结余</t>
  </si>
  <si>
    <t>五、预计滚存结余</t>
  </si>
  <si>
    <t>说明：根据中央、省、市文件要求，社会保险基金预算县级只需编制城乡居民基本养老保险基金、机关事业单位基本养老保险基金预算；其他上收省、市统筹的保险基金不需另外编制预算。</t>
  </si>
  <si>
    <t>附件9</t>
  </si>
  <si>
    <t>2022年从收回财政的存量资金中安排支出预算表</t>
  </si>
  <si>
    <t>功能科目编码</t>
  </si>
  <si>
    <t>功能科目名称</t>
  </si>
  <si>
    <t>一般公共预算支出合计</t>
  </si>
  <si>
    <t>节能环保</t>
  </si>
  <si>
    <t>附件10</t>
  </si>
  <si>
    <t>2022年财政直达资金支出进度表</t>
  </si>
  <si>
    <t>直达资金项目名称</t>
  </si>
  <si>
    <t>资金总量</t>
  </si>
  <si>
    <t>截至10月24日支出金额</t>
  </si>
  <si>
    <t>支出进度（%）</t>
  </si>
  <si>
    <t>就业补助资金</t>
  </si>
  <si>
    <t>基本公共卫生服务补助资金</t>
  </si>
  <si>
    <t>农田建设补助资金</t>
  </si>
  <si>
    <t>困难群众救助补助经费</t>
  </si>
  <si>
    <t>医疗服务与保障能力提升补助资金</t>
  </si>
  <si>
    <t>学生资助补助经费</t>
  </si>
  <si>
    <t>城乡义务教育补助经费</t>
  </si>
  <si>
    <t>残疾人事业发展补助经费</t>
  </si>
  <si>
    <t>计划生育转移支付资金</t>
  </si>
  <si>
    <t>城乡居民基本养老保险补助资金</t>
  </si>
  <si>
    <t>基本药物制度补助资金</t>
  </si>
  <si>
    <t>中央财政城镇保障性安居工程专项资金</t>
  </si>
  <si>
    <t>优抚对象医疗保障经费</t>
  </si>
  <si>
    <t>优抚对象补助经费</t>
  </si>
  <si>
    <t>县级基本财力保障机制奖补资金</t>
  </si>
  <si>
    <t>生猪（牛羊）调出大县奖励资金</t>
  </si>
  <si>
    <t>中央财政衔接推进乡村振兴补助资金</t>
  </si>
  <si>
    <t>普惠金融发展专项资金</t>
  </si>
  <si>
    <t>林业改革发展资金</t>
  </si>
  <si>
    <t>农业生产发展资金</t>
  </si>
  <si>
    <t>渔业发展补助资金</t>
  </si>
  <si>
    <t>增值税留抵退税资金转移支付</t>
  </si>
  <si>
    <t>补充县区财力资金转移支付</t>
  </si>
  <si>
    <t>其他减税降费资金转移支付</t>
  </si>
  <si>
    <t>大中型水库移民后期扶持资金</t>
  </si>
  <si>
    <t>参照直达</t>
  </si>
  <si>
    <t>现代职业教育质量提升计划资金</t>
  </si>
</sst>
</file>

<file path=xl/styles.xml><?xml version="1.0" encoding="utf-8"?>
<styleSheet xmlns="http://schemas.openxmlformats.org/spreadsheetml/2006/main">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0000_ "/>
    <numFmt numFmtId="179" formatCode="0_ "/>
    <numFmt numFmtId="180" formatCode="#,##0.0"/>
    <numFmt numFmtId="181" formatCode="#,##0.00_ "/>
    <numFmt numFmtId="182" formatCode="#,##0_ "/>
    <numFmt numFmtId="183" formatCode="0_);[Red]\(0\)"/>
    <numFmt numFmtId="184" formatCode="0.00_ ;[Red]\-0.00\ "/>
    <numFmt numFmtId="185" formatCode="0.00_);[Red]\(0.00\)"/>
    <numFmt numFmtId="186" formatCode="0.0_ ;[Red]\-0.0\ "/>
    <numFmt numFmtId="187" formatCode="_ * #,##0_ ;_ * \-#,##0_ ;_ * &quot;-&quot;??_ ;_ @_ "/>
    <numFmt numFmtId="188" formatCode="#,##0_);[Red]\(#,##0\)"/>
  </numFmts>
  <fonts count="71">
    <font>
      <sz val="11"/>
      <color theme="1"/>
      <name val="宋体"/>
      <charset val="134"/>
      <scheme val="minor"/>
    </font>
    <font>
      <sz val="12"/>
      <color indexed="8"/>
      <name val="黑体"/>
      <charset val="134"/>
    </font>
    <font>
      <sz val="12"/>
      <color indexed="8"/>
      <name val="宋体"/>
      <charset val="134"/>
    </font>
    <font>
      <sz val="11"/>
      <color indexed="8"/>
      <name val="宋体"/>
      <charset val="134"/>
    </font>
    <font>
      <sz val="18"/>
      <color indexed="8"/>
      <name val="方正小标宋简体"/>
      <charset val="134"/>
    </font>
    <font>
      <b/>
      <sz val="11"/>
      <color indexed="8"/>
      <name val="宋体"/>
      <charset val="134"/>
    </font>
    <font>
      <sz val="11"/>
      <name val="宋体"/>
      <charset val="134"/>
    </font>
    <font>
      <b/>
      <sz val="18"/>
      <name val="宋体"/>
      <charset val="134"/>
    </font>
    <font>
      <b/>
      <sz val="11"/>
      <name val="宋体"/>
      <charset val="134"/>
    </font>
    <font>
      <sz val="18"/>
      <name val="宋体"/>
      <charset val="134"/>
      <scheme val="minor"/>
    </font>
    <font>
      <sz val="12"/>
      <name val="宋体"/>
      <charset val="134"/>
    </font>
    <font>
      <sz val="12"/>
      <name val="黑体"/>
      <charset val="134"/>
    </font>
    <font>
      <sz val="11"/>
      <name val="Arial Narrow"/>
      <charset val="134"/>
    </font>
    <font>
      <b/>
      <sz val="9"/>
      <name val="宋体"/>
      <charset val="134"/>
    </font>
    <font>
      <sz val="9"/>
      <name val="宋体"/>
      <charset val="134"/>
    </font>
    <font>
      <sz val="10"/>
      <name val="宋体"/>
      <charset val="134"/>
    </font>
    <font>
      <b/>
      <sz val="10"/>
      <name val="宋体"/>
      <charset val="134"/>
    </font>
    <font>
      <sz val="10"/>
      <name val="宋体"/>
      <charset val="134"/>
      <scheme val="minor"/>
    </font>
    <font>
      <sz val="10"/>
      <name val="SimSun"/>
      <charset val="134"/>
    </font>
    <font>
      <sz val="10"/>
      <color rgb="FFFF0000"/>
      <name val="宋体"/>
      <charset val="134"/>
    </font>
    <font>
      <sz val="12"/>
      <name val="宋体"/>
      <charset val="134"/>
      <scheme val="minor"/>
    </font>
    <font>
      <b/>
      <sz val="18"/>
      <name val="宋体"/>
      <charset val="134"/>
      <scheme val="minor"/>
    </font>
    <font>
      <sz val="11"/>
      <name val="宋体"/>
      <charset val="134"/>
      <scheme val="minor"/>
    </font>
    <font>
      <b/>
      <sz val="12"/>
      <name val="宋体"/>
      <charset val="134"/>
    </font>
    <font>
      <b/>
      <sz val="12"/>
      <name val="宋体"/>
      <charset val="134"/>
      <scheme val="minor"/>
    </font>
    <font>
      <sz val="18"/>
      <color theme="1"/>
      <name val="宋体"/>
      <charset val="134"/>
    </font>
    <font>
      <b/>
      <sz val="11"/>
      <color theme="1"/>
      <name val="宋体"/>
      <charset val="134"/>
      <scheme val="minor"/>
    </font>
    <font>
      <sz val="12"/>
      <color theme="1"/>
      <name val="黑体"/>
      <charset val="134"/>
    </font>
    <font>
      <b/>
      <sz val="18"/>
      <color indexed="8"/>
      <name val="宋体"/>
      <charset val="134"/>
    </font>
    <font>
      <sz val="10"/>
      <color theme="1"/>
      <name val="宋体"/>
      <charset val="134"/>
    </font>
    <font>
      <sz val="10"/>
      <color indexed="8"/>
      <name val="宋体"/>
      <charset val="134"/>
    </font>
    <font>
      <sz val="11"/>
      <color rgb="FF0070C0"/>
      <name val="宋体"/>
      <charset val="134"/>
      <scheme val="minor"/>
    </font>
    <font>
      <b/>
      <sz val="11"/>
      <name val="宋体"/>
      <charset val="134"/>
      <scheme val="minor"/>
    </font>
    <font>
      <sz val="11"/>
      <color rgb="FFFF0000"/>
      <name val="宋体"/>
      <charset val="134"/>
      <scheme val="minor"/>
    </font>
    <font>
      <sz val="11"/>
      <name val="宋体"/>
      <charset val="134"/>
      <scheme val="major"/>
    </font>
    <font>
      <sz val="11"/>
      <name val="仿宋_GB2312"/>
      <charset val="134"/>
    </font>
    <font>
      <b/>
      <sz val="10"/>
      <name val="宋体"/>
      <charset val="134"/>
      <scheme val="minor"/>
    </font>
    <font>
      <b/>
      <sz val="24"/>
      <name val="宋体"/>
      <charset val="134"/>
    </font>
    <font>
      <b/>
      <sz val="22"/>
      <name val="宋体"/>
      <charset val="134"/>
    </font>
    <font>
      <b/>
      <sz val="10"/>
      <name val="SimSun"/>
      <charset val="134"/>
    </font>
    <font>
      <sz val="10"/>
      <color theme="1"/>
      <name val="宋体"/>
      <charset val="134"/>
      <scheme val="minor"/>
    </font>
    <font>
      <b/>
      <sz val="10"/>
      <color theme="1"/>
      <name val="宋体"/>
      <charset val="134"/>
      <scheme val="minor"/>
    </font>
    <font>
      <sz val="10"/>
      <color rgb="FFFF0000"/>
      <name val="SimSun"/>
      <charset val="134"/>
    </font>
    <font>
      <sz val="10"/>
      <color rgb="FFFF0000"/>
      <name val="宋体"/>
      <charset val="134"/>
      <scheme val="minor"/>
    </font>
    <font>
      <b/>
      <sz val="11"/>
      <name val="SimSun"/>
      <charset val="134"/>
    </font>
    <font>
      <sz val="11"/>
      <name val="黑体"/>
      <charset val="134"/>
    </font>
    <font>
      <b/>
      <sz val="1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color indexed="8"/>
      <name val="Arial"/>
      <charset val="134"/>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宋体"/>
      <charset val="134"/>
    </font>
    <font>
      <b/>
      <sz val="9"/>
      <name val="宋体"/>
      <charset val="134"/>
    </font>
    <font>
      <sz val="10"/>
      <name val="宋体"/>
      <charset val="134"/>
    </font>
    <font>
      <sz val="9"/>
      <name val="宋体"/>
      <charset val="134"/>
    </font>
  </fonts>
  <fills count="39">
    <fill>
      <patternFill patternType="none"/>
    </fill>
    <fill>
      <patternFill patternType="gray125"/>
    </fill>
    <fill>
      <patternFill patternType="solid">
        <fgColor theme="4" tint="0.599993896298105"/>
        <bgColor indexed="64"/>
      </patternFill>
    </fill>
    <fill>
      <patternFill patternType="solid">
        <fgColor theme="4" tint="0.8"/>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5"/>
        <bgColor indexed="64"/>
      </patternFill>
    </fill>
    <fill>
      <patternFill patternType="solid">
        <fgColor rgb="FFFF000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rgb="FF000000"/>
      </top>
      <bottom style="thin">
        <color auto="1"/>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8"/>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2" fontId="0" fillId="0" borderId="0" applyFont="0" applyFill="0" applyBorder="0" applyAlignment="0" applyProtection="0">
      <alignment vertical="center"/>
    </xf>
    <xf numFmtId="0" fontId="47" fillId="10" borderId="0" applyNumberFormat="0" applyBorder="0" applyAlignment="0" applyProtection="0">
      <alignment vertical="center"/>
    </xf>
    <xf numFmtId="0" fontId="48" fillId="11" borderId="20" applyNumberFormat="0" applyAlignment="0" applyProtection="0">
      <alignment vertical="center"/>
    </xf>
    <xf numFmtId="44" fontId="0" fillId="0" borderId="0" applyFont="0" applyFill="0" applyBorder="0" applyAlignment="0" applyProtection="0">
      <alignment vertical="center"/>
    </xf>
    <xf numFmtId="0" fontId="10" fillId="0" borderId="0">
      <alignment vertical="center"/>
    </xf>
    <xf numFmtId="41" fontId="0" fillId="0" borderId="0" applyFont="0" applyFill="0" applyBorder="0" applyAlignment="0" applyProtection="0">
      <alignment vertical="center"/>
    </xf>
    <xf numFmtId="0" fontId="47" fillId="12" borderId="0" applyNumberFormat="0" applyBorder="0" applyAlignment="0" applyProtection="0">
      <alignment vertical="center"/>
    </xf>
    <xf numFmtId="0" fontId="49" fillId="13" borderId="0" applyNumberFormat="0" applyBorder="0" applyAlignment="0" applyProtection="0">
      <alignment vertical="center"/>
    </xf>
    <xf numFmtId="43" fontId="0" fillId="0" borderId="0" applyFont="0" applyFill="0" applyBorder="0" applyAlignment="0" applyProtection="0">
      <alignment vertical="center"/>
    </xf>
    <xf numFmtId="0" fontId="50" fillId="14" borderId="0" applyNumberFormat="0" applyBorder="0" applyAlignment="0" applyProtection="0">
      <alignment vertical="center"/>
    </xf>
    <xf numFmtId="0" fontId="51" fillId="0" borderId="0" applyNumberFormat="0" applyFill="0" applyBorder="0" applyAlignment="0" applyProtection="0">
      <alignment vertical="center"/>
    </xf>
    <xf numFmtId="9" fontId="0" fillId="0" borderId="0" applyFont="0" applyFill="0" applyBorder="0" applyAlignment="0" applyProtection="0">
      <alignment vertical="center"/>
    </xf>
    <xf numFmtId="0" fontId="52" fillId="0" borderId="0" applyNumberFormat="0" applyFill="0" applyBorder="0" applyAlignment="0" applyProtection="0">
      <alignment vertical="center"/>
    </xf>
    <xf numFmtId="0" fontId="0" fillId="15" borderId="21" applyNumberFormat="0" applyFont="0" applyAlignment="0" applyProtection="0">
      <alignment vertical="center"/>
    </xf>
    <xf numFmtId="0" fontId="50" fillId="16" borderId="0" applyNumberFormat="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22" applyNumberFormat="0" applyFill="0" applyAlignment="0" applyProtection="0">
      <alignment vertical="center"/>
    </xf>
    <xf numFmtId="0" fontId="58" fillId="0" borderId="22" applyNumberFormat="0" applyFill="0" applyAlignment="0" applyProtection="0">
      <alignment vertical="center"/>
    </xf>
    <xf numFmtId="0" fontId="50" fillId="17" borderId="0" applyNumberFormat="0" applyBorder="0" applyAlignment="0" applyProtection="0">
      <alignment vertical="center"/>
    </xf>
    <xf numFmtId="0" fontId="53" fillId="0" borderId="23" applyNumberFormat="0" applyFill="0" applyAlignment="0" applyProtection="0">
      <alignment vertical="center"/>
    </xf>
    <xf numFmtId="0" fontId="50" fillId="18" borderId="0" applyNumberFormat="0" applyBorder="0" applyAlignment="0" applyProtection="0">
      <alignment vertical="center"/>
    </xf>
    <xf numFmtId="0" fontId="59" fillId="19" borderId="24" applyNumberFormat="0" applyAlignment="0" applyProtection="0">
      <alignment vertical="center"/>
    </xf>
    <xf numFmtId="0" fontId="60" fillId="19" borderId="20" applyNumberFormat="0" applyAlignment="0" applyProtection="0">
      <alignment vertical="center"/>
    </xf>
    <xf numFmtId="0" fontId="61" fillId="20" borderId="25" applyNumberFormat="0" applyAlignment="0" applyProtection="0">
      <alignment vertical="center"/>
    </xf>
    <xf numFmtId="0" fontId="47" fillId="21" borderId="0" applyNumberFormat="0" applyBorder="0" applyAlignment="0" applyProtection="0">
      <alignment vertical="center"/>
    </xf>
    <xf numFmtId="0" fontId="50" fillId="22" borderId="0" applyNumberFormat="0" applyBorder="0" applyAlignment="0" applyProtection="0">
      <alignment vertical="center"/>
    </xf>
    <xf numFmtId="0" fontId="62" fillId="0" borderId="26" applyNumberFormat="0" applyFill="0" applyAlignment="0" applyProtection="0">
      <alignment vertical="center"/>
    </xf>
    <xf numFmtId="0" fontId="63" fillId="0" borderId="0"/>
    <xf numFmtId="0" fontId="64" fillId="0" borderId="27" applyNumberFormat="0" applyFill="0" applyAlignment="0" applyProtection="0">
      <alignment vertical="center"/>
    </xf>
    <xf numFmtId="0" fontId="65" fillId="23" borderId="0" applyNumberFormat="0" applyBorder="0" applyAlignment="0" applyProtection="0">
      <alignment vertical="center"/>
    </xf>
    <xf numFmtId="0" fontId="66" fillId="24" borderId="0" applyNumberFormat="0" applyBorder="0" applyAlignment="0" applyProtection="0">
      <alignment vertical="center"/>
    </xf>
    <xf numFmtId="0" fontId="47" fillId="25" borderId="0" applyNumberFormat="0" applyBorder="0" applyAlignment="0" applyProtection="0">
      <alignment vertical="center"/>
    </xf>
    <xf numFmtId="0" fontId="50" fillId="26" borderId="0" applyNumberFormat="0" applyBorder="0" applyAlignment="0" applyProtection="0">
      <alignment vertical="center"/>
    </xf>
    <xf numFmtId="0" fontId="10" fillId="0" borderId="0">
      <alignment vertical="center"/>
    </xf>
    <xf numFmtId="0" fontId="47" fillId="27" borderId="0" applyNumberFormat="0" applyBorder="0" applyAlignment="0" applyProtection="0">
      <alignment vertical="center"/>
    </xf>
    <xf numFmtId="0" fontId="47" fillId="2" borderId="0" applyNumberFormat="0" applyBorder="0" applyAlignment="0" applyProtection="0">
      <alignment vertical="center"/>
    </xf>
    <xf numFmtId="0" fontId="67" fillId="0" borderId="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7" fillId="32" borderId="0" applyNumberFormat="0" applyBorder="0" applyAlignment="0" applyProtection="0">
      <alignment vertical="center"/>
    </xf>
    <xf numFmtId="0" fontId="47" fillId="7" borderId="0" applyNumberFormat="0" applyBorder="0" applyAlignment="0" applyProtection="0">
      <alignment vertical="center"/>
    </xf>
    <xf numFmtId="0" fontId="10" fillId="0" borderId="0"/>
    <xf numFmtId="0" fontId="15" fillId="0" borderId="0"/>
    <xf numFmtId="0" fontId="50" fillId="33" borderId="0" applyNumberFormat="0" applyBorder="0" applyAlignment="0" applyProtection="0">
      <alignment vertical="center"/>
    </xf>
    <xf numFmtId="0" fontId="47" fillId="34" borderId="0" applyNumberFormat="0" applyBorder="0" applyAlignment="0" applyProtection="0">
      <alignment vertical="center"/>
    </xf>
    <xf numFmtId="0" fontId="50" fillId="35" borderId="0" applyNumberFormat="0" applyBorder="0" applyAlignment="0" applyProtection="0">
      <alignment vertical="center"/>
    </xf>
    <xf numFmtId="0" fontId="0" fillId="0" borderId="0">
      <alignment vertical="center"/>
    </xf>
    <xf numFmtId="0" fontId="50" fillId="36" borderId="0" applyNumberFormat="0" applyBorder="0" applyAlignment="0" applyProtection="0">
      <alignment vertical="center"/>
    </xf>
    <xf numFmtId="0" fontId="10" fillId="0" borderId="0">
      <alignment vertical="center"/>
    </xf>
    <xf numFmtId="0" fontId="47" fillId="37" borderId="0" applyNumberFormat="0" applyBorder="0" applyAlignment="0" applyProtection="0">
      <alignment vertical="center"/>
    </xf>
    <xf numFmtId="0" fontId="50" fillId="38" borderId="0" applyNumberFormat="0" applyBorder="0" applyAlignment="0" applyProtection="0">
      <alignment vertical="center"/>
    </xf>
    <xf numFmtId="0" fontId="14" fillId="0" borderId="0"/>
    <xf numFmtId="0" fontId="0" fillId="0" borderId="0"/>
    <xf numFmtId="0" fontId="1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10" fillId="0" borderId="0">
      <alignment vertical="center"/>
    </xf>
    <xf numFmtId="0" fontId="10" fillId="0" borderId="0">
      <alignment vertical="center"/>
    </xf>
    <xf numFmtId="0" fontId="10" fillId="0" borderId="0"/>
    <xf numFmtId="43" fontId="10" fillId="0" borderId="0" applyFont="0" applyFill="0" applyBorder="0" applyAlignment="0" applyProtection="0">
      <alignment vertical="center"/>
    </xf>
    <xf numFmtId="0" fontId="10" fillId="0" borderId="0">
      <alignment vertical="center"/>
    </xf>
    <xf numFmtId="0" fontId="10" fillId="0" borderId="0"/>
  </cellStyleXfs>
  <cellXfs count="51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176" fontId="1" fillId="0" borderId="0" xfId="0" applyNumberFormat="1" applyFont="1" applyFill="1" applyBorder="1" applyAlignment="1">
      <alignment vertical="center"/>
    </xf>
    <xf numFmtId="0" fontId="4" fillId="0" borderId="0" xfId="0" applyFont="1" applyFill="1" applyBorder="1" applyAlignment="1">
      <alignment horizontal="center" vertical="center"/>
    </xf>
    <xf numFmtId="176" fontId="3" fillId="0" borderId="0"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right" vertical="center"/>
    </xf>
    <xf numFmtId="176" fontId="5"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4" fontId="6" fillId="0" borderId="1" xfId="0" applyNumberFormat="1" applyFont="1" applyFill="1" applyBorder="1" applyAlignment="1">
      <alignment vertical="center"/>
    </xf>
    <xf numFmtId="176" fontId="3" fillId="0" borderId="1" xfId="0" applyNumberFormat="1" applyFont="1" applyFill="1" applyBorder="1" applyAlignment="1">
      <alignment vertical="center"/>
    </xf>
    <xf numFmtId="0" fontId="3" fillId="0" borderId="1" xfId="0"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applyAlignment="1">
      <alignment vertical="center"/>
    </xf>
    <xf numFmtId="4" fontId="6" fillId="0" borderId="1" xfId="0" applyNumberFormat="1" applyFont="1" applyFill="1" applyBorder="1" applyAlignment="1">
      <alignment horizontal="right"/>
    </xf>
    <xf numFmtId="179" fontId="3" fillId="0" borderId="0" xfId="0" applyNumberFormat="1" applyFont="1" applyFill="1" applyBorder="1" applyAlignment="1">
      <alignment vertical="center"/>
    </xf>
    <xf numFmtId="176" fontId="7" fillId="0" borderId="0" xfId="0" applyNumberFormat="1" applyFont="1" applyFill="1" applyBorder="1" applyAlignment="1">
      <alignment vertical="center"/>
    </xf>
    <xf numFmtId="179" fontId="3" fillId="0" borderId="0" xfId="0" applyNumberFormat="1" applyFont="1" applyFill="1" applyBorder="1" applyAlignment="1">
      <alignment horizontal="right" vertical="center"/>
    </xf>
    <xf numFmtId="0" fontId="6" fillId="0" borderId="1" xfId="0" applyNumberFormat="1" applyFont="1" applyFill="1" applyBorder="1" applyAlignment="1" applyProtection="1">
      <alignment horizontal="center" vertical="center" wrapText="1"/>
    </xf>
    <xf numFmtId="179" fontId="6"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179" fontId="8" fillId="0" borderId="1" xfId="0" applyNumberFormat="1" applyFont="1" applyFill="1" applyBorder="1" applyAlignment="1" applyProtection="1">
      <alignment horizontal="right" vertical="center" wrapText="1"/>
    </xf>
    <xf numFmtId="179" fontId="5" fillId="0" borderId="1" xfId="0" applyNumberFormat="1" applyFont="1" applyFill="1" applyBorder="1" applyAlignment="1">
      <alignment horizontal="right" vertical="center"/>
    </xf>
    <xf numFmtId="49" fontId="6" fillId="0" borderId="1" xfId="0" applyNumberFormat="1" applyFont="1" applyFill="1" applyBorder="1" applyAlignment="1" applyProtection="1">
      <alignment horizontal="left" vertical="center" wrapText="1"/>
    </xf>
    <xf numFmtId="179" fontId="6" fillId="0" borderId="1" xfId="0" applyNumberFormat="1" applyFont="1" applyFill="1" applyBorder="1" applyAlignment="1" applyProtection="1">
      <alignment horizontal="right" vertical="center" wrapText="1"/>
    </xf>
    <xf numFmtId="179" fontId="3" fillId="0" borderId="1" xfId="0" applyNumberFormat="1" applyFont="1" applyFill="1" applyBorder="1" applyAlignment="1">
      <alignment horizontal="right" vertical="center"/>
    </xf>
    <xf numFmtId="49" fontId="6" fillId="0" borderId="1" xfId="0" applyNumberFormat="1" applyFont="1" applyFill="1" applyBorder="1" applyAlignment="1" applyProtection="1">
      <alignment horizontal="center" vertical="center" wrapText="1"/>
    </xf>
    <xf numFmtId="0" fontId="6" fillId="0" borderId="0" xfId="0" applyFont="1" applyFill="1" applyBorder="1" applyAlignment="1">
      <alignment horizontal="center" vertical="center"/>
    </xf>
    <xf numFmtId="0" fontId="7" fillId="0" borderId="0" xfId="0" applyFont="1" applyFill="1" applyBorder="1" applyAlignment="1">
      <alignment vertical="center"/>
    </xf>
    <xf numFmtId="0" fontId="6" fillId="0" borderId="0" xfId="59" applyFont="1" applyFill="1" applyBorder="1" applyAlignment="1"/>
    <xf numFmtId="0" fontId="9" fillId="0" borderId="0" xfId="59" applyFont="1" applyFill="1" applyBorder="1" applyAlignment="1"/>
    <xf numFmtId="0" fontId="6" fillId="0" borderId="0" xfId="59" applyFont="1" applyFill="1" applyBorder="1" applyAlignment="1">
      <alignment vertical="center"/>
    </xf>
    <xf numFmtId="0" fontId="8" fillId="0" borderId="0" xfId="59" applyFont="1" applyFill="1" applyBorder="1" applyAlignment="1">
      <alignment vertical="center"/>
    </xf>
    <xf numFmtId="0" fontId="6" fillId="0" borderId="0" xfId="59" applyFont="1" applyFill="1" applyBorder="1" applyAlignment="1">
      <alignment horizontal="center"/>
    </xf>
    <xf numFmtId="0" fontId="10" fillId="0" borderId="0" xfId="0" applyFont="1" applyFill="1" applyBorder="1" applyAlignment="1">
      <alignment vertical="center"/>
    </xf>
    <xf numFmtId="0" fontId="11" fillId="0" borderId="0" xfId="59" applyFont="1" applyFill="1" applyBorder="1" applyAlignment="1"/>
    <xf numFmtId="0" fontId="4" fillId="0" borderId="0" xfId="0" applyFont="1" applyFill="1" applyAlignment="1">
      <alignment horizontal="center" vertical="center"/>
    </xf>
    <xf numFmtId="0" fontId="6" fillId="0" borderId="0" xfId="48" applyNumberFormat="1" applyFont="1" applyFill="1" applyBorder="1" applyAlignment="1" applyProtection="1">
      <alignment vertical="center"/>
    </xf>
    <xf numFmtId="0" fontId="12" fillId="0" borderId="0" xfId="48" applyNumberFormat="1" applyFont="1" applyFill="1" applyBorder="1" applyAlignment="1" applyProtection="1">
      <alignment horizontal="center" vertical="center"/>
    </xf>
    <xf numFmtId="0" fontId="6" fillId="0" borderId="0" xfId="48" applyNumberFormat="1" applyFont="1" applyFill="1" applyBorder="1" applyAlignment="1" applyProtection="1">
      <alignment horizontal="center" vertical="center"/>
    </xf>
    <xf numFmtId="0" fontId="6" fillId="0" borderId="0" xfId="59" applyFont="1" applyFill="1" applyBorder="1" applyAlignment="1">
      <alignment horizontal="center" vertical="center"/>
    </xf>
    <xf numFmtId="0" fontId="6" fillId="0" borderId="2" xfId="48" applyNumberFormat="1" applyFont="1" applyFill="1" applyBorder="1" applyAlignment="1" applyProtection="1">
      <alignment horizontal="center" vertical="center"/>
    </xf>
    <xf numFmtId="0" fontId="6" fillId="0" borderId="3" xfId="48" applyNumberFormat="1" applyFont="1" applyFill="1" applyBorder="1" applyAlignment="1" applyProtection="1">
      <alignment horizontal="center" vertical="center"/>
    </xf>
    <xf numFmtId="0" fontId="6" fillId="0" borderId="4" xfId="48" applyNumberFormat="1" applyFont="1" applyFill="1" applyBorder="1" applyAlignment="1" applyProtection="1">
      <alignment horizontal="center" vertical="center"/>
    </xf>
    <xf numFmtId="0" fontId="6" fillId="0" borderId="5" xfId="48" applyNumberFormat="1" applyFont="1" applyFill="1" applyBorder="1" applyAlignment="1" applyProtection="1">
      <alignment horizontal="center" vertical="center"/>
    </xf>
    <xf numFmtId="0" fontId="6" fillId="0" borderId="6" xfId="48" applyNumberFormat="1" applyFont="1" applyFill="1" applyBorder="1" applyAlignment="1" applyProtection="1">
      <alignment horizontal="center" vertical="center"/>
    </xf>
    <xf numFmtId="0" fontId="6" fillId="0" borderId="1" xfId="48" applyNumberFormat="1" applyFont="1" applyFill="1" applyBorder="1" applyAlignment="1" applyProtection="1">
      <alignment horizontal="center" vertical="center" wrapText="1"/>
    </xf>
    <xf numFmtId="0" fontId="8" fillId="0" borderId="6" xfId="48" applyNumberFormat="1" applyFont="1" applyFill="1" applyBorder="1" applyAlignment="1" applyProtection="1">
      <alignment horizontal="left" vertical="center"/>
    </xf>
    <xf numFmtId="179" fontId="8" fillId="0" borderId="1" xfId="48" applyNumberFormat="1" applyFont="1" applyFill="1" applyBorder="1" applyAlignment="1" applyProtection="1">
      <alignment horizontal="center" vertical="center"/>
    </xf>
    <xf numFmtId="0" fontId="8" fillId="0" borderId="1" xfId="48" applyNumberFormat="1" applyFont="1" applyFill="1" applyBorder="1" applyAlignment="1" applyProtection="1">
      <alignment horizontal="left" vertical="center"/>
    </xf>
    <xf numFmtId="0" fontId="6" fillId="0" borderId="1" xfId="48" applyNumberFormat="1" applyFont="1" applyFill="1" applyBorder="1" applyAlignment="1" applyProtection="1">
      <alignment horizontal="left" vertical="center"/>
    </xf>
    <xf numFmtId="179" fontId="6" fillId="0" borderId="1" xfId="48" applyNumberFormat="1" applyFont="1" applyFill="1" applyBorder="1" applyAlignment="1" applyProtection="1">
      <alignment horizontal="center" vertical="center" wrapText="1"/>
    </xf>
    <xf numFmtId="0" fontId="6" fillId="0" borderId="1" xfId="48" applyNumberFormat="1" applyFont="1" applyFill="1" applyBorder="1" applyAlignment="1" applyProtection="1">
      <alignment vertical="center"/>
    </xf>
    <xf numFmtId="0" fontId="6" fillId="0" borderId="7" xfId="48" applyNumberFormat="1" applyFont="1" applyFill="1" applyBorder="1" applyAlignment="1" applyProtection="1">
      <alignment vertical="center"/>
    </xf>
    <xf numFmtId="0" fontId="6" fillId="0" borderId="0" xfId="59" applyFont="1" applyFill="1" applyBorder="1" applyAlignment="1">
      <alignment horizontal="right" vertical="center"/>
    </xf>
    <xf numFmtId="0" fontId="8"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5" fillId="0" borderId="0" xfId="0" applyFont="1" applyFill="1" applyBorder="1" applyAlignment="1">
      <alignment vertical="center" wrapText="1"/>
    </xf>
    <xf numFmtId="0" fontId="14" fillId="0" borderId="0" xfId="0" applyFont="1" applyFill="1" applyBorder="1" applyAlignment="1">
      <alignment horizontal="center"/>
    </xf>
    <xf numFmtId="0" fontId="15" fillId="0" borderId="0" xfId="0" applyFont="1" applyFill="1" applyBorder="1" applyAlignment="1">
      <alignment horizontal="center" vertical="center"/>
    </xf>
    <xf numFmtId="0" fontId="14" fillId="0" borderId="0" xfId="0" applyFont="1" applyFill="1" applyBorder="1" applyAlignment="1"/>
    <xf numFmtId="0" fontId="14" fillId="0" borderId="0" xfId="0" applyFont="1" applyFill="1" applyBorder="1" applyAlignment="1">
      <alignment horizontal="left"/>
    </xf>
    <xf numFmtId="176" fontId="14" fillId="0" borderId="0" xfId="0" applyNumberFormat="1" applyFont="1" applyFill="1" applyBorder="1" applyAlignment="1">
      <alignment horizontal="right"/>
    </xf>
    <xf numFmtId="176" fontId="14" fillId="0" borderId="0" xfId="0" applyNumberFormat="1" applyFont="1" applyFill="1" applyBorder="1" applyAlignment="1">
      <alignment horizontal="left"/>
    </xf>
    <xf numFmtId="176" fontId="14" fillId="0" borderId="0" xfId="0" applyNumberFormat="1" applyFont="1" applyFill="1" applyBorder="1" applyAlignment="1"/>
    <xf numFmtId="0" fontId="7" fillId="0" borderId="0" xfId="0" applyFont="1" applyFill="1" applyAlignment="1">
      <alignment horizontal="center" vertical="center"/>
    </xf>
    <xf numFmtId="0" fontId="16" fillId="0" borderId="0" xfId="0" applyFont="1" applyFill="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6" fillId="3" borderId="1" xfId="0" applyNumberFormat="1" applyFont="1" applyFill="1" applyBorder="1" applyAlignment="1" applyProtection="1">
      <alignment horizontal="center" vertical="center" wrapText="1"/>
    </xf>
    <xf numFmtId="0" fontId="16" fillId="3" borderId="1" xfId="0" applyNumberFormat="1" applyFont="1" applyFill="1" applyBorder="1" applyAlignment="1" applyProtection="1">
      <alignment vertical="center" wrapText="1"/>
    </xf>
    <xf numFmtId="49" fontId="16" fillId="3" borderId="1" xfId="0" applyNumberFormat="1" applyFont="1" applyFill="1" applyBorder="1" applyAlignment="1" applyProtection="1">
      <alignment horizontal="left" vertical="center" wrapText="1"/>
    </xf>
    <xf numFmtId="181" fontId="16" fillId="3" borderId="1" xfId="0" applyNumberFormat="1" applyFont="1" applyFill="1" applyBorder="1" applyAlignment="1" applyProtection="1">
      <alignment horizontal="right" vertical="center" wrapText="1"/>
    </xf>
    <xf numFmtId="49" fontId="16" fillId="2" borderId="1" xfId="0" applyNumberFormat="1" applyFont="1" applyFill="1" applyBorder="1" applyAlignment="1" applyProtection="1">
      <alignment horizontal="center" vertical="center" wrapText="1"/>
    </xf>
    <xf numFmtId="49" fontId="16" fillId="0" borderId="1" xfId="0" applyNumberFormat="1" applyFont="1" applyFill="1" applyBorder="1" applyAlignment="1" applyProtection="1">
      <alignment horizontal="center" vertical="center" wrapText="1"/>
    </xf>
    <xf numFmtId="49" fontId="16" fillId="3" borderId="1" xfId="0" applyNumberFormat="1" applyFont="1" applyFill="1" applyBorder="1" applyAlignment="1" applyProtection="1">
      <alignment vertical="center" wrapText="1"/>
    </xf>
    <xf numFmtId="49" fontId="16" fillId="0" borderId="1" xfId="0" applyNumberFormat="1" applyFont="1" applyFill="1" applyBorder="1" applyAlignment="1" applyProtection="1">
      <alignment horizontal="left" vertical="center" wrapText="1"/>
    </xf>
    <xf numFmtId="181" fontId="16" fillId="0" borderId="1" xfId="0" applyNumberFormat="1" applyFont="1" applyFill="1" applyBorder="1" applyAlignment="1" applyProtection="1">
      <alignment horizontal="right" vertical="center" wrapText="1"/>
    </xf>
    <xf numFmtId="0" fontId="15"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pplyProtection="1">
      <alignment vertical="center" wrapText="1"/>
    </xf>
    <xf numFmtId="0" fontId="15" fillId="0" borderId="1" xfId="0" applyNumberFormat="1" applyFont="1" applyFill="1" applyBorder="1" applyAlignment="1" applyProtection="1">
      <alignment vertical="center" wrapText="1"/>
    </xf>
    <xf numFmtId="49" fontId="15" fillId="0" borderId="1" xfId="0" applyNumberFormat="1" applyFont="1" applyFill="1" applyBorder="1" applyAlignment="1" applyProtection="1">
      <alignment horizontal="left" vertical="center" wrapText="1"/>
    </xf>
    <xf numFmtId="43" fontId="15" fillId="0" borderId="1" xfId="9" applyFont="1" applyFill="1" applyBorder="1" applyAlignment="1" applyProtection="1">
      <alignment horizontal="right" vertical="center" wrapText="1"/>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7" fillId="0" borderId="0" xfId="0" applyFont="1" applyFill="1" applyAlignment="1">
      <alignment horizontal="left" vertical="center"/>
    </xf>
    <xf numFmtId="0" fontId="15" fillId="0" borderId="0" xfId="0" applyFont="1" applyFill="1" applyBorder="1" applyAlignment="1">
      <alignment horizontal="right" vertical="center"/>
    </xf>
    <xf numFmtId="0" fontId="14" fillId="0" borderId="0" xfId="0" applyFont="1" applyFill="1" applyBorder="1" applyAlignment="1">
      <alignment horizontal="right" vertical="center"/>
    </xf>
    <xf numFmtId="176" fontId="16" fillId="0" borderId="1" xfId="0" applyNumberFormat="1" applyFont="1" applyFill="1" applyBorder="1" applyAlignment="1" applyProtection="1">
      <alignment vertical="center" wrapText="1"/>
    </xf>
    <xf numFmtId="176" fontId="16" fillId="2" borderId="1" xfId="0" applyNumberFormat="1" applyFont="1" applyFill="1" applyBorder="1" applyAlignment="1" applyProtection="1">
      <alignment vertical="center" wrapText="1"/>
    </xf>
    <xf numFmtId="0" fontId="13" fillId="0" borderId="1" xfId="0" applyFont="1" applyFill="1" applyBorder="1" applyAlignment="1">
      <alignment horizontal="center" vertical="center" wrapText="1"/>
    </xf>
    <xf numFmtId="4" fontId="15" fillId="0" borderId="1" xfId="0" applyNumberFormat="1" applyFont="1" applyFill="1" applyBorder="1" applyAlignment="1" applyProtection="1">
      <alignment vertical="center" wrapText="1"/>
    </xf>
    <xf numFmtId="0" fontId="14" fillId="0" borderId="1" xfId="0" applyFont="1" applyFill="1" applyBorder="1" applyAlignment="1">
      <alignment horizontal="center" vertical="center" wrapText="1"/>
    </xf>
    <xf numFmtId="43" fontId="15" fillId="0" borderId="1" xfId="9" applyFont="1" applyFill="1" applyBorder="1" applyAlignment="1" applyProtection="1">
      <alignment horizontal="center" vertical="center" wrapText="1"/>
    </xf>
    <xf numFmtId="180" fontId="15" fillId="0" borderId="1" xfId="0" applyNumberFormat="1" applyFont="1" applyFill="1" applyBorder="1" applyAlignment="1" applyProtection="1">
      <alignment vertical="center" wrapText="1"/>
    </xf>
    <xf numFmtId="181" fontId="15" fillId="0" borderId="1" xfId="0" applyNumberFormat="1" applyFont="1" applyFill="1" applyBorder="1" applyAlignment="1" applyProtection="1">
      <alignment horizontal="right" vertical="center" wrapText="1"/>
    </xf>
    <xf numFmtId="49" fontId="15" fillId="2" borderId="1" xfId="0" applyNumberFormat="1" applyFont="1" applyFill="1" applyBorder="1" applyAlignment="1" applyProtection="1">
      <alignment horizontal="center" vertical="center" wrapText="1"/>
    </xf>
    <xf numFmtId="182" fontId="16" fillId="3" borderId="1" xfId="0" applyNumberFormat="1" applyFont="1" applyFill="1" applyBorder="1" applyAlignment="1" applyProtection="1">
      <alignment horizontal="righ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5" fillId="3" borderId="1" xfId="0" applyNumberFormat="1" applyFont="1" applyFill="1" applyBorder="1" applyAlignment="1" applyProtection="1">
      <alignment vertical="center" wrapText="1"/>
    </xf>
    <xf numFmtId="0" fontId="15" fillId="0" borderId="1" xfId="0" applyNumberFormat="1" applyFont="1" applyFill="1" applyBorder="1" applyAlignment="1" applyProtection="1">
      <alignment vertical="center"/>
    </xf>
    <xf numFmtId="181" fontId="19" fillId="0" borderId="1" xfId="0" applyNumberFormat="1" applyFont="1" applyFill="1" applyBorder="1" applyAlignment="1" applyProtection="1">
      <alignment horizontal="right" vertical="center" wrapText="1"/>
    </xf>
    <xf numFmtId="0" fontId="16" fillId="0" borderId="1" xfId="0" applyNumberFormat="1" applyFont="1" applyFill="1" applyBorder="1" applyAlignment="1" applyProtection="1">
      <alignment horizontal="center" vertical="center" wrapText="1"/>
    </xf>
    <xf numFmtId="182" fontId="16" fillId="0" borderId="1" xfId="0" applyNumberFormat="1" applyFont="1" applyFill="1" applyBorder="1" applyAlignment="1" applyProtection="1">
      <alignment horizontal="right" vertical="center" wrapText="1"/>
    </xf>
    <xf numFmtId="179" fontId="14" fillId="0" borderId="0" xfId="0" applyNumberFormat="1" applyFont="1" applyFill="1" applyBorder="1" applyAlignment="1">
      <alignment horizontal="right"/>
    </xf>
    <xf numFmtId="176" fontId="15" fillId="0" borderId="1" xfId="0" applyNumberFormat="1" applyFont="1" applyFill="1" applyBorder="1" applyAlignment="1" applyProtection="1">
      <alignment vertical="center" wrapText="1"/>
    </xf>
    <xf numFmtId="4" fontId="16" fillId="0" borderId="1" xfId="0" applyNumberFormat="1" applyFont="1" applyFill="1" applyBorder="1" applyAlignment="1" applyProtection="1">
      <alignment vertical="center" wrapText="1"/>
    </xf>
    <xf numFmtId="4" fontId="16" fillId="2" borderId="1" xfId="0" applyNumberFormat="1" applyFont="1" applyFill="1" applyBorder="1" applyAlignment="1" applyProtection="1">
      <alignment vertical="center" wrapText="1"/>
    </xf>
    <xf numFmtId="3" fontId="16" fillId="0" borderId="1" xfId="0" applyNumberFormat="1" applyFont="1" applyFill="1" applyBorder="1" applyAlignment="1" applyProtection="1">
      <alignment vertical="center" wrapText="1"/>
    </xf>
    <xf numFmtId="3" fontId="16" fillId="2" borderId="1" xfId="0" applyNumberFormat="1" applyFont="1" applyFill="1" applyBorder="1" applyAlignment="1" applyProtection="1">
      <alignment vertical="center" wrapText="1"/>
    </xf>
    <xf numFmtId="0" fontId="14" fillId="0" borderId="1" xfId="0" applyFont="1" applyFill="1" applyBorder="1" applyAlignment="1">
      <alignment horizontal="center" vertical="center"/>
    </xf>
    <xf numFmtId="0" fontId="0" fillId="0" borderId="1" xfId="0" applyBorder="1">
      <alignment vertical="center"/>
    </xf>
    <xf numFmtId="0" fontId="15" fillId="0" borderId="1" xfId="0" applyFont="1" applyFill="1" applyBorder="1" applyAlignment="1">
      <alignment vertical="center" wrapText="1"/>
    </xf>
    <xf numFmtId="181" fontId="16" fillId="0" borderId="1" xfId="0" applyNumberFormat="1" applyFont="1" applyFill="1" applyBorder="1" applyAlignment="1" applyProtection="1">
      <alignment horizontal="center" vertical="center" wrapText="1"/>
    </xf>
    <xf numFmtId="181" fontId="16" fillId="2" borderId="1" xfId="0" applyNumberFormat="1" applyFont="1" applyFill="1" applyBorder="1" applyAlignment="1" applyProtection="1">
      <alignment horizontal="center" vertical="center" wrapText="1"/>
    </xf>
    <xf numFmtId="0" fontId="20" fillId="0" borderId="0" xfId="0" applyFont="1" applyFill="1">
      <alignment vertical="center"/>
    </xf>
    <xf numFmtId="179" fontId="20" fillId="0" borderId="0" xfId="0" applyNumberFormat="1" applyFont="1" applyFill="1">
      <alignment vertical="center"/>
    </xf>
    <xf numFmtId="0" fontId="11" fillId="0" borderId="0" xfId="0" applyFont="1" applyFill="1">
      <alignment vertical="center"/>
    </xf>
    <xf numFmtId="0" fontId="21" fillId="0" borderId="0" xfId="0" applyFont="1" applyFill="1" applyAlignment="1">
      <alignment horizontal="center" vertical="center"/>
    </xf>
    <xf numFmtId="0" fontId="20" fillId="0" borderId="0" xfId="0" applyFont="1" applyFill="1" applyAlignment="1">
      <alignment horizontal="center" vertical="center"/>
    </xf>
    <xf numFmtId="0" fontId="22" fillId="0" borderId="0" xfId="0" applyFont="1" applyFill="1" applyAlignment="1">
      <alignment horizontal="right" vertical="center"/>
    </xf>
    <xf numFmtId="0" fontId="23" fillId="0" borderId="1" xfId="0" applyNumberFormat="1" applyFont="1" applyFill="1" applyBorder="1" applyAlignment="1" applyProtection="1">
      <alignment horizontal="center" vertical="center" wrapText="1"/>
    </xf>
    <xf numFmtId="179" fontId="23"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vertical="center" wrapText="1"/>
    </xf>
    <xf numFmtId="179" fontId="10" fillId="0" borderId="1" xfId="0" applyNumberFormat="1" applyFont="1" applyFill="1" applyBorder="1" applyAlignment="1" applyProtection="1">
      <alignment horizontal="right" vertical="center" wrapText="1"/>
    </xf>
    <xf numFmtId="0" fontId="20" fillId="0" borderId="1" xfId="0" applyFont="1" applyFill="1" applyBorder="1">
      <alignment vertical="center"/>
    </xf>
    <xf numFmtId="179" fontId="20" fillId="0" borderId="1" xfId="0" applyNumberFormat="1" applyFont="1" applyFill="1" applyBorder="1">
      <alignment vertical="center"/>
    </xf>
    <xf numFmtId="49" fontId="23" fillId="0" borderId="1" xfId="0" applyNumberFormat="1" applyFont="1" applyFill="1" applyBorder="1" applyAlignment="1" applyProtection="1">
      <alignment horizontal="center" vertical="center" wrapText="1"/>
    </xf>
    <xf numFmtId="179" fontId="23" fillId="0" borderId="1" xfId="0" applyNumberFormat="1" applyFont="1" applyFill="1" applyBorder="1" applyAlignment="1" applyProtection="1">
      <alignment horizontal="right" vertical="center" wrapText="1"/>
    </xf>
    <xf numFmtId="179" fontId="10" fillId="0" borderId="1" xfId="9" applyNumberFormat="1" applyFont="1" applyFill="1" applyBorder="1" applyAlignment="1" applyProtection="1">
      <alignment horizontal="right" vertical="center" wrapText="1"/>
    </xf>
    <xf numFmtId="0" fontId="24" fillId="0" borderId="1" xfId="0" applyFont="1" applyFill="1" applyBorder="1" applyAlignment="1">
      <alignment horizontal="center" vertical="center"/>
    </xf>
    <xf numFmtId="179" fontId="24" fillId="0" borderId="1" xfId="0" applyNumberFormat="1" applyFont="1" applyFill="1" applyBorder="1">
      <alignment vertical="center"/>
    </xf>
    <xf numFmtId="0" fontId="25" fillId="0" borderId="0" xfId="61" applyFont="1">
      <alignment vertical="center"/>
    </xf>
    <xf numFmtId="0" fontId="0" fillId="0" borderId="0" xfId="61" applyFont="1">
      <alignment vertical="center"/>
    </xf>
    <xf numFmtId="0" fontId="0" fillId="0" borderId="0" xfId="61" applyFont="1" applyAlignment="1">
      <alignment horizontal="center" vertical="center" wrapText="1"/>
    </xf>
    <xf numFmtId="0" fontId="26" fillId="0" borderId="0" xfId="62" applyFont="1">
      <alignment vertical="center"/>
    </xf>
    <xf numFmtId="0" fontId="0" fillId="0" borderId="0" xfId="62">
      <alignment vertical="center"/>
    </xf>
    <xf numFmtId="0" fontId="0" fillId="0" borderId="0" xfId="62" applyAlignment="1">
      <alignment vertical="center" wrapText="1"/>
    </xf>
    <xf numFmtId="0" fontId="0" fillId="0" borderId="0" xfId="61" applyFill="1">
      <alignment vertical="center"/>
    </xf>
    <xf numFmtId="0" fontId="0" fillId="0" borderId="0" xfId="61" applyFill="1" applyAlignment="1">
      <alignment horizontal="right" vertical="center"/>
    </xf>
    <xf numFmtId="0" fontId="0" fillId="0" borderId="0" xfId="61" applyAlignment="1">
      <alignment horizontal="right" vertical="center"/>
    </xf>
    <xf numFmtId="0" fontId="0" fillId="0" borderId="0" xfId="61">
      <alignment vertical="center"/>
    </xf>
    <xf numFmtId="0" fontId="27" fillId="0" borderId="0" xfId="61" applyFont="1" applyFill="1">
      <alignment vertical="center"/>
    </xf>
    <xf numFmtId="0" fontId="28" fillId="0" borderId="0" xfId="54" applyFont="1" applyFill="1" applyAlignment="1" applyProtection="1">
      <alignment horizontal="center" vertical="center"/>
      <protection locked="0"/>
    </xf>
    <xf numFmtId="0" fontId="29" fillId="0" borderId="0" xfId="61" applyFont="1">
      <alignment vertical="center"/>
    </xf>
    <xf numFmtId="183" fontId="30" fillId="0" borderId="0" xfId="54" applyNumberFormat="1" applyFont="1" applyFill="1" applyAlignment="1" applyProtection="1">
      <alignment vertical="center" wrapText="1"/>
      <protection locked="0"/>
    </xf>
    <xf numFmtId="183" fontId="30" fillId="0" borderId="0" xfId="54" applyNumberFormat="1" applyFont="1" applyFill="1" applyAlignment="1" applyProtection="1">
      <alignment horizontal="right" vertical="center" wrapText="1"/>
      <protection locked="0"/>
    </xf>
    <xf numFmtId="177" fontId="3" fillId="0" borderId="8" xfId="54" applyNumberFormat="1" applyFont="1" applyFill="1" applyBorder="1" applyAlignment="1" applyProtection="1">
      <alignment horizontal="right" vertical="center" wrapText="1"/>
      <protection locked="0"/>
    </xf>
    <xf numFmtId="183" fontId="3" fillId="0" borderId="1" xfId="54" applyNumberFormat="1" applyFont="1" applyFill="1" applyBorder="1" applyAlignment="1" applyProtection="1">
      <alignment horizontal="center" vertical="center" wrapText="1"/>
      <protection locked="0"/>
    </xf>
    <xf numFmtId="0" fontId="6" fillId="0" borderId="1" xfId="65" applyFont="1" applyBorder="1" applyAlignment="1">
      <alignment horizontal="center" vertical="center" wrapText="1"/>
    </xf>
    <xf numFmtId="0" fontId="0" fillId="0" borderId="1" xfId="0" applyBorder="1" applyAlignment="1">
      <alignment horizontal="center" vertical="center" wrapText="1"/>
    </xf>
    <xf numFmtId="49" fontId="5" fillId="0" borderId="1" xfId="67" applyNumberFormat="1" applyFont="1" applyFill="1" applyBorder="1" applyAlignment="1" applyProtection="1">
      <alignment horizontal="left" vertical="center" wrapText="1"/>
      <protection locked="0"/>
    </xf>
    <xf numFmtId="179" fontId="5" fillId="0" borderId="1" xfId="54" applyNumberFormat="1" applyFont="1" applyFill="1" applyBorder="1" applyAlignment="1" applyProtection="1">
      <alignment horizontal="right" vertical="center" wrapText="1"/>
      <protection locked="0"/>
    </xf>
    <xf numFmtId="177" fontId="5" fillId="0" borderId="1" xfId="54" applyNumberFormat="1" applyFont="1" applyFill="1" applyBorder="1" applyAlignment="1" applyProtection="1">
      <alignment horizontal="center" vertical="center" wrapText="1"/>
      <protection locked="0"/>
    </xf>
    <xf numFmtId="0" fontId="0" fillId="0" borderId="0" xfId="62" applyFont="1">
      <alignment vertical="center"/>
    </xf>
    <xf numFmtId="49" fontId="3" fillId="0" borderId="1" xfId="67" applyNumberFormat="1" applyFont="1" applyFill="1" applyBorder="1" applyAlignment="1" applyProtection="1">
      <alignment horizontal="left" vertical="center" wrapText="1"/>
      <protection locked="0"/>
    </xf>
    <xf numFmtId="179" fontId="3" fillId="0" borderId="1" xfId="54" applyNumberFormat="1" applyFont="1" applyFill="1" applyBorder="1" applyAlignment="1" applyProtection="1">
      <alignment horizontal="right" vertical="center" wrapText="1"/>
      <protection locked="0"/>
    </xf>
    <xf numFmtId="177" fontId="3" fillId="0" borderId="1" xfId="54" applyNumberFormat="1" applyFont="1" applyFill="1" applyBorder="1" applyAlignment="1" applyProtection="1">
      <alignment horizontal="center" vertical="center" wrapText="1"/>
      <protection locked="0"/>
    </xf>
    <xf numFmtId="49" fontId="3" fillId="4" borderId="1" xfId="67" applyNumberFormat="1" applyFont="1" applyFill="1" applyBorder="1" applyAlignment="1" applyProtection="1">
      <alignment horizontal="left" vertical="center" wrapText="1"/>
      <protection locked="0"/>
    </xf>
    <xf numFmtId="3" fontId="22" fillId="0" borderId="1" xfId="47" applyNumberFormat="1" applyFont="1" applyFill="1" applyBorder="1" applyAlignment="1" applyProtection="1">
      <alignment horizontal="left" vertical="center"/>
    </xf>
    <xf numFmtId="3" fontId="22" fillId="0" borderId="1" xfId="47" applyNumberFormat="1" applyFont="1" applyFill="1" applyBorder="1" applyAlignment="1" applyProtection="1">
      <alignment horizontal="left" vertical="center" wrapText="1"/>
    </xf>
    <xf numFmtId="3" fontId="22" fillId="0" borderId="1" xfId="47" applyNumberFormat="1" applyFont="1" applyFill="1" applyBorder="1" applyAlignment="1" applyProtection="1">
      <alignment vertical="center"/>
    </xf>
    <xf numFmtId="179" fontId="3" fillId="0" borderId="1" xfId="67" applyNumberFormat="1" applyFont="1" applyFill="1" applyBorder="1" applyAlignment="1" applyProtection="1">
      <alignment horizontal="right" vertical="center" wrapText="1"/>
      <protection locked="0"/>
    </xf>
    <xf numFmtId="0" fontId="26" fillId="0" borderId="1" xfId="66" applyFont="1" applyFill="1" applyBorder="1" applyAlignment="1">
      <alignment vertical="center"/>
    </xf>
    <xf numFmtId="179" fontId="5" fillId="0" borderId="1" xfId="67" applyNumberFormat="1" applyFont="1" applyFill="1" applyBorder="1" applyAlignment="1" applyProtection="1">
      <alignment horizontal="right" vertical="center" wrapText="1"/>
      <protection locked="0"/>
    </xf>
    <xf numFmtId="0" fontId="0" fillId="0" borderId="1" xfId="66" applyFont="1" applyFill="1" applyBorder="1" applyAlignment="1">
      <alignment vertical="center"/>
    </xf>
    <xf numFmtId="0" fontId="26" fillId="0" borderId="1" xfId="62" applyFont="1" applyFill="1" applyBorder="1" applyAlignment="1">
      <alignment horizontal="center" vertical="center"/>
    </xf>
    <xf numFmtId="179" fontId="26" fillId="0" borderId="1" xfId="61" applyNumberFormat="1" applyFont="1" applyBorder="1">
      <alignment vertical="center"/>
    </xf>
    <xf numFmtId="0" fontId="31" fillId="0" borderId="0" xfId="62" applyFont="1">
      <alignment vertical="center"/>
    </xf>
    <xf numFmtId="0" fontId="25" fillId="0" borderId="0" xfId="60" applyFont="1" applyFill="1" applyAlignment="1">
      <alignment vertical="center"/>
    </xf>
    <xf numFmtId="0" fontId="26" fillId="0" borderId="0" xfId="60" applyFont="1" applyFill="1" applyAlignment="1">
      <alignment vertical="center"/>
    </xf>
    <xf numFmtId="0" fontId="0" fillId="0" borderId="0" xfId="60" applyFont="1" applyFill="1" applyAlignment="1">
      <alignment vertical="center"/>
    </xf>
    <xf numFmtId="0" fontId="0" fillId="0" borderId="0" xfId="60" applyFont="1" applyFill="1" applyAlignment="1">
      <alignment horizontal="right" vertical="center"/>
    </xf>
    <xf numFmtId="0" fontId="27" fillId="0" borderId="0" xfId="60" applyFont="1" applyFill="1" applyAlignment="1">
      <alignment vertical="center"/>
    </xf>
    <xf numFmtId="183" fontId="0" fillId="0" borderId="2" xfId="0" applyNumberFormat="1" applyFont="1" applyFill="1" applyBorder="1" applyAlignment="1">
      <alignment horizontal="center" vertical="center" wrapText="1"/>
    </xf>
    <xf numFmtId="0" fontId="0" fillId="0" borderId="1" xfId="60" applyFont="1" applyFill="1" applyBorder="1" applyAlignment="1">
      <alignment horizontal="center" vertical="center"/>
    </xf>
    <xf numFmtId="183" fontId="5" fillId="0" borderId="1" xfId="54" applyNumberFormat="1" applyFont="1" applyFill="1" applyBorder="1" applyAlignment="1" applyProtection="1">
      <alignment horizontal="left" vertical="center" wrapText="1"/>
      <protection locked="0"/>
    </xf>
    <xf numFmtId="182" fontId="5" fillId="0" borderId="1" xfId="67" applyNumberFormat="1" applyFont="1" applyFill="1" applyBorder="1" applyAlignment="1" applyProtection="1">
      <alignment horizontal="right" vertical="center" wrapText="1"/>
      <protection locked="0"/>
    </xf>
    <xf numFmtId="182" fontId="3" fillId="0" borderId="1" xfId="54" applyNumberFormat="1" applyFont="1" applyFill="1" applyBorder="1" applyAlignment="1" applyProtection="1">
      <alignment horizontal="right" vertical="center" wrapText="1"/>
      <protection locked="0"/>
    </xf>
    <xf numFmtId="182" fontId="0" fillId="0" borderId="1" xfId="62" applyNumberFormat="1" applyFont="1" applyBorder="1">
      <alignment vertical="center"/>
    </xf>
    <xf numFmtId="182" fontId="3" fillId="0" borderId="1" xfId="67" applyNumberFormat="1" applyFont="1" applyFill="1" applyBorder="1" applyAlignment="1" applyProtection="1">
      <alignment horizontal="right" vertical="center" wrapText="1"/>
      <protection locked="0"/>
    </xf>
    <xf numFmtId="182" fontId="0" fillId="0" borderId="1" xfId="62" applyNumberFormat="1" applyBorder="1">
      <alignment vertical="center"/>
    </xf>
    <xf numFmtId="0" fontId="26" fillId="0" borderId="1" xfId="62" applyFont="1" applyFill="1" applyBorder="1" applyAlignment="1">
      <alignment horizontal="left" vertical="center"/>
    </xf>
    <xf numFmtId="182" fontId="26" fillId="0" borderId="1" xfId="0" applyNumberFormat="1" applyFont="1" applyBorder="1">
      <alignment vertical="center"/>
    </xf>
    <xf numFmtId="179" fontId="0" fillId="0" borderId="0" xfId="60" applyNumberFormat="1" applyFont="1" applyFill="1" applyAlignment="1">
      <alignment horizontal="right" vertical="center"/>
    </xf>
    <xf numFmtId="0" fontId="22" fillId="0" borderId="0" xfId="0" applyFont="1" applyFill="1">
      <alignment vertical="center"/>
    </xf>
    <xf numFmtId="0" fontId="26" fillId="0" borderId="0" xfId="0" applyFont="1" applyFill="1" applyAlignment="1">
      <alignment vertical="center"/>
    </xf>
    <xf numFmtId="0" fontId="0" fillId="0" borderId="0" xfId="0" applyFont="1" applyFill="1" applyAlignment="1">
      <alignment horizontal="center" vertical="center"/>
    </xf>
    <xf numFmtId="0" fontId="22" fillId="0" borderId="0" xfId="0" applyFont="1" applyFill="1" applyAlignment="1">
      <alignment vertical="center" wrapText="1"/>
    </xf>
    <xf numFmtId="0" fontId="22"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lignment vertical="center"/>
    </xf>
    <xf numFmtId="0" fontId="0" fillId="0" borderId="0" xfId="0" applyFont="1" applyFill="1" applyAlignment="1">
      <alignment horizontal="centerContinuous" vertical="center"/>
    </xf>
    <xf numFmtId="0" fontId="7" fillId="0" borderId="0" xfId="0" applyFont="1" applyFill="1" applyAlignment="1">
      <alignment horizontal="centerContinuous" vertical="center" wrapText="1"/>
    </xf>
    <xf numFmtId="0" fontId="7" fillId="0" borderId="0" xfId="0" applyFont="1" applyFill="1" applyAlignment="1">
      <alignment horizontal="center" vertical="center" wrapText="1"/>
    </xf>
    <xf numFmtId="0" fontId="14" fillId="0" borderId="0" xfId="0" applyFont="1" applyFill="1" applyBorder="1" applyAlignment="1">
      <alignment wrapText="1"/>
    </xf>
    <xf numFmtId="0" fontId="15" fillId="0" borderId="0" xfId="0" applyFont="1" applyFill="1" applyAlignment="1">
      <alignment horizontal="right" vertical="center"/>
    </xf>
    <xf numFmtId="0" fontId="15" fillId="0" borderId="0" xfId="0" applyFont="1" applyFill="1" applyAlignment="1">
      <alignment horizontal="center" vertical="center"/>
    </xf>
    <xf numFmtId="0" fontId="26"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32" fillId="0" borderId="1" xfId="0" applyNumberFormat="1" applyFont="1" applyFill="1" applyBorder="1" applyAlignment="1">
      <alignment horizontal="left" vertical="center" wrapText="1"/>
    </xf>
    <xf numFmtId="49" fontId="8" fillId="0" borderId="1" xfId="0" applyNumberFormat="1" applyFont="1" applyFill="1" applyBorder="1" applyAlignment="1" applyProtection="1">
      <alignment horizontal="left" vertical="center"/>
    </xf>
    <xf numFmtId="0" fontId="32" fillId="0" borderId="1" xfId="0" applyNumberFormat="1" applyFont="1" applyFill="1" applyBorder="1" applyAlignment="1">
      <alignment horizontal="left" vertical="center"/>
    </xf>
    <xf numFmtId="0" fontId="32" fillId="0" borderId="1" xfId="0" applyFont="1" applyFill="1" applyBorder="1" applyAlignment="1">
      <alignment vertical="center" wrapText="1"/>
    </xf>
    <xf numFmtId="184" fontId="32" fillId="0" borderId="1" xfId="0" applyNumberFormat="1" applyFont="1" applyFill="1" applyBorder="1" applyAlignment="1">
      <alignment vertical="center" wrapText="1"/>
    </xf>
    <xf numFmtId="0" fontId="22" fillId="0" borderId="1" xfId="0" applyNumberFormat="1" applyFont="1" applyFill="1" applyBorder="1" applyAlignment="1">
      <alignment horizontal="center" vertical="center" wrapText="1"/>
    </xf>
    <xf numFmtId="0" fontId="22" fillId="0" borderId="1" xfId="0" applyFont="1" applyFill="1" applyBorder="1" applyAlignment="1">
      <alignment vertical="center" wrapText="1"/>
    </xf>
    <xf numFmtId="184" fontId="22" fillId="0" borderId="1" xfId="0" applyNumberFormat="1" applyFont="1" applyFill="1" applyBorder="1" applyAlignment="1">
      <alignment vertical="center" wrapText="1"/>
    </xf>
    <xf numFmtId="0" fontId="8" fillId="0" borderId="5" xfId="0" applyFont="1" applyFill="1" applyBorder="1" applyAlignment="1">
      <alignment horizontal="center" vertical="center" wrapText="1"/>
    </xf>
    <xf numFmtId="0" fontId="7" fillId="0" borderId="0" xfId="0" applyFont="1" applyFill="1" applyAlignment="1">
      <alignment horizontal="centerContinuous" vertical="center"/>
    </xf>
    <xf numFmtId="0" fontId="22" fillId="0" borderId="0" xfId="0" applyFont="1" applyFill="1" applyAlignment="1">
      <alignment horizontal="right"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0" fillId="0" borderId="1" xfId="0" applyFont="1" applyFill="1" applyBorder="1" applyAlignment="1">
      <alignment vertical="center" wrapText="1"/>
    </xf>
    <xf numFmtId="185" fontId="0" fillId="0" borderId="1" xfId="0" applyNumberFormat="1" applyFill="1" applyBorder="1">
      <alignment vertical="center"/>
    </xf>
    <xf numFmtId="0" fontId="33" fillId="0" borderId="1" xfId="0" applyFont="1" applyFill="1" applyBorder="1" applyAlignment="1">
      <alignment vertical="center" wrapText="1"/>
    </xf>
    <xf numFmtId="185" fontId="22" fillId="0" borderId="1" xfId="0" applyNumberFormat="1" applyFont="1" applyFill="1" applyBorder="1">
      <alignment vertical="center"/>
    </xf>
    <xf numFmtId="185" fontId="32" fillId="0" borderId="1" xfId="0" applyNumberFormat="1" applyFont="1" applyFill="1" applyBorder="1" applyAlignment="1">
      <alignment vertical="center" wrapText="1"/>
    </xf>
    <xf numFmtId="0" fontId="0" fillId="0" borderId="1" xfId="0" applyFont="1" applyFill="1" applyBorder="1" applyAlignment="1">
      <alignment vertical="center"/>
    </xf>
    <xf numFmtId="0" fontId="22" fillId="3" borderId="1" xfId="0" applyFont="1" applyFill="1" applyBorder="1" applyAlignment="1">
      <alignment vertical="center" wrapText="1"/>
    </xf>
    <xf numFmtId="184" fontId="22" fillId="3" borderId="1" xfId="0" applyNumberFormat="1" applyFont="1" applyFill="1" applyBorder="1" applyAlignment="1">
      <alignment vertical="center" wrapText="1"/>
    </xf>
    <xf numFmtId="0" fontId="34" fillId="0" borderId="1" xfId="0" applyFont="1" applyFill="1" applyBorder="1" applyAlignment="1">
      <alignment vertical="center" wrapText="1"/>
    </xf>
    <xf numFmtId="0" fontId="22" fillId="0" borderId="9" xfId="64" applyFont="1" applyFill="1" applyBorder="1" applyAlignment="1">
      <alignment horizontal="left" vertical="center" wrapText="1"/>
    </xf>
    <xf numFmtId="0" fontId="34" fillId="0" borderId="1" xfId="64" applyFont="1" applyFill="1" applyBorder="1" applyAlignment="1">
      <alignment horizontal="left" vertical="center" wrapText="1"/>
    </xf>
    <xf numFmtId="0" fontId="35" fillId="0" borderId="1" xfId="64" applyFont="1" applyFill="1" applyBorder="1" applyAlignment="1">
      <alignment horizontal="left" vertical="center" wrapText="1"/>
    </xf>
    <xf numFmtId="0" fontId="22" fillId="0" borderId="1" xfId="64" applyFont="1" applyFill="1" applyBorder="1" applyAlignment="1">
      <alignment horizontal="left" vertical="center" wrapText="1"/>
    </xf>
    <xf numFmtId="0" fontId="22" fillId="0" borderId="1" xfId="0" applyNumberFormat="1" applyFont="1" applyFill="1" applyBorder="1" applyAlignment="1">
      <alignment vertical="center" wrapText="1"/>
    </xf>
    <xf numFmtId="0" fontId="32" fillId="0" borderId="1" xfId="0" applyNumberFormat="1" applyFont="1" applyFill="1" applyBorder="1" applyAlignment="1">
      <alignment horizontal="center" vertical="center" wrapText="1"/>
    </xf>
    <xf numFmtId="0" fontId="32" fillId="0" borderId="1" xfId="0" applyNumberFormat="1" applyFont="1" applyFill="1" applyBorder="1" applyAlignment="1">
      <alignment vertical="center" wrapText="1"/>
    </xf>
    <xf numFmtId="0" fontId="6" fillId="0" borderId="1" xfId="0" applyNumberFormat="1" applyFont="1" applyFill="1" applyBorder="1" applyAlignment="1" applyProtection="1">
      <alignment vertical="center" wrapText="1"/>
    </xf>
    <xf numFmtId="0" fontId="32" fillId="0" borderId="1" xfId="0" applyNumberFormat="1" applyFont="1" applyFill="1" applyBorder="1" applyAlignment="1">
      <alignment vertical="center"/>
    </xf>
    <xf numFmtId="49" fontId="8" fillId="0" borderId="1" xfId="0" applyNumberFormat="1" applyFont="1" applyFill="1" applyBorder="1" applyAlignment="1" applyProtection="1">
      <alignment horizontal="left" vertical="center" wrapText="1"/>
    </xf>
    <xf numFmtId="0" fontId="0" fillId="0" borderId="1" xfId="0" applyFill="1" applyBorder="1" applyAlignment="1">
      <alignment vertical="center" wrapText="1"/>
    </xf>
    <xf numFmtId="0" fontId="26" fillId="0" borderId="1" xfId="0" applyFont="1" applyFill="1" applyBorder="1" applyAlignment="1">
      <alignment vertical="center" wrapText="1"/>
    </xf>
    <xf numFmtId="185" fontId="0" fillId="0" borderId="1" xfId="0" applyNumberFormat="1" applyFont="1" applyFill="1" applyBorder="1">
      <alignment vertical="center"/>
    </xf>
    <xf numFmtId="0" fontId="22" fillId="0" borderId="0" xfId="0" applyFont="1" applyFill="1" applyAlignment="1">
      <alignment horizontal="center" vertical="center" wrapText="1"/>
    </xf>
    <xf numFmtId="0" fontId="17" fillId="0" borderId="0" xfId="0" applyFont="1" applyFill="1" applyAlignment="1">
      <alignment vertical="center" wrapText="1"/>
    </xf>
    <xf numFmtId="184" fontId="36" fillId="0" borderId="0" xfId="0" applyNumberFormat="1" applyFont="1" applyFill="1" applyAlignment="1">
      <alignment vertical="center" wrapText="1"/>
    </xf>
    <xf numFmtId="0" fontId="36" fillId="0" borderId="0" xfId="0" applyFont="1" applyFill="1" applyAlignment="1">
      <alignment vertical="center" wrapText="1"/>
    </xf>
    <xf numFmtId="0" fontId="22" fillId="0" borderId="0" xfId="0" applyFont="1" applyFill="1" applyAlignment="1">
      <alignment horizontal="center" vertical="center"/>
    </xf>
    <xf numFmtId="0" fontId="17" fillId="0" borderId="0" xfId="0" applyFont="1" applyFill="1">
      <alignment vertical="center"/>
    </xf>
    <xf numFmtId="0" fontId="17" fillId="0" borderId="0" xfId="0" applyFont="1" applyFill="1" applyAlignment="1">
      <alignment horizontal="center" vertical="center"/>
    </xf>
    <xf numFmtId="0" fontId="7" fillId="0" borderId="0" xfId="0" applyNumberFormat="1" applyFont="1" applyFill="1" applyAlignment="1" applyProtection="1">
      <alignment horizontal="centerContinuous" vertical="center"/>
    </xf>
    <xf numFmtId="0" fontId="37" fillId="0" borderId="0" xfId="0" applyNumberFormat="1" applyFont="1" applyFill="1" applyAlignment="1" applyProtection="1">
      <alignment horizontal="centerContinuous" vertical="center"/>
    </xf>
    <xf numFmtId="0" fontId="38" fillId="0" borderId="0" xfId="0" applyNumberFormat="1" applyFont="1" applyFill="1" applyAlignment="1" applyProtection="1">
      <alignment horizontal="center" vertical="center"/>
    </xf>
    <xf numFmtId="0" fontId="6" fillId="0" borderId="0" xfId="0" applyNumberFormat="1" applyFont="1" applyFill="1" applyAlignment="1" applyProtection="1">
      <alignment horizontal="center" vertical="center" wrapText="1"/>
    </xf>
    <xf numFmtId="0" fontId="15" fillId="0" borderId="0" xfId="0" applyNumberFormat="1" applyFont="1" applyFill="1" applyAlignment="1" applyProtection="1">
      <alignment horizontal="center" vertical="center" wrapText="1"/>
    </xf>
    <xf numFmtId="0" fontId="17" fillId="0" borderId="2" xfId="0" applyFont="1" applyFill="1" applyBorder="1" applyAlignment="1">
      <alignment horizontal="center" vertical="center" wrapText="1"/>
    </xf>
    <xf numFmtId="0" fontId="15" fillId="0" borderId="10" xfId="0" applyNumberFormat="1" applyFont="1" applyFill="1" applyBorder="1" applyAlignment="1" applyProtection="1">
      <alignment horizontal="center" vertical="center" wrapText="1"/>
    </xf>
    <xf numFmtId="0" fontId="15" fillId="0" borderId="5" xfId="0" applyNumberFormat="1" applyFont="1" applyFill="1" applyBorder="1" applyAlignment="1" applyProtection="1">
      <alignment horizontal="center" vertical="center" wrapText="1"/>
    </xf>
    <xf numFmtId="0" fontId="17" fillId="0" borderId="11" xfId="0" applyFont="1" applyFill="1" applyBorder="1" applyAlignment="1">
      <alignment horizontal="center" vertical="center" wrapText="1"/>
    </xf>
    <xf numFmtId="0" fontId="15" fillId="0" borderId="1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15" fillId="0" borderId="11" xfId="0" applyNumberFormat="1" applyFont="1" applyFill="1" applyBorder="1" applyAlignment="1" applyProtection="1">
      <alignment horizontal="center" vertical="center" wrapText="1"/>
    </xf>
    <xf numFmtId="0" fontId="17" fillId="0" borderId="6" xfId="0" applyFont="1" applyFill="1" applyBorder="1" applyAlignment="1">
      <alignment horizontal="center" vertical="center" wrapText="1"/>
    </xf>
    <xf numFmtId="0" fontId="15" fillId="0" borderId="13" xfId="0" applyNumberFormat="1" applyFont="1" applyFill="1" applyBorder="1" applyAlignment="1" applyProtection="1">
      <alignment horizontal="center" vertical="center" wrapText="1"/>
    </xf>
    <xf numFmtId="184" fontId="17" fillId="0" borderId="1" xfId="0" applyNumberFormat="1" applyFont="1" applyFill="1" applyBorder="1" applyAlignment="1">
      <alignment horizontal="center" vertical="center" wrapText="1"/>
    </xf>
    <xf numFmtId="184" fontId="16" fillId="0" borderId="1" xfId="0" applyNumberFormat="1" applyFont="1" applyFill="1" applyBorder="1" applyAlignment="1" applyProtection="1">
      <alignment horizontal="center" vertical="center" wrapText="1"/>
    </xf>
    <xf numFmtId="184" fontId="16" fillId="0" borderId="5" xfId="0" applyNumberFormat="1" applyFont="1" applyFill="1" applyBorder="1" applyAlignment="1" applyProtection="1">
      <alignment horizontal="center" vertical="center" wrapText="1"/>
    </xf>
    <xf numFmtId="184" fontId="36" fillId="0" borderId="1" xfId="0" applyNumberFormat="1" applyFont="1" applyFill="1" applyBorder="1" applyAlignment="1">
      <alignment vertical="center" wrapText="1"/>
    </xf>
    <xf numFmtId="184" fontId="16" fillId="0" borderId="1" xfId="0" applyNumberFormat="1" applyFont="1" applyFill="1" applyBorder="1" applyAlignment="1" applyProtection="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6" fillId="0" borderId="0"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6" fillId="0" borderId="11" xfId="0" applyNumberFormat="1" applyFont="1" applyFill="1" applyBorder="1" applyAlignment="1" applyProtection="1">
      <alignment horizontal="center" vertical="center" wrapText="1"/>
    </xf>
    <xf numFmtId="0" fontId="15" fillId="0" borderId="3" xfId="0" applyNumberFormat="1" applyFont="1" applyFill="1" applyBorder="1" applyAlignment="1" applyProtection="1">
      <alignment horizontal="center" vertical="center" wrapText="1"/>
    </xf>
    <xf numFmtId="0" fontId="16" fillId="0" borderId="6" xfId="0" applyNumberFormat="1" applyFont="1" applyFill="1" applyBorder="1" applyAlignment="1" applyProtection="1">
      <alignment horizontal="center" vertical="center" wrapText="1"/>
    </xf>
    <xf numFmtId="0" fontId="32" fillId="0" borderId="3"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15" fillId="0" borderId="4" xfId="0" applyNumberFormat="1"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184" fontId="16" fillId="0" borderId="1" xfId="0" applyNumberFormat="1" applyFont="1" applyFill="1" applyBorder="1" applyAlignment="1" applyProtection="1">
      <alignment vertical="center" wrapText="1"/>
    </xf>
    <xf numFmtId="176" fontId="17" fillId="0" borderId="1" xfId="0" applyNumberFormat="1" applyFont="1" applyFill="1" applyBorder="1" applyAlignment="1">
      <alignment vertical="center" wrapText="1"/>
    </xf>
    <xf numFmtId="184" fontId="17" fillId="0" borderId="1" xfId="0" applyNumberFormat="1" applyFont="1" applyFill="1" applyBorder="1" applyAlignment="1">
      <alignment vertical="center" wrapText="1"/>
    </xf>
    <xf numFmtId="0" fontId="17" fillId="0" borderId="0" xfId="0" applyFont="1" applyFill="1" applyAlignment="1">
      <alignment horizontal="center" vertical="center" wrapText="1"/>
    </xf>
    <xf numFmtId="0" fontId="15" fillId="0" borderId="14" xfId="0" applyFont="1" applyFill="1" applyBorder="1" applyAlignment="1">
      <alignment horizontal="center" vertical="center" wrapText="1"/>
    </xf>
    <xf numFmtId="0" fontId="15" fillId="0" borderId="15" xfId="0" applyFont="1" applyFill="1" applyBorder="1" applyAlignment="1">
      <alignment horizontal="center" vertical="center" wrapText="1"/>
    </xf>
    <xf numFmtId="186" fontId="36" fillId="0" borderId="1" xfId="0" applyNumberFormat="1" applyFont="1" applyFill="1" applyBorder="1" applyAlignment="1">
      <alignment vertical="center" wrapText="1"/>
    </xf>
    <xf numFmtId="0" fontId="18" fillId="0" borderId="16"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185" fontId="36" fillId="0" borderId="1" xfId="0" applyNumberFormat="1" applyFont="1" applyFill="1" applyBorder="1" applyAlignment="1">
      <alignment vertical="center" wrapText="1"/>
    </xf>
    <xf numFmtId="176" fontId="36" fillId="0" borderId="1" xfId="0" applyNumberFormat="1" applyFont="1" applyFill="1" applyBorder="1" applyAlignment="1">
      <alignment vertical="center" wrapText="1"/>
    </xf>
    <xf numFmtId="0" fontId="36" fillId="0" borderId="1" xfId="0" applyFont="1" applyFill="1" applyBorder="1" applyAlignment="1">
      <alignment vertical="center" wrapText="1"/>
    </xf>
    <xf numFmtId="0" fontId="17" fillId="0" borderId="16" xfId="0" applyFont="1" applyFill="1" applyBorder="1" applyAlignment="1">
      <alignment vertical="center" wrapText="1"/>
    </xf>
    <xf numFmtId="0" fontId="26" fillId="5" borderId="0" xfId="0" applyFont="1" applyFill="1">
      <alignment vertical="center"/>
    </xf>
    <xf numFmtId="0" fontId="0" fillId="0" borderId="0" xfId="0" applyAlignment="1">
      <alignment vertical="center" wrapText="1"/>
    </xf>
    <xf numFmtId="0" fontId="38" fillId="0" borderId="0" xfId="0" applyNumberFormat="1" applyFont="1" applyFill="1" applyBorder="1" applyAlignment="1" applyProtection="1">
      <alignment horizontal="centerContinuous" vertical="center" wrapText="1"/>
    </xf>
    <xf numFmtId="0" fontId="38" fillId="0" borderId="0" xfId="0" applyNumberFormat="1" applyFont="1" applyFill="1" applyBorder="1" applyAlignment="1" applyProtection="1">
      <alignment horizontal="centerContinuous" vertical="center"/>
    </xf>
    <xf numFmtId="0" fontId="14" fillId="0" borderId="0" xfId="0" applyFont="1" applyFill="1" applyBorder="1" applyAlignment="1">
      <alignment vertical="center"/>
    </xf>
    <xf numFmtId="0" fontId="8" fillId="0" borderId="3" xfId="0" applyNumberFormat="1" applyFont="1" applyFill="1" applyBorder="1" applyAlignment="1" applyProtection="1">
      <alignment horizontal="center" vertical="center"/>
    </xf>
    <xf numFmtId="0" fontId="8" fillId="0" borderId="4" xfId="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center" vertical="center"/>
    </xf>
    <xf numFmtId="0" fontId="16" fillId="5" borderId="1" xfId="0" applyNumberFormat="1" applyFont="1" applyFill="1" applyBorder="1" applyAlignment="1" applyProtection="1">
      <alignment horizontal="center" vertical="center" wrapText="1"/>
    </xf>
    <xf numFmtId="49" fontId="13" fillId="5" borderId="5" xfId="0" applyNumberFormat="1" applyFont="1" applyFill="1" applyBorder="1" applyAlignment="1" applyProtection="1">
      <alignment horizontal="center" vertical="center" wrapText="1"/>
    </xf>
    <xf numFmtId="184" fontId="16" fillId="5" borderId="1" xfId="0" applyNumberFormat="1" applyFont="1" applyFill="1" applyBorder="1" applyAlignment="1" applyProtection="1">
      <alignment horizontal="center" vertical="center"/>
    </xf>
    <xf numFmtId="49" fontId="13" fillId="5" borderId="5" xfId="0" applyNumberFormat="1" applyFont="1" applyFill="1" applyBorder="1" applyAlignment="1" applyProtection="1">
      <alignment horizontal="left" vertical="center" wrapText="1"/>
    </xf>
    <xf numFmtId="49" fontId="13" fillId="5" borderId="1" xfId="0" applyNumberFormat="1" applyFont="1" applyFill="1" applyBorder="1" applyAlignment="1" applyProtection="1">
      <alignment horizontal="left" vertical="center" wrapText="1"/>
    </xf>
    <xf numFmtId="0" fontId="13" fillId="5" borderId="5" xfId="0" applyNumberFormat="1" applyFont="1" applyFill="1" applyBorder="1" applyAlignment="1" applyProtection="1">
      <alignment horizontal="center" vertical="center" wrapText="1"/>
    </xf>
    <xf numFmtId="184" fontId="15" fillId="0" borderId="1" xfId="0" applyNumberFormat="1" applyFont="1" applyFill="1" applyBorder="1" applyAlignment="1" applyProtection="1">
      <alignment horizontal="right" vertical="center" wrapText="1"/>
    </xf>
    <xf numFmtId="0" fontId="39" fillId="5" borderId="16" xfId="0" applyFont="1" applyFill="1" applyBorder="1" applyAlignment="1">
      <alignment horizontal="left" vertical="center" wrapText="1"/>
    </xf>
    <xf numFmtId="0" fontId="18" fillId="5" borderId="16" xfId="0" applyFont="1" applyFill="1" applyBorder="1" applyAlignment="1">
      <alignment horizontal="left" vertical="center" wrapText="1"/>
    </xf>
    <xf numFmtId="0" fontId="39" fillId="5" borderId="1" xfId="0" applyFont="1" applyFill="1" applyBorder="1" applyAlignment="1">
      <alignment horizontal="left" vertical="center" wrapText="1"/>
    </xf>
    <xf numFmtId="0" fontId="39" fillId="5" borderId="1" xfId="0" applyFont="1" applyFill="1" applyBorder="1" applyAlignment="1">
      <alignment horizontal="center" vertical="center" wrapText="1"/>
    </xf>
    <xf numFmtId="184" fontId="16" fillId="5" borderId="1"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xf>
    <xf numFmtId="0" fontId="8" fillId="6" borderId="3" xfId="0" applyNumberFormat="1" applyFont="1" applyFill="1" applyBorder="1" applyAlignment="1" applyProtection="1">
      <alignment horizontal="center" vertical="center"/>
    </xf>
    <xf numFmtId="0" fontId="8" fillId="6" borderId="4"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6" fillId="0" borderId="4" xfId="0" applyNumberFormat="1" applyFont="1" applyFill="1" applyBorder="1" applyAlignment="1" applyProtection="1">
      <alignment horizontal="center" vertical="center"/>
    </xf>
    <xf numFmtId="0" fontId="15" fillId="0" borderId="1" xfId="0" applyFont="1" applyFill="1" applyBorder="1" applyAlignment="1">
      <alignment horizontal="center" vertical="center"/>
    </xf>
    <xf numFmtId="0" fontId="8" fillId="6" borderId="5"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xf>
    <xf numFmtId="0" fontId="14" fillId="0" borderId="0" xfId="0" applyFont="1" applyFill="1" applyBorder="1" applyAlignment="1">
      <alignment horizontal="right" wrapText="1"/>
    </xf>
    <xf numFmtId="176" fontId="16" fillId="5" borderId="1" xfId="0" applyNumberFormat="1" applyFont="1" applyFill="1" applyBorder="1" applyAlignment="1" applyProtection="1">
      <alignment horizontal="left" vertical="center" wrapText="1"/>
    </xf>
    <xf numFmtId="4" fontId="15" fillId="0" borderId="1" xfId="0" applyNumberFormat="1" applyFont="1" applyFill="1" applyBorder="1" applyAlignment="1" applyProtection="1">
      <alignment horizontal="left" vertical="center" wrapText="1"/>
    </xf>
    <xf numFmtId="0" fontId="14" fillId="0" borderId="0" xfId="0" applyFont="1" applyFill="1" applyBorder="1" applyAlignment="1">
      <alignment horizontal="right"/>
    </xf>
    <xf numFmtId="0" fontId="6" fillId="0" borderId="1" xfId="0" applyNumberFormat="1" applyFont="1" applyFill="1" applyBorder="1" applyAlignment="1" applyProtection="1">
      <alignment horizontal="center" vertical="center"/>
    </xf>
    <xf numFmtId="0" fontId="16" fillId="5" borderId="1" xfId="0" applyNumberFormat="1" applyFont="1" applyFill="1" applyBorder="1" applyAlignment="1" applyProtection="1">
      <alignment horizontal="center" vertical="center"/>
    </xf>
    <xf numFmtId="49" fontId="16" fillId="5" borderId="1" xfId="0" applyNumberFormat="1" applyFont="1" applyFill="1" applyBorder="1" applyAlignment="1" applyProtection="1">
      <alignment horizontal="left" vertical="center" wrapText="1"/>
    </xf>
    <xf numFmtId="0" fontId="18" fillId="0" borderId="17" xfId="0" applyFont="1" applyFill="1" applyBorder="1" applyAlignment="1">
      <alignment horizontal="left" vertical="center" wrapText="1"/>
    </xf>
    <xf numFmtId="184" fontId="40" fillId="0" borderId="1" xfId="0" applyNumberFormat="1" applyFont="1" applyBorder="1">
      <alignment vertical="center"/>
    </xf>
    <xf numFmtId="0" fontId="40" fillId="0" borderId="1" xfId="0" applyFont="1" applyBorder="1" applyAlignment="1">
      <alignment horizontal="left" vertical="center" wrapText="1"/>
    </xf>
    <xf numFmtId="0" fontId="40" fillId="0" borderId="1" xfId="0" applyFont="1" applyBorder="1">
      <alignment vertical="center"/>
    </xf>
    <xf numFmtId="0" fontId="17" fillId="0" borderId="1" xfId="0" applyFont="1" applyBorder="1" applyAlignment="1">
      <alignment vertical="center" wrapText="1"/>
    </xf>
    <xf numFmtId="0" fontId="0" fillId="0" borderId="0" xfId="0" applyAlignment="1">
      <alignment horizontal="center" vertical="center"/>
    </xf>
    <xf numFmtId="0" fontId="38" fillId="0" borderId="0" xfId="0" applyNumberFormat="1" applyFont="1" applyFill="1" applyAlignment="1" applyProtection="1">
      <alignment horizontal="centerContinuous" vertical="center" wrapText="1"/>
    </xf>
    <xf numFmtId="0" fontId="15" fillId="0" borderId="0" xfId="0"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xf>
    <xf numFmtId="0" fontId="16" fillId="5" borderId="5" xfId="0" applyNumberFormat="1" applyFont="1" applyFill="1" applyBorder="1" applyAlignment="1" applyProtection="1">
      <alignment horizontal="center" vertical="center" wrapText="1"/>
    </xf>
    <xf numFmtId="49" fontId="13" fillId="5" borderId="5" xfId="0" applyNumberFormat="1" applyFont="1" applyFill="1" applyBorder="1" applyAlignment="1" applyProtection="1">
      <alignment horizontal="center" vertical="center"/>
    </xf>
    <xf numFmtId="184" fontId="41" fillId="5" borderId="1" xfId="0" applyNumberFormat="1" applyFont="1" applyFill="1" applyBorder="1">
      <alignment vertical="center"/>
    </xf>
    <xf numFmtId="49" fontId="13" fillId="5" borderId="1" xfId="0" applyNumberFormat="1" applyFont="1" applyFill="1" applyBorder="1" applyAlignment="1" applyProtection="1">
      <alignment horizontal="center" vertical="center" wrapText="1"/>
    </xf>
    <xf numFmtId="0" fontId="13" fillId="5" borderId="5" xfId="0" applyNumberFormat="1" applyFont="1" applyFill="1" applyBorder="1" applyAlignment="1" applyProtection="1">
      <alignment horizontal="center" vertical="center"/>
    </xf>
    <xf numFmtId="0" fontId="16" fillId="6" borderId="1" xfId="0" applyNumberFormat="1" applyFont="1" applyFill="1" applyBorder="1" applyAlignment="1" applyProtection="1">
      <alignment horizontal="center" vertical="center"/>
    </xf>
    <xf numFmtId="0" fontId="41" fillId="5" borderId="1" xfId="0" applyFont="1" applyFill="1" applyBorder="1">
      <alignment vertical="center"/>
    </xf>
    <xf numFmtId="0" fontId="40" fillId="0" borderId="1" xfId="0" applyFont="1" applyBorder="1" applyAlignment="1">
      <alignment vertical="center" wrapText="1"/>
    </xf>
    <xf numFmtId="176" fontId="41" fillId="5" borderId="1" xfId="0" applyNumberFormat="1" applyFont="1" applyFill="1" applyBorder="1">
      <alignment vertical="center"/>
    </xf>
    <xf numFmtId="176" fontId="40" fillId="0" borderId="1" xfId="0" applyNumberFormat="1" applyFont="1" applyBorder="1">
      <alignment vertical="center"/>
    </xf>
    <xf numFmtId="176" fontId="40" fillId="0" borderId="1" xfId="0" applyNumberFormat="1" applyFont="1" applyFill="1" applyBorder="1">
      <alignment vertical="center"/>
    </xf>
    <xf numFmtId="0" fontId="0" fillId="0" borderId="0" xfId="0" applyFill="1" applyAlignment="1">
      <alignment horizontal="center" vertical="center" wrapText="1"/>
    </xf>
    <xf numFmtId="0" fontId="0" fillId="5" borderId="0" xfId="0" applyFont="1" applyFill="1">
      <alignment vertical="center"/>
    </xf>
    <xf numFmtId="0" fontId="42" fillId="0" borderId="1" xfId="0" applyFont="1" applyFill="1" applyBorder="1" applyAlignment="1">
      <alignment horizontal="left" vertical="center" wrapText="1"/>
    </xf>
    <xf numFmtId="176" fontId="17" fillId="0" borderId="1" xfId="0" applyNumberFormat="1" applyFont="1" applyFill="1" applyBorder="1">
      <alignment vertical="center"/>
    </xf>
    <xf numFmtId="176" fontId="43" fillId="0" borderId="1" xfId="0" applyNumberFormat="1" applyFont="1" applyFill="1" applyBorder="1">
      <alignment vertical="center"/>
    </xf>
    <xf numFmtId="0" fontId="41" fillId="5" borderId="1" xfId="0" applyFont="1" applyFill="1" applyBorder="1" applyAlignment="1">
      <alignment vertical="center" wrapText="1"/>
    </xf>
    <xf numFmtId="0" fontId="0" fillId="5" borderId="0" xfId="0" applyFill="1">
      <alignment vertical="center"/>
    </xf>
    <xf numFmtId="176" fontId="43" fillId="0" borderId="1" xfId="0" applyNumberFormat="1" applyFont="1" applyBorder="1">
      <alignment vertical="center"/>
    </xf>
    <xf numFmtId="0" fontId="40" fillId="4" borderId="1" xfId="0" applyFont="1" applyFill="1" applyBorder="1" applyAlignment="1">
      <alignment vertical="center" wrapText="1"/>
    </xf>
    <xf numFmtId="0" fontId="40" fillId="0" borderId="1" xfId="0" applyFont="1" applyFill="1" applyBorder="1" applyAlignment="1">
      <alignment vertical="center" wrapText="1"/>
    </xf>
    <xf numFmtId="0" fontId="43" fillId="0" borderId="1" xfId="0" applyFont="1" applyBorder="1" applyAlignment="1">
      <alignment vertical="center" wrapText="1"/>
    </xf>
    <xf numFmtId="0" fontId="22" fillId="0" borderId="0" xfId="0" applyFont="1" applyAlignment="1">
      <alignment vertical="center" wrapText="1"/>
    </xf>
    <xf numFmtId="179" fontId="15" fillId="0" borderId="0" xfId="0" applyNumberFormat="1" applyFont="1" applyFill="1" applyBorder="1" applyAlignment="1">
      <alignment horizontal="center" vertical="center"/>
    </xf>
    <xf numFmtId="0" fontId="15" fillId="0" borderId="0" xfId="0" applyNumberFormat="1" applyFont="1" applyFill="1" applyBorder="1" applyAlignment="1">
      <alignment horizontal="center" vertical="center"/>
    </xf>
    <xf numFmtId="0" fontId="16" fillId="6" borderId="14" xfId="0" applyNumberFormat="1" applyFont="1" applyFill="1" applyBorder="1" applyAlignment="1" applyProtection="1">
      <alignment horizontal="center" vertical="center"/>
    </xf>
    <xf numFmtId="0" fontId="16" fillId="6" borderId="7" xfId="0" applyNumberFormat="1" applyFont="1" applyFill="1" applyBorder="1" applyAlignment="1" applyProtection="1">
      <alignment horizontal="center" vertical="center"/>
    </xf>
    <xf numFmtId="0" fontId="16" fillId="6" borderId="10" xfId="0" applyNumberFormat="1" applyFont="1" applyFill="1" applyBorder="1" applyAlignment="1" applyProtection="1">
      <alignment horizontal="center" vertical="center"/>
    </xf>
    <xf numFmtId="0" fontId="16" fillId="0" borderId="7" xfId="0" applyNumberFormat="1" applyFont="1" applyFill="1" applyBorder="1" applyAlignment="1" applyProtection="1">
      <alignment horizontal="center" vertical="center"/>
    </xf>
    <xf numFmtId="0" fontId="16" fillId="0" borderId="10" xfId="0" applyNumberFormat="1" applyFont="1" applyFill="1" applyBorder="1" applyAlignment="1" applyProtection="1">
      <alignment horizontal="center" vertical="center"/>
    </xf>
    <xf numFmtId="176" fontId="17" fillId="0" borderId="1" xfId="0" applyNumberFormat="1" applyFont="1" applyBorder="1">
      <alignment vertical="center"/>
    </xf>
    <xf numFmtId="0" fontId="8" fillId="0" borderId="2" xfId="0" applyNumberFormat="1" applyFont="1" applyFill="1" applyBorder="1" applyAlignment="1" applyProtection="1">
      <alignment horizontal="center" vertical="center" wrapText="1"/>
    </xf>
    <xf numFmtId="0" fontId="26" fillId="0" borderId="1" xfId="0" applyFont="1" applyBorder="1" applyAlignment="1">
      <alignment horizontal="center" vertical="center"/>
    </xf>
    <xf numFmtId="0" fontId="0" fillId="0" borderId="1" xfId="0" applyFont="1" applyBorder="1" applyAlignment="1">
      <alignment horizontal="center" vertical="center"/>
    </xf>
    <xf numFmtId="0" fontId="8" fillId="0" borderId="11"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xf>
    <xf numFmtId="179" fontId="8" fillId="0" borderId="5"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wrapText="1"/>
    </xf>
    <xf numFmtId="179" fontId="26" fillId="0" borderId="1" xfId="0" applyNumberFormat="1" applyFont="1" applyFill="1" applyBorder="1" applyAlignment="1">
      <alignment horizontal="center" vertical="center"/>
    </xf>
    <xf numFmtId="179" fontId="0" fillId="0" borderId="1" xfId="0" applyNumberFormat="1" applyFont="1" applyFill="1" applyBorder="1">
      <alignment vertical="center"/>
    </xf>
    <xf numFmtId="0" fontId="44" fillId="0" borderId="1" xfId="0"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6" xfId="0" applyNumberFormat="1" applyFont="1" applyFill="1" applyBorder="1" applyAlignment="1" applyProtection="1">
      <alignment horizontal="center" vertical="center" wrapText="1"/>
    </xf>
    <xf numFmtId="185" fontId="41" fillId="5" borderId="1" xfId="0" applyNumberFormat="1" applyFont="1" applyFill="1" applyBorder="1">
      <alignment vertical="center"/>
    </xf>
    <xf numFmtId="185" fontId="40" fillId="0" borderId="1" xfId="0" applyNumberFormat="1" applyFont="1" applyBorder="1">
      <alignment vertical="center"/>
    </xf>
    <xf numFmtId="176" fontId="14" fillId="0" borderId="0" xfId="0" applyNumberFormat="1" applyFont="1" applyFill="1" applyBorder="1" applyAlignment="1">
      <alignment wrapText="1"/>
    </xf>
    <xf numFmtId="185" fontId="40" fillId="0" borderId="1" xfId="0" applyNumberFormat="1" applyFont="1" applyFill="1" applyBorder="1">
      <alignment vertical="center"/>
    </xf>
    <xf numFmtId="0" fontId="14" fillId="0" borderId="0" xfId="0" applyFont="1" applyFill="1" applyBorder="1" applyAlignment="1">
      <alignment horizontal="center" wrapText="1"/>
    </xf>
    <xf numFmtId="0" fontId="0" fillId="0" borderId="0" xfId="0" applyFont="1" applyFill="1" applyAlignment="1">
      <alignment horizontal="center" vertical="center" wrapText="1"/>
    </xf>
    <xf numFmtId="0" fontId="0" fillId="5" borderId="0" xfId="0" applyFont="1" applyFill="1" applyAlignment="1">
      <alignment horizontal="center" vertical="center"/>
    </xf>
    <xf numFmtId="179" fontId="26" fillId="5" borderId="0" xfId="0" applyNumberFormat="1" applyFont="1" applyFill="1">
      <alignment vertical="center"/>
    </xf>
    <xf numFmtId="185" fontId="43" fillId="0" borderId="1" xfId="0" applyNumberFormat="1" applyFont="1" applyBorder="1">
      <alignment vertical="center"/>
    </xf>
    <xf numFmtId="185" fontId="43" fillId="0" borderId="1" xfId="0" applyNumberFormat="1" applyFont="1" applyFill="1" applyBorder="1">
      <alignment vertical="center"/>
    </xf>
    <xf numFmtId="185" fontId="17" fillId="0" borderId="1" xfId="0" applyNumberFormat="1" applyFont="1" applyFill="1" applyBorder="1">
      <alignment vertical="center"/>
    </xf>
    <xf numFmtId="185" fontId="17" fillId="0" borderId="1" xfId="0" applyNumberFormat="1" applyFont="1" applyBorder="1">
      <alignment vertical="center"/>
    </xf>
    <xf numFmtId="185" fontId="40" fillId="7" borderId="1" xfId="0" applyNumberFormat="1" applyFont="1" applyFill="1" applyBorder="1">
      <alignment vertical="center"/>
    </xf>
    <xf numFmtId="185" fontId="17" fillId="8" borderId="1" xfId="0" applyNumberFormat="1" applyFont="1" applyFill="1" applyBorder="1">
      <alignment vertical="center"/>
    </xf>
    <xf numFmtId="187" fontId="6" fillId="0" borderId="1" xfId="0" applyNumberFormat="1" applyFont="1" applyFill="1" applyBorder="1" applyAlignment="1" applyProtection="1">
      <alignment horizontal="center" vertical="center" wrapText="1"/>
    </xf>
    <xf numFmtId="179" fontId="8" fillId="0" borderId="1" xfId="0" applyNumberFormat="1" applyFont="1" applyFill="1" applyBorder="1" applyAlignment="1" applyProtection="1">
      <alignment vertical="center"/>
    </xf>
    <xf numFmtId="187" fontId="6" fillId="0" borderId="1" xfId="0" applyNumberFormat="1" applyFont="1" applyFill="1" applyBorder="1" applyAlignment="1">
      <alignment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3" xfId="0" applyFont="1" applyFill="1" applyBorder="1" applyAlignment="1">
      <alignment horizontal="center" vertical="center"/>
    </xf>
    <xf numFmtId="0" fontId="14" fillId="0" borderId="1" xfId="0" applyFont="1" applyFill="1" applyBorder="1" applyAlignment="1">
      <alignment vertical="center"/>
    </xf>
    <xf numFmtId="187" fontId="8" fillId="0" borderId="1" xfId="0" applyNumberFormat="1" applyFont="1" applyFill="1" applyBorder="1" applyAlignment="1">
      <alignment vertical="center"/>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79" fontId="22" fillId="0" borderId="0" xfId="0" applyNumberFormat="1" applyFont="1" applyFill="1">
      <alignment vertical="center"/>
    </xf>
    <xf numFmtId="0" fontId="0" fillId="0" borderId="1" xfId="0" applyBorder="1" applyAlignment="1">
      <alignment horizontal="center" vertical="center"/>
    </xf>
    <xf numFmtId="179" fontId="6" fillId="0" borderId="1" xfId="0" applyNumberFormat="1" applyFont="1" applyFill="1" applyBorder="1" applyAlignment="1">
      <alignment vertical="center"/>
    </xf>
    <xf numFmtId="179" fontId="8" fillId="0" borderId="1" xfId="0" applyNumberFormat="1" applyFont="1" applyFill="1" applyBorder="1" applyAlignment="1">
      <alignment vertical="center"/>
    </xf>
    <xf numFmtId="187" fontId="6" fillId="0" borderId="0" xfId="0" applyNumberFormat="1" applyFont="1" applyFill="1" applyBorder="1" applyAlignment="1">
      <alignment vertical="center"/>
    </xf>
    <xf numFmtId="179" fontId="0" fillId="0" borderId="0" xfId="0" applyNumberFormat="1">
      <alignment vertical="center"/>
    </xf>
    <xf numFmtId="0" fontId="11" fillId="0" borderId="0" xfId="65" applyFont="1">
      <alignment vertical="center"/>
    </xf>
    <xf numFmtId="0" fontId="45" fillId="0" borderId="0" xfId="65" applyFont="1">
      <alignment vertical="center"/>
    </xf>
    <xf numFmtId="0" fontId="21" fillId="0" borderId="0" xfId="65" applyFont="1" applyAlignment="1">
      <alignment horizontal="center" vertical="center"/>
    </xf>
    <xf numFmtId="0" fontId="6" fillId="0" borderId="0" xfId="65" applyFont="1" applyAlignment="1">
      <alignment vertical="center"/>
    </xf>
    <xf numFmtId="176" fontId="6" fillId="0" borderId="0" xfId="65" applyNumberFormat="1" applyFont="1">
      <alignment vertical="center"/>
    </xf>
    <xf numFmtId="176" fontId="6" fillId="0" borderId="0" xfId="65" applyNumberFormat="1" applyFont="1" applyAlignment="1">
      <alignment horizontal="right" vertical="center"/>
    </xf>
    <xf numFmtId="177" fontId="6" fillId="0" borderId="1" xfId="65" applyNumberFormat="1" applyFont="1" applyBorder="1" applyAlignment="1" applyProtection="1">
      <alignment horizontal="center" vertical="center"/>
      <protection locked="0"/>
    </xf>
    <xf numFmtId="0" fontId="0" fillId="0" borderId="0" xfId="0" applyAlignment="1">
      <alignment horizontal="center" vertical="center" wrapText="1"/>
    </xf>
    <xf numFmtId="179" fontId="8" fillId="9" borderId="18" xfId="52" applyNumberFormat="1" applyFont="1" applyFill="1" applyBorder="1" applyAlignment="1" applyProtection="1">
      <alignment horizontal="left" vertical="center" wrapText="1"/>
      <protection locked="0"/>
    </xf>
    <xf numFmtId="179" fontId="8" fillId="0" borderId="1" xfId="65" applyNumberFormat="1" applyFont="1" applyBorder="1" applyAlignment="1">
      <alignment vertical="center" wrapText="1"/>
    </xf>
    <xf numFmtId="177" fontId="8" fillId="0" borderId="1" xfId="65" applyNumberFormat="1" applyFont="1" applyBorder="1" applyAlignment="1">
      <alignment horizontal="center" vertical="center" wrapText="1"/>
    </xf>
    <xf numFmtId="0" fontId="8" fillId="0" borderId="1" xfId="52" applyNumberFormat="1" applyFont="1" applyFill="1" applyBorder="1" applyAlignment="1" applyProtection="1">
      <alignment horizontal="left" vertical="center"/>
    </xf>
    <xf numFmtId="0" fontId="6" fillId="0" borderId="1" xfId="52" applyNumberFormat="1" applyFont="1" applyFill="1" applyBorder="1" applyAlignment="1" applyProtection="1">
      <alignment horizontal="left" vertical="center"/>
    </xf>
    <xf numFmtId="179" fontId="6" fillId="0" borderId="1" xfId="68" applyNumberFormat="1" applyFont="1" applyBorder="1" applyAlignment="1" applyProtection="1">
      <alignment vertical="center"/>
      <protection locked="0"/>
    </xf>
    <xf numFmtId="179" fontId="0" fillId="0" borderId="1" xfId="9" applyNumberFormat="1" applyFont="1" applyBorder="1">
      <alignment vertical="center"/>
    </xf>
    <xf numFmtId="177" fontId="0" fillId="0" borderId="1" xfId="9" applyNumberFormat="1" applyFont="1" applyBorder="1" applyAlignment="1">
      <alignment horizontal="center" vertical="center"/>
    </xf>
    <xf numFmtId="179" fontId="0" fillId="0" borderId="1" xfId="0" applyNumberFormat="1" applyBorder="1">
      <alignment vertical="center"/>
    </xf>
    <xf numFmtId="177" fontId="0" fillId="0" borderId="1" xfId="0" applyNumberFormat="1" applyBorder="1" applyAlignment="1">
      <alignment horizontal="center" vertical="center"/>
    </xf>
    <xf numFmtId="179" fontId="8" fillId="9" borderId="1" xfId="52" applyNumberFormat="1" applyFont="1" applyFill="1" applyBorder="1" applyAlignment="1" applyProtection="1">
      <alignment vertical="center" wrapText="1"/>
      <protection locked="0"/>
    </xf>
    <xf numFmtId="177" fontId="26" fillId="0" borderId="1" xfId="0" applyNumberFormat="1" applyFont="1" applyBorder="1" applyAlignment="1">
      <alignment horizontal="center" vertical="center"/>
    </xf>
    <xf numFmtId="49" fontId="6" fillId="9" borderId="1" xfId="52" applyNumberFormat="1" applyFont="1" applyFill="1" applyBorder="1" applyAlignment="1" applyProtection="1">
      <alignment vertical="center" wrapText="1" shrinkToFit="1"/>
      <protection locked="0"/>
    </xf>
    <xf numFmtId="179" fontId="6" fillId="0" borderId="1" xfId="65" applyNumberFormat="1" applyFont="1" applyBorder="1" applyAlignment="1">
      <alignment vertical="center"/>
    </xf>
    <xf numFmtId="1" fontId="6" fillId="9" borderId="1" xfId="52" applyNumberFormat="1" applyFont="1" applyFill="1" applyBorder="1" applyAlignment="1" applyProtection="1">
      <alignment vertical="center" wrapText="1"/>
      <protection locked="0"/>
    </xf>
    <xf numFmtId="0" fontId="6" fillId="0" borderId="1" xfId="65" applyFont="1" applyBorder="1">
      <alignment vertical="center"/>
    </xf>
    <xf numFmtId="0" fontId="8" fillId="0" borderId="1" xfId="52" applyNumberFormat="1" applyFont="1" applyFill="1" applyBorder="1" applyAlignment="1" applyProtection="1">
      <alignment horizontal="center" vertical="center"/>
    </xf>
    <xf numFmtId="0" fontId="0" fillId="0" borderId="0" xfId="0" applyAlignment="1">
      <alignment vertical="center"/>
    </xf>
    <xf numFmtId="0" fontId="40" fillId="0" borderId="0" xfId="0" applyFont="1">
      <alignment vertical="center"/>
    </xf>
    <xf numFmtId="0" fontId="11" fillId="0" borderId="0" xfId="57" applyFont="1" applyFill="1" applyAlignment="1">
      <alignment vertical="center"/>
    </xf>
    <xf numFmtId="0" fontId="11" fillId="0" borderId="0" xfId="57" applyFont="1" applyFill="1" applyAlignment="1">
      <alignment horizontal="center" vertical="center"/>
    </xf>
    <xf numFmtId="0" fontId="46" fillId="0" borderId="0" xfId="0" applyFont="1" applyFill="1" applyAlignment="1">
      <alignment horizontal="center" vertical="center"/>
    </xf>
    <xf numFmtId="0" fontId="30" fillId="0" borderId="0" xfId="58" applyFont="1" applyFill="1" applyAlignment="1">
      <alignment vertical="center" wrapText="1"/>
    </xf>
    <xf numFmtId="0" fontId="30" fillId="0" borderId="0" xfId="58" applyFont="1" applyFill="1" applyAlignment="1">
      <alignment horizontal="center" vertical="center" wrapText="1"/>
    </xf>
    <xf numFmtId="0" fontId="2" fillId="0" borderId="0" xfId="58" applyFont="1" applyFill="1" applyAlignment="1">
      <alignment vertical="center"/>
    </xf>
    <xf numFmtId="0" fontId="3" fillId="0" borderId="0" xfId="58" applyFont="1" applyFill="1" applyAlignment="1">
      <alignment horizontal="right" vertical="center" wrapText="1"/>
    </xf>
    <xf numFmtId="0" fontId="5" fillId="0" borderId="1" xfId="58" applyFont="1" applyFill="1" applyBorder="1" applyAlignment="1" applyProtection="1">
      <alignment horizontal="center" vertical="center" wrapText="1"/>
      <protection locked="0"/>
    </xf>
    <xf numFmtId="182" fontId="5" fillId="0" borderId="1" xfId="58" applyNumberFormat="1" applyFont="1" applyFill="1" applyBorder="1" applyAlignment="1" applyProtection="1">
      <alignment horizontal="center" vertical="center" wrapText="1"/>
      <protection locked="0"/>
    </xf>
    <xf numFmtId="182" fontId="3" fillId="0" borderId="1" xfId="58" applyNumberFormat="1" applyFont="1" applyFill="1" applyBorder="1" applyAlignment="1" applyProtection="1">
      <alignment horizontal="center" vertical="center" wrapText="1"/>
      <protection locked="0"/>
    </xf>
    <xf numFmtId="182" fontId="8" fillId="0" borderId="1" xfId="58" applyNumberFormat="1" applyFont="1" applyFill="1" applyBorder="1" applyAlignment="1" applyProtection="1">
      <alignment horizontal="center" vertical="center" wrapText="1"/>
      <protection locked="0"/>
    </xf>
    <xf numFmtId="0" fontId="3" fillId="0" borderId="1" xfId="58" applyFont="1" applyFill="1" applyBorder="1" applyAlignment="1">
      <alignment vertical="center" wrapText="1"/>
    </xf>
    <xf numFmtId="182" fontId="5" fillId="0" borderId="1" xfId="58" applyNumberFormat="1" applyFont="1" applyFill="1" applyBorder="1" applyAlignment="1">
      <alignment horizontal="center" vertical="center" wrapText="1"/>
    </xf>
    <xf numFmtId="182" fontId="16" fillId="0" borderId="1" xfId="58" applyNumberFormat="1" applyFont="1" applyFill="1" applyBorder="1" applyAlignment="1">
      <alignment horizontal="left" vertical="center" wrapText="1"/>
    </xf>
    <xf numFmtId="182" fontId="16" fillId="0" borderId="1" xfId="58" applyNumberFormat="1" applyFont="1" applyFill="1" applyBorder="1" applyAlignment="1" applyProtection="1">
      <alignment horizontal="left" vertical="center" wrapText="1"/>
      <protection locked="0"/>
    </xf>
    <xf numFmtId="182" fontId="3" fillId="0" borderId="1" xfId="58" applyNumberFormat="1" applyFont="1" applyFill="1" applyBorder="1" applyAlignment="1">
      <alignment horizontal="center" vertical="center" wrapText="1"/>
    </xf>
    <xf numFmtId="188" fontId="6" fillId="0" borderId="1" xfId="58" applyNumberFormat="1" applyFont="1" applyFill="1" applyBorder="1" applyAlignment="1">
      <alignment horizontal="left" vertical="center" wrapText="1"/>
    </xf>
    <xf numFmtId="188" fontId="15" fillId="0" borderId="1" xfId="58" applyNumberFormat="1" applyFont="1" applyFill="1" applyBorder="1" applyAlignment="1">
      <alignment horizontal="left" vertical="center" wrapText="1"/>
    </xf>
    <xf numFmtId="0" fontId="40" fillId="0" borderId="0" xfId="0" applyFont="1" applyAlignment="1">
      <alignment vertical="center" wrapText="1"/>
    </xf>
    <xf numFmtId="0" fontId="3" fillId="0" borderId="1" xfId="58" applyFont="1" applyFill="1" applyBorder="1" applyAlignment="1">
      <alignment horizontal="left" vertical="center" wrapText="1"/>
    </xf>
    <xf numFmtId="182" fontId="6" fillId="0" borderId="1" xfId="5" applyNumberFormat="1" applyFont="1" applyFill="1" applyBorder="1" applyAlignment="1">
      <alignment horizontal="left" vertical="center" wrapText="1"/>
    </xf>
    <xf numFmtId="0" fontId="6" fillId="0" borderId="1" xfId="58" applyFont="1" applyFill="1" applyBorder="1" applyAlignment="1">
      <alignment vertical="center" wrapText="1"/>
    </xf>
    <xf numFmtId="0" fontId="15" fillId="0" borderId="1" xfId="58" applyFont="1" applyFill="1" applyBorder="1" applyAlignment="1">
      <alignment horizontal="left" vertical="center" wrapText="1"/>
    </xf>
    <xf numFmtId="183" fontId="5" fillId="0" borderId="1" xfId="58" applyNumberFormat="1" applyFont="1" applyFill="1" applyBorder="1" applyAlignment="1">
      <alignment horizontal="center" vertical="center" wrapText="1"/>
    </xf>
    <xf numFmtId="0" fontId="5" fillId="0" borderId="1" xfId="58" applyFont="1" applyFill="1" applyBorder="1" applyAlignment="1">
      <alignment horizontal="center" vertical="center" wrapText="1"/>
    </xf>
    <xf numFmtId="182" fontId="15" fillId="0" borderId="1" xfId="5" applyNumberFormat="1" applyFont="1" applyFill="1" applyBorder="1" applyAlignment="1">
      <alignment horizontal="left" vertical="center" wrapText="1"/>
    </xf>
    <xf numFmtId="176" fontId="0" fillId="0" borderId="0" xfId="0" applyNumberFormat="1">
      <alignment vertical="center"/>
    </xf>
    <xf numFmtId="178" fontId="0" fillId="0" borderId="0" xfId="0" applyNumberFormat="1" applyAlignment="1">
      <alignment horizontal="center" vertical="center"/>
    </xf>
    <xf numFmtId="0" fontId="14" fillId="0" borderId="0" xfId="57"/>
    <xf numFmtId="0" fontId="14" fillId="0" borderId="0" xfId="57" applyAlignment="1">
      <alignment vertical="center"/>
    </xf>
    <xf numFmtId="0" fontId="14" fillId="0" borderId="0" xfId="57" applyAlignment="1">
      <alignment vertical="center" wrapText="1"/>
    </xf>
    <xf numFmtId="0" fontId="14" fillId="0" borderId="0" xfId="57" applyFill="1"/>
    <xf numFmtId="0" fontId="7" fillId="0" borderId="0" xfId="70" applyFont="1" applyFill="1" applyAlignment="1">
      <alignment horizontal="center" vertical="center"/>
    </xf>
    <xf numFmtId="0" fontId="10" fillId="0" borderId="0" xfId="70" applyFont="1" applyFill="1" applyAlignment="1">
      <alignment vertical="center"/>
    </xf>
    <xf numFmtId="0" fontId="14" fillId="0" borderId="0" xfId="57" applyFill="1" applyAlignment="1">
      <alignment vertical="center"/>
    </xf>
    <xf numFmtId="0" fontId="10" fillId="0" borderId="0" xfId="57" applyFont="1" applyFill="1" applyAlignment="1">
      <alignment vertical="center"/>
    </xf>
    <xf numFmtId="0" fontId="10" fillId="0" borderId="0" xfId="57" applyFont="1" applyFill="1" applyAlignment="1">
      <alignment horizontal="right" vertical="center"/>
    </xf>
    <xf numFmtId="0" fontId="23" fillId="0" borderId="19" xfId="70" applyFont="1" applyFill="1" applyBorder="1" applyAlignment="1">
      <alignment horizontal="center" vertical="center" wrapText="1"/>
    </xf>
    <xf numFmtId="0" fontId="23" fillId="0" borderId="1" xfId="70" applyFont="1" applyFill="1" applyBorder="1" applyAlignment="1">
      <alignment horizontal="center" vertical="center" wrapText="1"/>
    </xf>
    <xf numFmtId="0" fontId="23" fillId="0" borderId="1" xfId="57" applyFont="1" applyBorder="1" applyAlignment="1">
      <alignment horizontal="center" vertical="center" wrapText="1"/>
    </xf>
    <xf numFmtId="0" fontId="23" fillId="0" borderId="19" xfId="70" applyFont="1" applyFill="1" applyBorder="1" applyAlignment="1">
      <alignment horizontal="left" vertical="center" wrapText="1"/>
    </xf>
    <xf numFmtId="3" fontId="23" fillId="0" borderId="1" xfId="9" applyNumberFormat="1" applyFont="1" applyFill="1" applyBorder="1" applyAlignment="1" applyProtection="1">
      <alignment horizontal="center" vertical="center" wrapText="1"/>
    </xf>
    <xf numFmtId="0" fontId="6" fillId="0" borderId="1" xfId="57" applyFont="1" applyBorder="1" applyAlignment="1">
      <alignment vertical="center" wrapText="1"/>
    </xf>
    <xf numFmtId="3" fontId="23" fillId="0" borderId="19" xfId="70" applyNumberFormat="1" applyFont="1" applyFill="1" applyBorder="1" applyAlignment="1" applyProtection="1">
      <alignment horizontal="left" vertical="center" wrapText="1"/>
      <protection locked="0"/>
    </xf>
    <xf numFmtId="0" fontId="6" fillId="0" borderId="19" xfId="70" applyFont="1" applyFill="1" applyBorder="1" applyAlignment="1">
      <alignment vertical="center" wrapText="1"/>
    </xf>
    <xf numFmtId="3" fontId="10" fillId="0" borderId="1" xfId="9" applyNumberFormat="1" applyFont="1" applyFill="1" applyBorder="1" applyAlignment="1" applyProtection="1">
      <alignment horizontal="center" vertical="center" wrapText="1"/>
    </xf>
    <xf numFmtId="43" fontId="6" fillId="0" borderId="1" xfId="9" applyFont="1" applyFill="1" applyBorder="1" applyAlignment="1" applyProtection="1">
      <alignment vertical="center" wrapText="1"/>
    </xf>
    <xf numFmtId="3" fontId="23" fillId="0" borderId="1" xfId="70" applyNumberFormat="1" applyFont="1" applyFill="1" applyBorder="1" applyAlignment="1" applyProtection="1">
      <alignment horizontal="left" vertical="center" wrapText="1"/>
      <protection locked="0"/>
    </xf>
    <xf numFmtId="43" fontId="6" fillId="0" borderId="1" xfId="9" applyFont="1" applyFill="1" applyBorder="1" applyAlignment="1" applyProtection="1">
      <alignment horizontal="center" vertical="center" wrapText="1"/>
    </xf>
    <xf numFmtId="0" fontId="14" fillId="0" borderId="0" xfId="57" applyFill="1" applyAlignment="1">
      <alignment wrapText="1"/>
    </xf>
    <xf numFmtId="187" fontId="14" fillId="0" borderId="0" xfId="9" applyNumberFormat="1" applyFont="1" applyFill="1" applyBorder="1" applyAlignment="1" applyProtection="1"/>
    <xf numFmtId="0" fontId="14" fillId="0" borderId="0" xfId="57" applyFill="1" applyAlignment="1">
      <alignment horizontal="center"/>
    </xf>
  </cellXfs>
  <cellStyles count="71">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 10 5" xfId="31"/>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常规 14 6" xfId="40"/>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常规 55" xfId="47"/>
    <cellStyle name="常规 22 2" xfId="48"/>
    <cellStyle name="强调文字颜色 5" xfId="49" builtinId="45"/>
    <cellStyle name="40% - 强调文字颜色 5" xfId="50" builtinId="47"/>
    <cellStyle name="60% - 强调文字颜色 5" xfId="51" builtinId="48"/>
    <cellStyle name="常规 3 4" xfId="52"/>
    <cellStyle name="强调文字颜色 6" xfId="53" builtinId="49"/>
    <cellStyle name="常规 10" xfId="54"/>
    <cellStyle name="40% - 强调文字颜色 6" xfId="55" builtinId="51"/>
    <cellStyle name="60% - 强调文字颜色 6" xfId="56" builtinId="52"/>
    <cellStyle name="常规 19" xfId="57"/>
    <cellStyle name="常规 2" xfId="58"/>
    <cellStyle name="常规 22" xfId="59"/>
    <cellStyle name="常规 23" xfId="60"/>
    <cellStyle name="常规 23 2" xfId="61"/>
    <cellStyle name="常规 23 4" xfId="62"/>
    <cellStyle name="常规 28" xfId="63"/>
    <cellStyle name="常规 3" xfId="64"/>
    <cellStyle name="常规 3 2 2 6" xfId="65"/>
    <cellStyle name="常规 9" xfId="66"/>
    <cellStyle name="常规_Sheet1" xfId="67"/>
    <cellStyle name="千位分隔 10" xfId="68"/>
    <cellStyle name="常规_2007年收入_财政收支月报2015" xfId="69"/>
    <cellStyle name="常规_2006年收入及财力预算调整表" xfId="70"/>
  </cellStyles>
  <dxfs count="1">
    <dxf>
      <fill>
        <patternFill patternType="solid">
          <fgColor rgb="FF92D050"/>
          <bgColor rgb="FF92D050"/>
        </patternFill>
      </fill>
    </dxf>
  </dxfs>
  <tableStyles count="0" defaultTableStyle="TableStyleMedium2" defaultPivotStyle="PivotStyleLight16"/>
  <colors>
    <mruColors>
      <color rgb="00FFFFFF"/>
      <color rgb="00F79646"/>
      <color rgb="00FF0000"/>
      <color rgb="00FFFF00"/>
      <color rgb="00EEECE1"/>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haredStrings" Target="sharedStrings.xml"/><Relationship Id="rId44" Type="http://schemas.openxmlformats.org/officeDocument/2006/relationships/styles" Target="styles.xml"/><Relationship Id="rId43" Type="http://schemas.openxmlformats.org/officeDocument/2006/relationships/theme" Target="theme/theme1.xml"/><Relationship Id="rId42" Type="http://schemas.openxmlformats.org/officeDocument/2006/relationships/externalLink" Target="externalLinks/externalLink23.xml"/><Relationship Id="rId41" Type="http://schemas.openxmlformats.org/officeDocument/2006/relationships/externalLink" Target="externalLinks/externalLink22.xml"/><Relationship Id="rId40" Type="http://schemas.openxmlformats.org/officeDocument/2006/relationships/externalLink" Target="externalLinks/externalLink21.xml"/><Relationship Id="rId4" Type="http://schemas.openxmlformats.org/officeDocument/2006/relationships/worksheet" Target="worksheets/sheet4.xml"/><Relationship Id="rId39" Type="http://schemas.openxmlformats.org/officeDocument/2006/relationships/externalLink" Target="externalLinks/externalLink20.xml"/><Relationship Id="rId38" Type="http://schemas.openxmlformats.org/officeDocument/2006/relationships/externalLink" Target="externalLinks/externalLink19.xml"/><Relationship Id="rId37" Type="http://schemas.openxmlformats.org/officeDocument/2006/relationships/externalLink" Target="externalLinks/externalLink18.xml"/><Relationship Id="rId36" Type="http://schemas.openxmlformats.org/officeDocument/2006/relationships/externalLink" Target="externalLinks/externalLink17.xml"/><Relationship Id="rId35" Type="http://schemas.openxmlformats.org/officeDocument/2006/relationships/externalLink" Target="externalLinks/externalLink16.xml"/><Relationship Id="rId34" Type="http://schemas.openxmlformats.org/officeDocument/2006/relationships/externalLink" Target="externalLinks/externalLink15.xml"/><Relationship Id="rId33" Type="http://schemas.openxmlformats.org/officeDocument/2006/relationships/externalLink" Target="externalLinks/externalLink14.xml"/><Relationship Id="rId32" Type="http://schemas.openxmlformats.org/officeDocument/2006/relationships/externalLink" Target="externalLinks/externalLink13.xml"/><Relationship Id="rId31" Type="http://schemas.openxmlformats.org/officeDocument/2006/relationships/externalLink" Target="externalLinks/externalLink12.xml"/><Relationship Id="rId30" Type="http://schemas.openxmlformats.org/officeDocument/2006/relationships/externalLink" Target="externalLinks/externalLink11.xml"/><Relationship Id="rId3" Type="http://schemas.openxmlformats.org/officeDocument/2006/relationships/worksheet" Target="worksheets/sheet3.xml"/><Relationship Id="rId29" Type="http://schemas.openxmlformats.org/officeDocument/2006/relationships/externalLink" Target="externalLinks/externalLink10.xml"/><Relationship Id="rId28" Type="http://schemas.openxmlformats.org/officeDocument/2006/relationships/externalLink" Target="externalLinks/externalLink9.xml"/><Relationship Id="rId27" Type="http://schemas.openxmlformats.org/officeDocument/2006/relationships/externalLink" Target="externalLinks/externalLink8.xml"/><Relationship Id="rId26" Type="http://schemas.openxmlformats.org/officeDocument/2006/relationships/externalLink" Target="externalLinks/externalLink7.xml"/><Relationship Id="rId25" Type="http://schemas.openxmlformats.org/officeDocument/2006/relationships/externalLink" Target="externalLinks/externalLink6.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My%20Documents\2002&#24180;&#36130;&#25919;&#39044;&#31639;\2002&#24180;&#36130;&#25919;&#39044;&#31639;&#24635;&#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sktop\&#24037;&#20316;&#25991;&#26723;\&#24037;&#20316;&#25991;&#20214;&#25991;&#26723;\&#21508;&#24180;&#24230;&#39044;&#31639;&#24773;&#20917;\2022&#24180;&#39044;&#31639;\&#24180;&#21021;&#39044;&#31639;&#25253;&#34920;\2020&#24180;&#39044;&#31639;&#25191;&#34892;&#24773;&#20917;&#21450;2021&#24180;&#39044;&#31639;&#33609;&#26696;\&#20154;&#22823;&#20250;&#19978;&#20250;&#34920;&#2668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rogram%20Files\LIM\Users\109175\Received%20Files\ATECH&#32534;&#36753;20090309"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ktop\My%20Documents\2011&#24180;&#39044;&#31639;\2011&#35843;&#25972;&#39044;&#31639;\2002&#24180;&#36130;&#25919;&#39044;&#31639;\2002&#24180;&#36130;&#25919;&#39044;&#31639;&#24635;&#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sktop\Documents\My%20RTX%20Files\&#36182;&#21073;&#20852;\2022&#24180;&#24180;&#21021;&#39044;&#31639;&#65288;&#25919;&#24220;&#24615;&#22522;&#37329;&#39044;&#31639;&#65289;12.07.xlsx#REF"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5105;&#30340;&#25991;&#26723;\My%20Documents\&#26376;&#25253;&#34920;201107\2002&#24180;&#36130;&#25919;&#39044;&#31639;\2002&#24180;&#36130;&#25919;&#39044;&#31639;&#24635;&#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5105;&#30340;&#25991;&#26723;\2015&#24180;&#39044;&#31639;\&#35843;&#25972;&#39044;&#31639;\&#25105;&#30340;&#25991;&#26723;\&#32467;&#36716;&#19979;&#24180;\2014\L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TECH&#32534;&#36753;2009030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y%20Documents\2011&#24180;&#39044;&#31639;\2011&#35843;&#25972;&#39044;&#31639;\2002&#24180;&#36130;&#25919;&#39044;&#31639;\2002&#24180;&#36130;&#25919;&#39044;&#31639;&#24635;&#349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5105;&#30340;&#25991;&#26723;\2020&#24180;\2020&#24180;&#35843;&#25972;&#39044;&#31639;\2020&#24180;&#35843;&#25972;&#39044;&#31639;&#19978;&#20250;&#26448;&#26009;\12.18&#23450;&#31295;\(11.272020&#24180;&#35843;&#25972;&#39044;&#31639;&#27719;&#24635;&#34920;.xlsx#REF"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Desktop\2020&#24180;&#35843;&#25972;&#39044;&#31639;\&#65288;11.04&#65289;2020&#24180;&#35843;&#25972;&#39044;&#31639;&#22686;&#20943;&#25903;&#27719;&#24635;&#34920;.xlsx#REF"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My%20Documents\2002&#24180;&#36130;&#25919;&#39044;&#31639;\2002&#24180;&#36130;&#25919;&#39044;&#31639;&#24635;&#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25105;&#30340;&#25991;&#26723;\2020&#24180;\&#20154;&#22823;\&#65288;&#20154;&#22823;&#20250;&#23450;&#31295;&#65289;2020&#24180;&#36130;&#25919;&#39044;&#31639;&#25253;&#21578;&#33609;&#26696;\&#65288;&#23450;&#31295;&#65289;&#20154;&#22823;&#20250;&#19978;&#20250;&#34920;&#2668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Desktop\2020&#24180;&#35843;&#25972;&#39044;&#31639;\2020&#24180;&#24180;&#21021;&#39044;&#31639;&#24635;&#349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Desktop\2020&#24180;&#35843;&#25972;&#39044;&#31639;\&#65288;10.26&#31295;&#65289;2020&#24180;&#35843;&#25972;&#39044;&#31639;&#22686;&#20943;&#25903;&#27719;&#24635;&#3492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25105;&#30340;&#25991;&#26723;\2021&#24180;\2021&#24180;&#35843;&#25972;&#39044;&#31639;\20211117&#35843;&#25972;&#39044;&#31639;\&#20154;&#22823;&#24120;&#22996;&#20250;\(&#20154;&#22823;&#24120;&#22996;&#20250;)2021&#24180;&#35843;&#25972;&#39044;&#31639;&#27719;&#24635;&#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My%20Documents\2002&#24180;&#36130;&#25919;&#39044;&#31639;\2002&#24180;&#36130;&#25919;&#39044;&#31639;&#24635;&#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esktop\&#25105;&#30340;&#25991;&#26723;\My%20Documents\&#26376;&#25253;&#34920;201107\2002&#24180;&#36130;&#25919;&#39044;&#31639;\2002&#24180;&#36130;&#25919;&#39044;&#31639;&#24635;&#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2002&#24180;&#39044;&#31639;&#35843;&#2597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sktop\&#25105;&#30340;&#25991;&#26723;\2015&#24180;&#39044;&#31639;\&#35843;&#25972;&#39044;&#31639;\&#25105;&#30340;&#25991;&#26723;\&#32467;&#36716;&#19979;&#24180;\2014\L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10.49.65.9\DOCUME~1\bzqkf0\LOCALS~1\Temp\onworking\AP_COMMON_BCM_ALL_SCHEMATIC_070619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tp:\10.49.65.9\DOCUME~1\bzqkf0\LOCALS~1\Temp\Powerdissipation_GM_BCM_Asia-WMP14Nov0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020年收入 "/>
      <sheetName val="2.2020一般公共预算财力"/>
      <sheetName val="3.2020总支出 "/>
      <sheetName val="4.2020基金财力"/>
      <sheetName val="5.2020基金支出"/>
      <sheetName val="6.2020国有资本"/>
      <sheetName val="7.2020社会保障基金"/>
      <sheetName val="8.2021收入 "/>
      <sheetName val="9.2021一般公共预算财力"/>
      <sheetName val="10.2021.总支出"/>
      <sheetName val="11.2021基金收入"/>
      <sheetName val="12.2021基金支出"/>
      <sheetName val="13.2021国有资本经营预算"/>
      <sheetName val="14.2021社会保障基金"/>
      <sheetName val="15.商品和服务支出"/>
      <sheetName val="县本级支出一"/>
      <sheetName val="本级财力"/>
      <sheetName val="县本级支出二"/>
      <sheetName val="经常性支出表"/>
    </sheetNames>
    <definedNames>
      <definedName name="Module.Prix_SMC" sheetId="9"/>
      <definedName name="Number_of_Payments" sheetId="14"/>
      <definedName name="Prix_SMC" sheetId="9"/>
      <definedName name="Values_Entered" sheetId="14"/>
      <definedName name="寄宿制学校" sheetId="9"/>
      <definedName name="简单快乐福建" sheetId="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TECH编辑20090309"/>
      <sheetName val="S19、A0 and JC22 BCM PIN V1.0"/>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 val="2022年年初预算（政府性基金预算）12.07"/>
    </sheetNames>
    <definedNames>
      <definedName name="Values_Entered"/>
      <definedName name="Number_of_Payments"/>
    </definedNames>
    <sheetDataSet>
      <sheetData sheetId="0" refreshError="1"/>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s>
    <sheetDataSet>
      <sheetData sheetId="0" refreshError="1"/>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TECH编辑20090309"/>
      <sheetName val="S19、A0 and JC22 BCM PIN V1.0"/>
    </sheetNames>
    <sheetDataSet>
      <sheetData sheetId="0" refreshError="1"/>
      <sheetData sheetId="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 val="一般公共预算收入 "/>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REF"/>
      <sheetName val="(11.272020年调整预算汇总表"/>
    </sheetNames>
    <definedNames>
      <definedName name="BM8_SelectZBM.BM8_ZBMChangeKMM"/>
      <definedName name="BM8_SelectZBM.BM8_ZBMminusOption"/>
      <definedName name="BM8_SelectZBM.BM8_ZBMSumOption"/>
    </definedNames>
    <sheetDataSet>
      <sheetData sheetId="0" refreshError="1"/>
      <sheetData sheetId="1"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REF"/>
      <sheetName val="（11.04）2020年调整预算增减支汇总表"/>
      <sheetName val="ATECH编辑20090309"/>
      <sheetName val="按类别"/>
      <sheetName val="Prg"/>
      <sheetName val="Profi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1.2019收入"/>
      <sheetName val="2.2019一般公共预算财力"/>
      <sheetName val="3.2019总支出 "/>
      <sheetName val="4.2019基金财力"/>
      <sheetName val="5.2019基金支出"/>
      <sheetName val="6.2019国有资本"/>
      <sheetName val="7.2019社会保障基金"/>
      <sheetName val="8.2020收入 "/>
      <sheetName val="9.2020.一般公共预算财力"/>
      <sheetName val="10.2020.总支出"/>
      <sheetName val="11.2020基金收入"/>
      <sheetName val="12.2020基金支出"/>
      <sheetName val="13.2020国有资本经营预算"/>
      <sheetName val="14.2020社会保障基金"/>
      <sheetName val="15.商品和服务支出"/>
      <sheetName val="县本级支出一"/>
      <sheetName val="本级财力"/>
      <sheetName val="县本级支出二"/>
      <sheetName val="经常性支出表"/>
      <sheetName val="Dev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一般公共预算收入 "/>
      <sheetName val="一般公共预算财力"/>
      <sheetName val="本级财力"/>
      <sheetName val="总支出"/>
      <sheetName val="县本级支出一"/>
      <sheetName val="县本级支出二"/>
      <sheetName val="基金收支总表"/>
      <sheetName val="国有资本预算"/>
      <sheetName val="社会保障基金"/>
    </sheetNames>
    <definedNames>
      <definedName name="Module.Prix_SMC"/>
      <definedName name="Prix_SMC"/>
      <definedName name="寄宿制学校"/>
      <definedName name="简单快乐福建"/>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一般预算平衡表"/>
      <sheetName val="县本级财力"/>
      <sheetName val="1.一般公共预算收入  (2)"/>
      <sheetName val="县本级支出一"/>
      <sheetName val="县本级支出二"/>
      <sheetName val="3.总支出"/>
      <sheetName val="经常性支出表"/>
      <sheetName val="商品和服务支出预算增减支情况表"/>
      <sheetName val="项目支出增减支预算情况表"/>
      <sheetName val="项目支出增减支预算情况表 (2)"/>
      <sheetName val="基金平衡表"/>
      <sheetName val="4.基金收入"/>
      <sheetName val="基金预算支出明细"/>
      <sheetName val="6.国有资本经营预算"/>
      <sheetName val="7.社会保障基金"/>
      <sheetName val="Sheet1"/>
      <sheetName val="5.基金支出"/>
      <sheetName val="S19、A0 and JC22 BCM PIN V1.0"/>
      <sheetName val="ATECH编辑20090309"/>
      <sheetName val="按类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平衡表"/>
      <sheetName val="一般公共预算平衡表"/>
      <sheetName val="一般公共预算财力"/>
      <sheetName val="县本级财力"/>
      <sheetName val="收入"/>
      <sheetName val="县本级支出一"/>
      <sheetName val="经常性支出表"/>
      <sheetName val="基金平衡表"/>
      <sheetName val="支出科目汇总"/>
      <sheetName val="基金平衡表1"/>
      <sheetName val="基金收入"/>
      <sheetName val="基金支出 "/>
      <sheetName val="国有资本经营预算"/>
      <sheetName val="社保基金"/>
      <sheetName val="收回存量安排"/>
      <sheetName val="直达资金"/>
      <sheetName val="Sheet1"/>
      <sheetName val="收支平衡表"/>
      <sheetName val="本级财力"/>
      <sheetName val="7.支出汇总表（分县直、乡镇）"/>
      <sheetName val="经常性支出"/>
      <sheetName val="10.2019年商品和服务支出"/>
      <sheetName val="11.2019年一般项目支出情况"/>
      <sheetName val="（县直）国库统发工资调整情况表"/>
      <sheetName val="（县直）非国库统发工资调整情况表"/>
      <sheetName val="（县直）对个人和家庭的补助调整情况表"/>
      <sheetName val="经常性支出细化表"/>
      <sheetName val="2019年商品和服务支出增减支(不打印不编页码）"/>
      <sheetName val="2019年一般项目支出情况增减支（不编页码）"/>
      <sheetName val="16.基金明细表"/>
      <sheetName val="16.基金增减支明细表(不打印不缟页码)"/>
      <sheetName val="31.基本数字表增减支"/>
    </sheetNames>
    <definedNames>
      <definedName name="Number_of_Payments" sheetId="21"/>
      <definedName name="Values_Entered" sheetId="2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eqpmad2"/>
      <sheetName val="按类别"/>
      <sheetName val="县长批条"/>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2001年结转县长批条"/>
      <sheetName val="县长批条"/>
      <sheetName val="转移支付"/>
      <sheetName val="eqpmad2"/>
      <sheetName val="按类别"/>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s>
    <definedNames>
      <definedName name="BM8_SelectZBM.BM8_ZBMChangeKMM"/>
      <definedName name="BM8_SelectZBM.BM8_ZBMminusOption"/>
      <definedName name="BM8_SelectZBM.BM8_ZBMSumOption"/>
    </defined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OM"/>
      <sheetName val="Multi"/>
      <sheetName val="BB"/>
      <sheetName val="Profile"/>
      <sheetName val="1"/>
      <sheetName val="2"/>
      <sheetName val="3"/>
      <sheetName val="4"/>
      <sheetName val="5"/>
      <sheetName val="Pur"/>
      <sheetName val="Prg"/>
      <sheetName val="2019年商品和服务支出"/>
      <sheetName val="AP_COMMON_BCM_ALL_SCHEMATIC_070"/>
      <sheetName val="按类别"/>
      <sheetName val="Devices"/>
      <sheetName val="县长批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emplate"/>
      <sheetName val="Devices"/>
      <sheetName val="REV_Dictionary"/>
      <sheetName val="Prg"/>
      <sheetName val="Profile"/>
      <sheetName val="政府投资项目"/>
      <sheetName val="企业运作项目"/>
      <sheetName val="乡镇村筹资项目"/>
      <sheetName val="Powerdissipation_GM_BCM_Asia-WM"/>
      <sheetName val="按类别"/>
      <sheetName val="一般公共预算收入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D19" sqref="D19"/>
    </sheetView>
  </sheetViews>
  <sheetFormatPr defaultColWidth="8.625" defaultRowHeight="11.25" outlineLevelCol="4"/>
  <cols>
    <col min="1" max="1" width="27.625" style="486" customWidth="1"/>
    <col min="2" max="4" width="14.875" style="486" customWidth="1"/>
    <col min="5" max="5" width="12" style="488" customWidth="1"/>
    <col min="6" max="6" width="8.625" style="486" customWidth="1"/>
    <col min="7" max="16383" width="8.625" style="486"/>
  </cols>
  <sheetData>
    <row r="1" s="486" customFormat="1" ht="18" customHeight="1" spans="1:5">
      <c r="A1" s="458" t="s">
        <v>0</v>
      </c>
      <c r="B1" s="489"/>
      <c r="C1" s="489"/>
      <c r="D1" s="489"/>
      <c r="E1" s="488"/>
    </row>
    <row r="2" s="486" customFormat="1" ht="35" customHeight="1" spans="1:5">
      <c r="A2" s="490" t="s">
        <v>1</v>
      </c>
      <c r="B2" s="490"/>
      <c r="C2" s="490"/>
      <c r="D2" s="490"/>
      <c r="E2" s="490"/>
    </row>
    <row r="3" s="487" customFormat="1" ht="20" customHeight="1" spans="1:5">
      <c r="A3" s="491"/>
      <c r="B3" s="492"/>
      <c r="C3" s="492"/>
      <c r="D3" s="493"/>
      <c r="E3" s="494" t="s">
        <v>2</v>
      </c>
    </row>
    <row r="4" s="487" customFormat="1" ht="42" customHeight="1" spans="1:5">
      <c r="A4" s="495" t="s">
        <v>3</v>
      </c>
      <c r="B4" s="496" t="s">
        <v>4</v>
      </c>
      <c r="C4" s="496" t="s">
        <v>5</v>
      </c>
      <c r="D4" s="496" t="s">
        <v>6</v>
      </c>
      <c r="E4" s="497" t="s">
        <v>7</v>
      </c>
    </row>
    <row r="5" s="486" customFormat="1" ht="42" customHeight="1" spans="1:5">
      <c r="A5" s="498" t="s">
        <v>8</v>
      </c>
      <c r="B5" s="499">
        <v>266898</v>
      </c>
      <c r="C5" s="499">
        <f t="shared" ref="C5:C10" si="0">ROUND(D5-B5,0)</f>
        <v>24740</v>
      </c>
      <c r="D5" s="499">
        <v>291638</v>
      </c>
      <c r="E5" s="500" t="s">
        <v>9</v>
      </c>
    </row>
    <row r="6" s="486" customFormat="1" ht="42" customHeight="1" spans="1:5">
      <c r="A6" s="501" t="s">
        <v>10</v>
      </c>
      <c r="B6" s="499">
        <f>SUM(B7:B9)</f>
        <v>266898</v>
      </c>
      <c r="C6" s="499">
        <f>SUM(C7:C9)</f>
        <v>24740</v>
      </c>
      <c r="D6" s="499">
        <f>SUM(D7:D9)</f>
        <v>291638</v>
      </c>
      <c r="E6" s="500"/>
    </row>
    <row r="7" s="486" customFormat="1" ht="42" customHeight="1" spans="1:5">
      <c r="A7" s="502" t="s">
        <v>11</v>
      </c>
      <c r="B7" s="503">
        <v>235767</v>
      </c>
      <c r="C7" s="503">
        <f t="shared" si="0"/>
        <v>2425</v>
      </c>
      <c r="D7" s="503">
        <v>238192</v>
      </c>
      <c r="E7" s="504"/>
    </row>
    <row r="8" s="486" customFormat="1" ht="42" customHeight="1" spans="1:5">
      <c r="A8" s="502" t="s">
        <v>12</v>
      </c>
      <c r="B8" s="503">
        <v>22231</v>
      </c>
      <c r="C8" s="503">
        <f t="shared" si="0"/>
        <v>22315</v>
      </c>
      <c r="D8" s="503">
        <v>44546</v>
      </c>
      <c r="E8" s="500" t="s">
        <v>13</v>
      </c>
    </row>
    <row r="9" s="486" customFormat="1" ht="42" customHeight="1" spans="1:5">
      <c r="A9" s="502" t="s">
        <v>14</v>
      </c>
      <c r="B9" s="503">
        <v>8900</v>
      </c>
      <c r="C9" s="503">
        <f t="shared" si="0"/>
        <v>0</v>
      </c>
      <c r="D9" s="503">
        <v>8900</v>
      </c>
      <c r="E9" s="504"/>
    </row>
    <row r="10" s="486" customFormat="1" ht="42" customHeight="1" spans="1:5">
      <c r="A10" s="505" t="s">
        <v>15</v>
      </c>
      <c r="B10" s="499">
        <f>B5-B6</f>
        <v>0</v>
      </c>
      <c r="C10" s="499">
        <f t="shared" si="0"/>
        <v>0</v>
      </c>
      <c r="D10" s="499">
        <f>D5-D6</f>
        <v>0</v>
      </c>
      <c r="E10" s="506"/>
    </row>
    <row r="11" s="486" customFormat="1" spans="1:5">
      <c r="A11" s="489"/>
      <c r="B11" s="489"/>
      <c r="C11" s="489"/>
      <c r="D11" s="489"/>
      <c r="E11" s="488"/>
    </row>
    <row r="12" s="486" customFormat="1" spans="1:5">
      <c r="A12" s="489"/>
      <c r="B12" s="507"/>
      <c r="C12" s="489"/>
      <c r="D12" s="508"/>
      <c r="E12" s="488"/>
    </row>
    <row r="13" s="486" customFormat="1" spans="1:5">
      <c r="A13" s="489"/>
      <c r="B13" s="507"/>
      <c r="C13" s="489"/>
      <c r="D13" s="508"/>
      <c r="E13" s="488"/>
    </row>
    <row r="14" s="486" customFormat="1" spans="1:5">
      <c r="A14" s="489"/>
      <c r="B14" s="489"/>
      <c r="C14" s="489"/>
      <c r="D14" s="508"/>
      <c r="E14" s="488"/>
    </row>
    <row r="15" s="486" customFormat="1" spans="1:5">
      <c r="A15" s="489"/>
      <c r="B15" s="489"/>
      <c r="C15" s="489"/>
      <c r="D15" s="508"/>
      <c r="E15" s="488"/>
    </row>
    <row r="16" s="486" customFormat="1" spans="1:5">
      <c r="A16" s="489"/>
      <c r="B16" s="489"/>
      <c r="C16" s="489"/>
      <c r="D16" s="489"/>
      <c r="E16" s="488"/>
    </row>
    <row r="17" s="486" customFormat="1" spans="1:5">
      <c r="A17" s="489"/>
      <c r="B17" s="489"/>
      <c r="C17" s="489"/>
      <c r="D17" s="489"/>
      <c r="E17" s="488"/>
    </row>
    <row r="18" s="486" customFormat="1" spans="1:5">
      <c r="A18" s="489"/>
      <c r="B18" s="509"/>
      <c r="C18" s="489"/>
      <c r="D18" s="489"/>
      <c r="E18" s="488"/>
    </row>
    <row r="19" s="486" customFormat="1" spans="1:5">
      <c r="A19" s="489"/>
      <c r="B19" s="489"/>
      <c r="C19" s="489"/>
      <c r="D19" s="489"/>
      <c r="E19" s="488"/>
    </row>
    <row r="20" s="486" customFormat="1" spans="5:5">
      <c r="E20" s="488"/>
    </row>
    <row r="21" s="486" customFormat="1" spans="5:5">
      <c r="E21" s="488"/>
    </row>
  </sheetData>
  <mergeCells count="1">
    <mergeCell ref="A2:E2"/>
  </mergeCells>
  <printOptions horizontalCentered="1"/>
  <pageMargins left="0.751388888888889" right="0.751388888888889" top="1" bottom="1" header="0.511805555555556" footer="0.511805555555556"/>
  <pageSetup paperSize="9" firstPageNumber="10" orientation="portrait" useFirstPageNumber="1" horizontalDpi="600"/>
  <headerFooter>
    <oddFooter>&amp;C-10-</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169"/>
  <sheetViews>
    <sheetView workbookViewId="0">
      <pane xSplit="4" ySplit="6" topLeftCell="E106" activePane="bottomRight" state="frozen"/>
      <selection/>
      <selection pane="topRight"/>
      <selection pane="bottomLeft"/>
      <selection pane="bottomRight" activeCell="A114" sqref="$A114:$XFD114"/>
    </sheetView>
  </sheetViews>
  <sheetFormatPr defaultColWidth="9" defaultRowHeight="13.5"/>
  <cols>
    <col min="1" max="1" width="7.86666666666667" style="312" customWidth="1"/>
    <col min="2" max="2" width="8.13333333333333" style="312" customWidth="1"/>
    <col min="3" max="3" width="25.225" style="312" customWidth="1"/>
    <col min="4" max="4" width="9" style="312" customWidth="1"/>
    <col min="5" max="5" width="10.225" customWidth="1"/>
    <col min="6" max="6" width="11.9083333333333" hidden="1" customWidth="1"/>
    <col min="7" max="7" width="7.86666666666667" hidden="1" customWidth="1"/>
    <col min="8" max="8" width="9.225" hidden="1" customWidth="1"/>
    <col min="9" max="9" width="8.13333333333333" hidden="1" customWidth="1"/>
    <col min="10" max="10" width="8.725" hidden="1" customWidth="1"/>
    <col min="11" max="11" width="10.6833333333333" hidden="1" customWidth="1"/>
    <col min="12" max="12" width="9.44166666666667" hidden="1" customWidth="1"/>
    <col min="13" max="13" width="7.725" hidden="1" customWidth="1"/>
    <col min="14" max="14" width="7.13333333333333" hidden="1" customWidth="1"/>
    <col min="15" max="16" width="8.725" hidden="1" customWidth="1"/>
    <col min="17" max="18" width="9.36666666666667" hidden="1" customWidth="1"/>
    <col min="19" max="19" width="9" hidden="1" customWidth="1"/>
    <col min="20" max="20" width="12" hidden="1" customWidth="1"/>
    <col min="21" max="21" width="8.5" hidden="1" customWidth="1"/>
    <col min="22" max="22" width="8.5" customWidth="1"/>
    <col min="23" max="23" width="9" customWidth="1"/>
    <col min="24" max="38" width="8.5" customWidth="1"/>
    <col min="39" max="39" width="13.5" customWidth="1"/>
    <col min="40" max="40" width="10.3666666666667" hidden="1" customWidth="1"/>
    <col min="41" max="55" width="8.5" hidden="1" customWidth="1"/>
    <col min="56" max="56" width="18.225" style="312" customWidth="1"/>
    <col min="57" max="57" width="17.1333333333333" hidden="1" customWidth="1"/>
  </cols>
  <sheetData>
    <row r="1" ht="27" spans="1:57">
      <c r="A1" s="313" t="s">
        <v>880</v>
      </c>
      <c r="B1" s="313"/>
      <c r="C1" s="313"/>
      <c r="D1" s="313"/>
      <c r="E1" s="314"/>
      <c r="F1" s="314"/>
      <c r="G1" s="314"/>
      <c r="H1" s="314"/>
      <c r="I1" s="314"/>
      <c r="J1" s="314"/>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3"/>
      <c r="BE1" s="314"/>
    </row>
    <row r="2" spans="1:57">
      <c r="A2" s="214"/>
      <c r="B2" s="214"/>
      <c r="C2" s="214"/>
      <c r="D2" s="214"/>
      <c r="E2" s="315"/>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340" t="s">
        <v>2</v>
      </c>
      <c r="BE2" s="343"/>
    </row>
    <row r="3" ht="21" customHeight="1" spans="1:57">
      <c r="A3" s="94" t="s">
        <v>162</v>
      </c>
      <c r="B3" s="288" t="s">
        <v>163</v>
      </c>
      <c r="C3" s="94" t="s">
        <v>164</v>
      </c>
      <c r="D3" s="94" t="s">
        <v>165</v>
      </c>
      <c r="E3" s="316" t="s">
        <v>122</v>
      </c>
      <c r="F3" s="317"/>
      <c r="G3" s="317"/>
      <c r="H3" s="317"/>
      <c r="I3" s="317"/>
      <c r="J3" s="317"/>
      <c r="K3" s="317"/>
      <c r="L3" s="317"/>
      <c r="M3" s="317"/>
      <c r="N3" s="317"/>
      <c r="O3" s="317"/>
      <c r="P3" s="317"/>
      <c r="Q3" s="317"/>
      <c r="R3" s="317"/>
      <c r="S3" s="317"/>
      <c r="T3" s="317"/>
      <c r="U3" s="331"/>
      <c r="V3" s="332" t="s">
        <v>758</v>
      </c>
      <c r="W3" s="333"/>
      <c r="X3" s="333"/>
      <c r="Y3" s="333"/>
      <c r="Z3" s="333"/>
      <c r="AA3" s="333"/>
      <c r="AB3" s="333"/>
      <c r="AC3" s="333"/>
      <c r="AD3" s="333"/>
      <c r="AE3" s="333"/>
      <c r="AF3" s="333"/>
      <c r="AG3" s="333"/>
      <c r="AH3" s="333"/>
      <c r="AI3" s="333"/>
      <c r="AJ3" s="333"/>
      <c r="AK3" s="333"/>
      <c r="AL3" s="337"/>
      <c r="AM3" s="338" t="s">
        <v>759</v>
      </c>
      <c r="AN3" s="338"/>
      <c r="AO3" s="338"/>
      <c r="AP3" s="338"/>
      <c r="AQ3" s="338"/>
      <c r="AR3" s="338"/>
      <c r="AS3" s="338"/>
      <c r="AT3" s="338"/>
      <c r="AU3" s="338"/>
      <c r="AV3" s="338"/>
      <c r="AW3" s="338"/>
      <c r="AX3" s="338"/>
      <c r="AY3" s="338"/>
      <c r="AZ3" s="338"/>
      <c r="BA3" s="338"/>
      <c r="BB3" s="338"/>
      <c r="BC3" s="338"/>
      <c r="BD3" s="29" t="s">
        <v>760</v>
      </c>
      <c r="BE3" s="339" t="s">
        <v>20</v>
      </c>
    </row>
    <row r="4" ht="21" customHeight="1" spans="1:57">
      <c r="A4" s="94"/>
      <c r="B4" s="275"/>
      <c r="C4" s="94"/>
      <c r="D4" s="94"/>
      <c r="E4" s="290" t="s">
        <v>881</v>
      </c>
      <c r="F4" s="294"/>
      <c r="G4" s="294"/>
      <c r="H4" s="294"/>
      <c r="I4" s="294"/>
      <c r="J4" s="294"/>
      <c r="K4" s="294"/>
      <c r="L4" s="294"/>
      <c r="M4" s="294"/>
      <c r="N4" s="294"/>
      <c r="O4" s="294"/>
      <c r="P4" s="294"/>
      <c r="Q4" s="294"/>
      <c r="R4" s="294"/>
      <c r="S4" s="294"/>
      <c r="T4" s="294"/>
      <c r="U4" s="271"/>
      <c r="V4" s="334" t="s">
        <v>881</v>
      </c>
      <c r="W4" s="335"/>
      <c r="X4" s="335"/>
      <c r="Y4" s="335"/>
      <c r="Z4" s="335"/>
      <c r="AA4" s="335"/>
      <c r="AB4" s="335"/>
      <c r="AC4" s="335"/>
      <c r="AD4" s="335"/>
      <c r="AE4" s="335"/>
      <c r="AF4" s="335"/>
      <c r="AG4" s="335"/>
      <c r="AH4" s="335"/>
      <c r="AI4" s="335"/>
      <c r="AJ4" s="335"/>
      <c r="AK4" s="335"/>
      <c r="AL4" s="339"/>
      <c r="AM4" s="94" t="s">
        <v>881</v>
      </c>
      <c r="AN4" s="94"/>
      <c r="AO4" s="94"/>
      <c r="AP4" s="94"/>
      <c r="AQ4" s="94"/>
      <c r="AR4" s="94"/>
      <c r="AS4" s="94"/>
      <c r="AT4" s="94"/>
      <c r="AU4" s="94"/>
      <c r="AV4" s="94"/>
      <c r="AW4" s="94"/>
      <c r="AX4" s="94"/>
      <c r="AY4" s="94"/>
      <c r="AZ4" s="94"/>
      <c r="BA4" s="94"/>
      <c r="BB4" s="94"/>
      <c r="BC4" s="94"/>
      <c r="BD4" s="29"/>
      <c r="BE4" s="339"/>
    </row>
    <row r="5" ht="51.95" customHeight="1" spans="1:57">
      <c r="A5" s="94"/>
      <c r="B5" s="274"/>
      <c r="C5" s="94"/>
      <c r="D5" s="94"/>
      <c r="E5" s="318" t="s">
        <v>129</v>
      </c>
      <c r="F5" s="115" t="s">
        <v>882</v>
      </c>
      <c r="G5" s="115" t="s">
        <v>883</v>
      </c>
      <c r="H5" s="115" t="s">
        <v>884</v>
      </c>
      <c r="I5" s="115" t="s">
        <v>885</v>
      </c>
      <c r="J5" s="115" t="s">
        <v>886</v>
      </c>
      <c r="K5" s="115" t="s">
        <v>887</v>
      </c>
      <c r="L5" s="115" t="s">
        <v>888</v>
      </c>
      <c r="M5" s="115" t="s">
        <v>889</v>
      </c>
      <c r="N5" s="115" t="s">
        <v>890</v>
      </c>
      <c r="O5" s="115" t="s">
        <v>891</v>
      </c>
      <c r="P5" s="115" t="s">
        <v>892</v>
      </c>
      <c r="Q5" s="336" t="s">
        <v>893</v>
      </c>
      <c r="R5" s="115" t="s">
        <v>894</v>
      </c>
      <c r="S5" s="115" t="s">
        <v>895</v>
      </c>
      <c r="T5" s="115" t="s">
        <v>896</v>
      </c>
      <c r="U5" s="115" t="s">
        <v>897</v>
      </c>
      <c r="V5" s="318" t="s">
        <v>129</v>
      </c>
      <c r="W5" s="115" t="s">
        <v>882</v>
      </c>
      <c r="X5" s="115" t="s">
        <v>883</v>
      </c>
      <c r="Y5" s="115" t="s">
        <v>884</v>
      </c>
      <c r="Z5" s="115" t="s">
        <v>885</v>
      </c>
      <c r="AA5" s="115" t="s">
        <v>886</v>
      </c>
      <c r="AB5" s="115" t="s">
        <v>887</v>
      </c>
      <c r="AC5" s="115" t="s">
        <v>888</v>
      </c>
      <c r="AD5" s="115" t="s">
        <v>889</v>
      </c>
      <c r="AE5" s="115" t="s">
        <v>890</v>
      </c>
      <c r="AF5" s="115" t="s">
        <v>891</v>
      </c>
      <c r="AG5" s="115" t="s">
        <v>892</v>
      </c>
      <c r="AH5" s="336" t="s">
        <v>893</v>
      </c>
      <c r="AI5" s="115" t="s">
        <v>894</v>
      </c>
      <c r="AJ5" s="115" t="s">
        <v>895</v>
      </c>
      <c r="AK5" s="115" t="s">
        <v>896</v>
      </c>
      <c r="AL5" s="115" t="s">
        <v>897</v>
      </c>
      <c r="AM5" s="318" t="s">
        <v>129</v>
      </c>
      <c r="AN5" s="115" t="s">
        <v>882</v>
      </c>
      <c r="AO5" s="115" t="s">
        <v>883</v>
      </c>
      <c r="AP5" s="115" t="s">
        <v>884</v>
      </c>
      <c r="AQ5" s="115" t="s">
        <v>885</v>
      </c>
      <c r="AR5" s="115" t="s">
        <v>886</v>
      </c>
      <c r="AS5" s="115" t="s">
        <v>887</v>
      </c>
      <c r="AT5" s="115" t="s">
        <v>888</v>
      </c>
      <c r="AU5" s="115" t="s">
        <v>889</v>
      </c>
      <c r="AV5" s="115" t="s">
        <v>890</v>
      </c>
      <c r="AW5" s="115" t="s">
        <v>891</v>
      </c>
      <c r="AX5" s="115" t="s">
        <v>892</v>
      </c>
      <c r="AY5" s="336" t="s">
        <v>893</v>
      </c>
      <c r="AZ5" s="115" t="s">
        <v>894</v>
      </c>
      <c r="BA5" s="115" t="s">
        <v>895</v>
      </c>
      <c r="BB5" s="115" t="s">
        <v>896</v>
      </c>
      <c r="BC5" s="115" t="s">
        <v>897</v>
      </c>
      <c r="BD5" s="29"/>
      <c r="BE5" s="344"/>
    </row>
    <row r="6" s="311" customFormat="1" ht="20.15" customHeight="1" spans="1:57">
      <c r="A6" s="319"/>
      <c r="B6" s="320"/>
      <c r="C6" s="320" t="s">
        <v>124</v>
      </c>
      <c r="D6" s="320"/>
      <c r="E6" s="321">
        <f>E7+E51+E58+E100+E102+E109+E116+E134+E138+E160+E163+E165+E168</f>
        <v>21604.2853</v>
      </c>
      <c r="F6" s="321">
        <f t="shared" ref="F6:BC6" si="0">F7+F51+F58+F100+F102+F109+F116+F134+F138+F160+F163+F165+F168</f>
        <v>11000</v>
      </c>
      <c r="G6" s="321">
        <f t="shared" si="0"/>
        <v>87.97</v>
      </c>
      <c r="H6" s="321">
        <f t="shared" si="0"/>
        <v>355.7</v>
      </c>
      <c r="I6" s="321">
        <f t="shared" si="0"/>
        <v>68.02</v>
      </c>
      <c r="J6" s="321">
        <f t="shared" si="0"/>
        <v>212.99</v>
      </c>
      <c r="K6" s="321">
        <f t="shared" si="0"/>
        <v>1385.13</v>
      </c>
      <c r="L6" s="321">
        <f t="shared" si="0"/>
        <v>400</v>
      </c>
      <c r="M6" s="321">
        <f t="shared" si="0"/>
        <v>50.72</v>
      </c>
      <c r="N6" s="321">
        <f t="shared" si="0"/>
        <v>33.7</v>
      </c>
      <c r="O6" s="321">
        <f t="shared" si="0"/>
        <v>478.1484</v>
      </c>
      <c r="P6" s="321">
        <f t="shared" si="0"/>
        <v>619.9848</v>
      </c>
      <c r="Q6" s="321">
        <f t="shared" si="0"/>
        <v>1821.4985</v>
      </c>
      <c r="R6" s="321">
        <f t="shared" si="0"/>
        <v>400.1</v>
      </c>
      <c r="S6" s="321">
        <f t="shared" si="0"/>
        <v>1803.217</v>
      </c>
      <c r="T6" s="321">
        <f t="shared" si="0"/>
        <v>2800.2766</v>
      </c>
      <c r="U6" s="321">
        <f t="shared" si="0"/>
        <v>86.83</v>
      </c>
      <c r="V6" s="321">
        <f t="shared" si="0"/>
        <v>762.964</v>
      </c>
      <c r="W6" s="321">
        <f t="shared" si="0"/>
        <v>0</v>
      </c>
      <c r="X6" s="321">
        <f t="shared" si="0"/>
        <v>212.2</v>
      </c>
      <c r="Y6" s="321">
        <f t="shared" si="0"/>
        <v>10.84</v>
      </c>
      <c r="Z6" s="321">
        <f t="shared" si="0"/>
        <v>0</v>
      </c>
      <c r="AA6" s="321">
        <f t="shared" si="0"/>
        <v>0</v>
      </c>
      <c r="AB6" s="321">
        <f t="shared" si="0"/>
        <v>537.32</v>
      </c>
      <c r="AC6" s="321">
        <f t="shared" si="0"/>
        <v>0</v>
      </c>
      <c r="AD6" s="321">
        <f t="shared" si="0"/>
        <v>6.16</v>
      </c>
      <c r="AE6" s="321">
        <f t="shared" si="0"/>
        <v>1.3</v>
      </c>
      <c r="AF6" s="321">
        <f t="shared" si="0"/>
        <v>46.0476</v>
      </c>
      <c r="AG6" s="321">
        <f t="shared" si="0"/>
        <v>76.3527</v>
      </c>
      <c r="AH6" s="321">
        <f t="shared" si="0"/>
        <v>0.69</v>
      </c>
      <c r="AI6" s="321">
        <f t="shared" si="0"/>
        <v>0.45</v>
      </c>
      <c r="AJ6" s="321">
        <f t="shared" si="0"/>
        <v>-328.198</v>
      </c>
      <c r="AK6" s="321">
        <f t="shared" si="0"/>
        <v>48.76</v>
      </c>
      <c r="AL6" s="321">
        <f t="shared" si="0"/>
        <v>151.0417</v>
      </c>
      <c r="AM6" s="321">
        <f t="shared" si="0"/>
        <v>22367.2493</v>
      </c>
      <c r="AN6" s="321">
        <f t="shared" si="0"/>
        <v>11000</v>
      </c>
      <c r="AO6" s="321">
        <f t="shared" si="0"/>
        <v>300.17</v>
      </c>
      <c r="AP6" s="321">
        <f t="shared" si="0"/>
        <v>366.54</v>
      </c>
      <c r="AQ6" s="321">
        <f t="shared" si="0"/>
        <v>68.02</v>
      </c>
      <c r="AR6" s="321">
        <f t="shared" si="0"/>
        <v>212.99</v>
      </c>
      <c r="AS6" s="321">
        <f t="shared" si="0"/>
        <v>1922.45</v>
      </c>
      <c r="AT6" s="321">
        <f t="shared" si="0"/>
        <v>400</v>
      </c>
      <c r="AU6" s="321">
        <f t="shared" si="0"/>
        <v>56.88</v>
      </c>
      <c r="AV6" s="321">
        <f t="shared" si="0"/>
        <v>35</v>
      </c>
      <c r="AW6" s="321">
        <f t="shared" si="0"/>
        <v>524.196</v>
      </c>
      <c r="AX6" s="321">
        <f t="shared" si="0"/>
        <v>696.3375</v>
      </c>
      <c r="AY6" s="321">
        <f t="shared" si="0"/>
        <v>1822.1885</v>
      </c>
      <c r="AZ6" s="321">
        <f t="shared" si="0"/>
        <v>400.55</v>
      </c>
      <c r="BA6" s="321">
        <f t="shared" si="0"/>
        <v>1475.019</v>
      </c>
      <c r="BB6" s="321">
        <f t="shared" si="0"/>
        <v>2849.0366</v>
      </c>
      <c r="BC6" s="321">
        <f t="shared" si="0"/>
        <v>237.8717</v>
      </c>
      <c r="BD6" s="341"/>
      <c r="BE6" s="345"/>
    </row>
    <row r="7" s="311" customFormat="1" ht="20.15" customHeight="1" spans="1:57">
      <c r="A7" s="319"/>
      <c r="B7" s="322"/>
      <c r="C7" s="323" t="s">
        <v>132</v>
      </c>
      <c r="D7" s="324">
        <v>201</v>
      </c>
      <c r="E7" s="321">
        <f>SUM(E8:E50)</f>
        <v>381.032</v>
      </c>
      <c r="F7" s="321">
        <f t="shared" ref="F7:BC7" si="1">SUM(F8:F50)</f>
        <v>0</v>
      </c>
      <c r="G7" s="321">
        <f t="shared" si="1"/>
        <v>0</v>
      </c>
      <c r="H7" s="321">
        <f t="shared" si="1"/>
        <v>0</v>
      </c>
      <c r="I7" s="321">
        <f t="shared" si="1"/>
        <v>0</v>
      </c>
      <c r="J7" s="321">
        <f t="shared" si="1"/>
        <v>0</v>
      </c>
      <c r="K7" s="321">
        <f t="shared" si="1"/>
        <v>0</v>
      </c>
      <c r="L7" s="321">
        <f t="shared" si="1"/>
        <v>0</v>
      </c>
      <c r="M7" s="321">
        <f t="shared" si="1"/>
        <v>0.72</v>
      </c>
      <c r="N7" s="321">
        <f t="shared" si="1"/>
        <v>0</v>
      </c>
      <c r="O7" s="321">
        <f t="shared" si="1"/>
        <v>279.184</v>
      </c>
      <c r="P7" s="321">
        <f t="shared" si="1"/>
        <v>2.55</v>
      </c>
      <c r="Q7" s="321">
        <f t="shared" si="1"/>
        <v>25.048</v>
      </c>
      <c r="R7" s="321">
        <f t="shared" si="1"/>
        <v>0</v>
      </c>
      <c r="S7" s="321">
        <f t="shared" si="1"/>
        <v>6.08</v>
      </c>
      <c r="T7" s="321">
        <f t="shared" si="1"/>
        <v>0</v>
      </c>
      <c r="U7" s="321">
        <f t="shared" si="1"/>
        <v>67.45</v>
      </c>
      <c r="V7" s="321">
        <f t="shared" si="1"/>
        <v>91.8602</v>
      </c>
      <c r="W7" s="321">
        <f t="shared" si="1"/>
        <v>0</v>
      </c>
      <c r="X7" s="321">
        <f t="shared" si="1"/>
        <v>0</v>
      </c>
      <c r="Y7" s="321">
        <f t="shared" si="1"/>
        <v>0</v>
      </c>
      <c r="Z7" s="321">
        <f t="shared" si="1"/>
        <v>0</v>
      </c>
      <c r="AA7" s="321">
        <f t="shared" si="1"/>
        <v>0</v>
      </c>
      <c r="AB7" s="321">
        <f t="shared" si="1"/>
        <v>0</v>
      </c>
      <c r="AC7" s="321">
        <f t="shared" si="1"/>
        <v>0</v>
      </c>
      <c r="AD7" s="321">
        <f t="shared" si="1"/>
        <v>6.16</v>
      </c>
      <c r="AE7" s="321">
        <f t="shared" si="1"/>
        <v>0</v>
      </c>
      <c r="AF7" s="321">
        <f t="shared" si="1"/>
        <v>26.5702</v>
      </c>
      <c r="AG7" s="321">
        <f t="shared" si="1"/>
        <v>0.218</v>
      </c>
      <c r="AH7" s="321">
        <f t="shared" si="1"/>
        <v>0.04</v>
      </c>
      <c r="AI7" s="321">
        <f t="shared" si="1"/>
        <v>0</v>
      </c>
      <c r="AJ7" s="321">
        <f t="shared" si="1"/>
        <v>0</v>
      </c>
      <c r="AK7" s="321">
        <f t="shared" si="1"/>
        <v>0</v>
      </c>
      <c r="AL7" s="321">
        <f t="shared" si="1"/>
        <v>58.872</v>
      </c>
      <c r="AM7" s="321">
        <f t="shared" si="1"/>
        <v>472.8922</v>
      </c>
      <c r="AN7" s="321">
        <f t="shared" si="1"/>
        <v>0</v>
      </c>
      <c r="AO7" s="321">
        <f t="shared" si="1"/>
        <v>0</v>
      </c>
      <c r="AP7" s="321">
        <f t="shared" si="1"/>
        <v>0</v>
      </c>
      <c r="AQ7" s="321">
        <f t="shared" si="1"/>
        <v>0</v>
      </c>
      <c r="AR7" s="321">
        <f t="shared" si="1"/>
        <v>0</v>
      </c>
      <c r="AS7" s="321">
        <f t="shared" si="1"/>
        <v>0</v>
      </c>
      <c r="AT7" s="321">
        <f t="shared" si="1"/>
        <v>0</v>
      </c>
      <c r="AU7" s="321">
        <f t="shared" si="1"/>
        <v>6.88</v>
      </c>
      <c r="AV7" s="321">
        <f t="shared" si="1"/>
        <v>0</v>
      </c>
      <c r="AW7" s="321">
        <f t="shared" si="1"/>
        <v>305.7542</v>
      </c>
      <c r="AX7" s="321">
        <f t="shared" si="1"/>
        <v>2.768</v>
      </c>
      <c r="AY7" s="321">
        <f t="shared" si="1"/>
        <v>25.088</v>
      </c>
      <c r="AZ7" s="321">
        <f t="shared" si="1"/>
        <v>0</v>
      </c>
      <c r="BA7" s="321">
        <f t="shared" si="1"/>
        <v>6.08</v>
      </c>
      <c r="BB7" s="321">
        <f t="shared" si="1"/>
        <v>0</v>
      </c>
      <c r="BC7" s="321">
        <f t="shared" si="1"/>
        <v>126.322</v>
      </c>
      <c r="BD7" s="341"/>
      <c r="BE7" s="345"/>
    </row>
    <row r="8" ht="24" spans="1:57">
      <c r="A8" s="304" t="s">
        <v>195</v>
      </c>
      <c r="B8" s="304" t="s">
        <v>196</v>
      </c>
      <c r="C8" s="304" t="s">
        <v>197</v>
      </c>
      <c r="D8" s="304" t="s">
        <v>198</v>
      </c>
      <c r="E8" s="325">
        <f t="shared" ref="E8:E15" si="2">SUM(F8:U8)</f>
        <v>1.704</v>
      </c>
      <c r="F8" s="325"/>
      <c r="G8" s="325"/>
      <c r="H8" s="325"/>
      <c r="I8" s="325"/>
      <c r="J8" s="325"/>
      <c r="K8" s="325"/>
      <c r="L8" s="325"/>
      <c r="M8" s="325"/>
      <c r="N8" s="325"/>
      <c r="O8" s="325">
        <v>1.704</v>
      </c>
      <c r="P8" s="325"/>
      <c r="Q8" s="325"/>
      <c r="R8" s="325"/>
      <c r="S8" s="325"/>
      <c r="T8" s="325"/>
      <c r="U8" s="325"/>
      <c r="V8" s="325">
        <f t="shared" ref="V8:V14" si="3">SUM(W8:AL8)</f>
        <v>1.25</v>
      </c>
      <c r="W8" s="325"/>
      <c r="X8" s="325"/>
      <c r="Y8" s="325"/>
      <c r="Z8" s="325"/>
      <c r="AA8" s="325"/>
      <c r="AB8" s="325"/>
      <c r="AC8" s="325"/>
      <c r="AD8" s="325"/>
      <c r="AE8" s="325"/>
      <c r="AF8" s="325">
        <v>1.25</v>
      </c>
      <c r="AG8" s="325"/>
      <c r="AH8" s="325"/>
      <c r="AI8" s="325"/>
      <c r="AJ8" s="325"/>
      <c r="AK8" s="325"/>
      <c r="AL8" s="325"/>
      <c r="AM8" s="325">
        <f t="shared" ref="AM8:AM14" si="4">SUM(AN8:BC8)</f>
        <v>2.954</v>
      </c>
      <c r="AN8" s="325">
        <f>F8+W8</f>
        <v>0</v>
      </c>
      <c r="AO8" s="325">
        <f t="shared" ref="AO8:BC8" si="5">G8+X8</f>
        <v>0</v>
      </c>
      <c r="AP8" s="325">
        <f t="shared" si="5"/>
        <v>0</v>
      </c>
      <c r="AQ8" s="325">
        <f t="shared" si="5"/>
        <v>0</v>
      </c>
      <c r="AR8" s="325">
        <f t="shared" si="5"/>
        <v>0</v>
      </c>
      <c r="AS8" s="325">
        <f t="shared" si="5"/>
        <v>0</v>
      </c>
      <c r="AT8" s="325">
        <f t="shared" si="5"/>
        <v>0</v>
      </c>
      <c r="AU8" s="325">
        <f t="shared" si="5"/>
        <v>0</v>
      </c>
      <c r="AV8" s="325">
        <f t="shared" si="5"/>
        <v>0</v>
      </c>
      <c r="AW8" s="325">
        <f t="shared" si="5"/>
        <v>2.954</v>
      </c>
      <c r="AX8" s="325">
        <f t="shared" si="5"/>
        <v>0</v>
      </c>
      <c r="AY8" s="325">
        <f t="shared" si="5"/>
        <v>0</v>
      </c>
      <c r="AZ8" s="325">
        <f t="shared" si="5"/>
        <v>0</v>
      </c>
      <c r="BA8" s="325">
        <f t="shared" si="5"/>
        <v>0</v>
      </c>
      <c r="BB8" s="325">
        <f t="shared" si="5"/>
        <v>0</v>
      </c>
      <c r="BC8" s="325">
        <f t="shared" si="5"/>
        <v>0</v>
      </c>
      <c r="BD8" s="342"/>
      <c r="BE8" s="97"/>
    </row>
    <row r="9" ht="24" spans="1:57">
      <c r="A9" s="304" t="s">
        <v>195</v>
      </c>
      <c r="B9" s="304" t="s">
        <v>196</v>
      </c>
      <c r="C9" s="304" t="s">
        <v>202</v>
      </c>
      <c r="D9" s="304" t="s">
        <v>203</v>
      </c>
      <c r="E9" s="325">
        <f t="shared" si="2"/>
        <v>2.77</v>
      </c>
      <c r="F9" s="325"/>
      <c r="G9" s="325"/>
      <c r="H9" s="325"/>
      <c r="I9" s="325"/>
      <c r="J9" s="325"/>
      <c r="K9" s="325"/>
      <c r="L9" s="325"/>
      <c r="M9" s="325"/>
      <c r="N9" s="325"/>
      <c r="O9" s="325">
        <v>2.77</v>
      </c>
      <c r="P9" s="325"/>
      <c r="Q9" s="325"/>
      <c r="R9" s="325"/>
      <c r="S9" s="325"/>
      <c r="T9" s="325"/>
      <c r="U9" s="325"/>
      <c r="V9" s="325">
        <f t="shared" si="3"/>
        <v>0.33</v>
      </c>
      <c r="W9" s="325"/>
      <c r="X9" s="325"/>
      <c r="Y9" s="325"/>
      <c r="Z9" s="325"/>
      <c r="AA9" s="325"/>
      <c r="AB9" s="325"/>
      <c r="AC9" s="325"/>
      <c r="AD9" s="325"/>
      <c r="AE9" s="325"/>
      <c r="AF9" s="325">
        <v>0.33</v>
      </c>
      <c r="AG9" s="325"/>
      <c r="AH9" s="325"/>
      <c r="AI9" s="325"/>
      <c r="AJ9" s="325"/>
      <c r="AK9" s="325"/>
      <c r="AL9" s="325"/>
      <c r="AM9" s="325">
        <f t="shared" si="4"/>
        <v>3.1</v>
      </c>
      <c r="AN9" s="325">
        <f t="shared" ref="AN9:BC9" si="6">F9+W9</f>
        <v>0</v>
      </c>
      <c r="AO9" s="325">
        <f t="shared" si="6"/>
        <v>0</v>
      </c>
      <c r="AP9" s="325">
        <f t="shared" si="6"/>
        <v>0</v>
      </c>
      <c r="AQ9" s="325">
        <f t="shared" si="6"/>
        <v>0</v>
      </c>
      <c r="AR9" s="325">
        <f t="shared" si="6"/>
        <v>0</v>
      </c>
      <c r="AS9" s="325">
        <f t="shared" si="6"/>
        <v>0</v>
      </c>
      <c r="AT9" s="325">
        <f t="shared" si="6"/>
        <v>0</v>
      </c>
      <c r="AU9" s="325">
        <f t="shared" si="6"/>
        <v>0</v>
      </c>
      <c r="AV9" s="325">
        <f t="shared" si="6"/>
        <v>0</v>
      </c>
      <c r="AW9" s="325">
        <f t="shared" si="6"/>
        <v>3.1</v>
      </c>
      <c r="AX9" s="325">
        <f t="shared" si="6"/>
        <v>0</v>
      </c>
      <c r="AY9" s="325">
        <f t="shared" si="6"/>
        <v>0</v>
      </c>
      <c r="AZ9" s="325">
        <f t="shared" si="6"/>
        <v>0</v>
      </c>
      <c r="BA9" s="325">
        <f t="shared" si="6"/>
        <v>0</v>
      </c>
      <c r="BB9" s="325">
        <f t="shared" si="6"/>
        <v>0</v>
      </c>
      <c r="BC9" s="325">
        <f t="shared" si="6"/>
        <v>0</v>
      </c>
      <c r="BD9" s="342"/>
      <c r="BE9" s="97"/>
    </row>
    <row r="10" ht="24" spans="1:57">
      <c r="A10" s="304" t="s">
        <v>195</v>
      </c>
      <c r="B10" s="304" t="s">
        <v>196</v>
      </c>
      <c r="C10" s="304" t="s">
        <v>369</v>
      </c>
      <c r="D10" s="304" t="s">
        <v>370</v>
      </c>
      <c r="E10" s="325">
        <f t="shared" si="2"/>
        <v>1.7</v>
      </c>
      <c r="F10" s="325"/>
      <c r="G10" s="325"/>
      <c r="H10" s="325"/>
      <c r="I10" s="325"/>
      <c r="J10" s="325"/>
      <c r="K10" s="325"/>
      <c r="L10" s="325"/>
      <c r="M10" s="325"/>
      <c r="N10" s="325"/>
      <c r="O10" s="325">
        <v>1.7</v>
      </c>
      <c r="P10" s="325"/>
      <c r="Q10" s="325"/>
      <c r="R10" s="325"/>
      <c r="S10" s="325"/>
      <c r="T10" s="325"/>
      <c r="U10" s="325"/>
      <c r="V10" s="325">
        <f t="shared" si="3"/>
        <v>1.32</v>
      </c>
      <c r="W10" s="325"/>
      <c r="X10" s="325"/>
      <c r="Y10" s="325"/>
      <c r="Z10" s="325"/>
      <c r="AA10" s="325"/>
      <c r="AB10" s="325"/>
      <c r="AC10" s="325"/>
      <c r="AD10" s="325"/>
      <c r="AE10" s="325"/>
      <c r="AF10" s="325">
        <v>1.32</v>
      </c>
      <c r="AG10" s="325"/>
      <c r="AH10" s="325"/>
      <c r="AI10" s="325"/>
      <c r="AJ10" s="325"/>
      <c r="AK10" s="325"/>
      <c r="AL10" s="325"/>
      <c r="AM10" s="325">
        <f t="shared" si="4"/>
        <v>3.02</v>
      </c>
      <c r="AN10" s="325">
        <f t="shared" ref="AN10:BC10" si="7">F10+W10</f>
        <v>0</v>
      </c>
      <c r="AO10" s="325">
        <f t="shared" si="7"/>
        <v>0</v>
      </c>
      <c r="AP10" s="325">
        <f t="shared" si="7"/>
        <v>0</v>
      </c>
      <c r="AQ10" s="325">
        <f t="shared" si="7"/>
        <v>0</v>
      </c>
      <c r="AR10" s="325">
        <f t="shared" si="7"/>
        <v>0</v>
      </c>
      <c r="AS10" s="325">
        <f t="shared" si="7"/>
        <v>0</v>
      </c>
      <c r="AT10" s="325">
        <f t="shared" si="7"/>
        <v>0</v>
      </c>
      <c r="AU10" s="325">
        <f t="shared" si="7"/>
        <v>0</v>
      </c>
      <c r="AV10" s="325">
        <f t="shared" si="7"/>
        <v>0</v>
      </c>
      <c r="AW10" s="325">
        <f t="shared" si="7"/>
        <v>3.02</v>
      </c>
      <c r="AX10" s="325">
        <f t="shared" si="7"/>
        <v>0</v>
      </c>
      <c r="AY10" s="325">
        <f t="shared" si="7"/>
        <v>0</v>
      </c>
      <c r="AZ10" s="325">
        <f t="shared" si="7"/>
        <v>0</v>
      </c>
      <c r="BA10" s="325">
        <f t="shared" si="7"/>
        <v>0</v>
      </c>
      <c r="BB10" s="325">
        <f t="shared" si="7"/>
        <v>0</v>
      </c>
      <c r="BC10" s="325">
        <f t="shared" si="7"/>
        <v>0</v>
      </c>
      <c r="BD10" s="342"/>
      <c r="BE10" s="97"/>
    </row>
    <row r="11" ht="24" spans="1:57">
      <c r="A11" s="304" t="s">
        <v>195</v>
      </c>
      <c r="B11" s="304" t="s">
        <v>196</v>
      </c>
      <c r="C11" s="304" t="s">
        <v>384</v>
      </c>
      <c r="D11" s="304" t="s">
        <v>385</v>
      </c>
      <c r="E11" s="325">
        <f t="shared" si="2"/>
        <v>2.56</v>
      </c>
      <c r="F11" s="325"/>
      <c r="G11" s="325"/>
      <c r="H11" s="325"/>
      <c r="I11" s="325"/>
      <c r="J11" s="325"/>
      <c r="K11" s="325"/>
      <c r="L11" s="325"/>
      <c r="M11" s="325"/>
      <c r="N11" s="325"/>
      <c r="O11" s="325">
        <v>2.56</v>
      </c>
      <c r="P11" s="325"/>
      <c r="Q11" s="325"/>
      <c r="R11" s="325"/>
      <c r="S11" s="325"/>
      <c r="T11" s="325"/>
      <c r="U11" s="325"/>
      <c r="V11" s="325">
        <f t="shared" si="3"/>
        <v>31.74</v>
      </c>
      <c r="W11" s="325"/>
      <c r="X11" s="325"/>
      <c r="Y11" s="325"/>
      <c r="Z11" s="325"/>
      <c r="AA11" s="325"/>
      <c r="AB11" s="325"/>
      <c r="AC11" s="325"/>
      <c r="AD11" s="325"/>
      <c r="AE11" s="325"/>
      <c r="AF11" s="325">
        <v>1.31</v>
      </c>
      <c r="AG11" s="325"/>
      <c r="AH11" s="325"/>
      <c r="AI11" s="325"/>
      <c r="AJ11" s="325"/>
      <c r="AK11" s="325"/>
      <c r="AL11" s="325">
        <v>30.43</v>
      </c>
      <c r="AM11" s="325">
        <f t="shared" si="4"/>
        <v>34.3</v>
      </c>
      <c r="AN11" s="325">
        <f t="shared" ref="AN11:BC11" si="8">F11+W11</f>
        <v>0</v>
      </c>
      <c r="AO11" s="325">
        <f t="shared" si="8"/>
        <v>0</v>
      </c>
      <c r="AP11" s="325">
        <f t="shared" si="8"/>
        <v>0</v>
      </c>
      <c r="AQ11" s="325">
        <f t="shared" si="8"/>
        <v>0</v>
      </c>
      <c r="AR11" s="325">
        <f t="shared" si="8"/>
        <v>0</v>
      </c>
      <c r="AS11" s="325">
        <f t="shared" si="8"/>
        <v>0</v>
      </c>
      <c r="AT11" s="325">
        <f t="shared" si="8"/>
        <v>0</v>
      </c>
      <c r="AU11" s="325">
        <f t="shared" si="8"/>
        <v>0</v>
      </c>
      <c r="AV11" s="325">
        <f t="shared" si="8"/>
        <v>0</v>
      </c>
      <c r="AW11" s="325">
        <f t="shared" si="8"/>
        <v>3.87</v>
      </c>
      <c r="AX11" s="325">
        <f t="shared" si="8"/>
        <v>0</v>
      </c>
      <c r="AY11" s="325">
        <f t="shared" si="8"/>
        <v>0</v>
      </c>
      <c r="AZ11" s="325">
        <f t="shared" si="8"/>
        <v>0</v>
      </c>
      <c r="BA11" s="325">
        <f t="shared" si="8"/>
        <v>0</v>
      </c>
      <c r="BB11" s="325">
        <f t="shared" si="8"/>
        <v>0</v>
      </c>
      <c r="BC11" s="325">
        <f t="shared" si="8"/>
        <v>30.43</v>
      </c>
      <c r="BD11" s="342" t="s">
        <v>898</v>
      </c>
      <c r="BE11" s="97"/>
    </row>
    <row r="12" ht="24" spans="1:57">
      <c r="A12" s="304" t="s">
        <v>195</v>
      </c>
      <c r="B12" s="304" t="s">
        <v>196</v>
      </c>
      <c r="C12" s="304" t="s">
        <v>399</v>
      </c>
      <c r="D12" s="304" t="s">
        <v>400</v>
      </c>
      <c r="E12" s="325">
        <f t="shared" si="2"/>
        <v>1.7</v>
      </c>
      <c r="F12" s="325"/>
      <c r="G12" s="325"/>
      <c r="H12" s="325"/>
      <c r="I12" s="325"/>
      <c r="J12" s="325"/>
      <c r="K12" s="325"/>
      <c r="L12" s="325"/>
      <c r="M12" s="325"/>
      <c r="N12" s="325"/>
      <c r="O12" s="325">
        <v>1.7</v>
      </c>
      <c r="P12" s="325"/>
      <c r="Q12" s="325"/>
      <c r="R12" s="325"/>
      <c r="S12" s="325"/>
      <c r="T12" s="325"/>
      <c r="U12" s="325"/>
      <c r="V12" s="325">
        <f t="shared" si="3"/>
        <v>0</v>
      </c>
      <c r="W12" s="325"/>
      <c r="X12" s="325"/>
      <c r="Y12" s="325"/>
      <c r="Z12" s="325"/>
      <c r="AA12" s="325"/>
      <c r="AB12" s="325"/>
      <c r="AC12" s="325"/>
      <c r="AD12" s="325"/>
      <c r="AE12" s="325"/>
      <c r="AF12" s="325"/>
      <c r="AG12" s="325"/>
      <c r="AH12" s="325"/>
      <c r="AI12" s="325"/>
      <c r="AJ12" s="325"/>
      <c r="AK12" s="325"/>
      <c r="AL12" s="325"/>
      <c r="AM12" s="325">
        <f t="shared" si="4"/>
        <v>1.7</v>
      </c>
      <c r="AN12" s="325">
        <f t="shared" ref="AN12:BC12" si="9">F12+W12</f>
        <v>0</v>
      </c>
      <c r="AO12" s="325">
        <f t="shared" si="9"/>
        <v>0</v>
      </c>
      <c r="AP12" s="325">
        <f t="shared" si="9"/>
        <v>0</v>
      </c>
      <c r="AQ12" s="325">
        <f t="shared" si="9"/>
        <v>0</v>
      </c>
      <c r="AR12" s="325">
        <f t="shared" si="9"/>
        <v>0</v>
      </c>
      <c r="AS12" s="325">
        <f t="shared" si="9"/>
        <v>0</v>
      </c>
      <c r="AT12" s="325">
        <f t="shared" si="9"/>
        <v>0</v>
      </c>
      <c r="AU12" s="325">
        <f t="shared" si="9"/>
        <v>0</v>
      </c>
      <c r="AV12" s="325">
        <f t="shared" si="9"/>
        <v>0</v>
      </c>
      <c r="AW12" s="325">
        <f t="shared" si="9"/>
        <v>1.7</v>
      </c>
      <c r="AX12" s="325">
        <f t="shared" si="9"/>
        <v>0</v>
      </c>
      <c r="AY12" s="325">
        <f t="shared" si="9"/>
        <v>0</v>
      </c>
      <c r="AZ12" s="325">
        <f t="shared" si="9"/>
        <v>0</v>
      </c>
      <c r="BA12" s="325">
        <f t="shared" si="9"/>
        <v>0</v>
      </c>
      <c r="BB12" s="325">
        <f t="shared" si="9"/>
        <v>0</v>
      </c>
      <c r="BC12" s="325">
        <f t="shared" si="9"/>
        <v>0</v>
      </c>
      <c r="BD12" s="342"/>
      <c r="BE12" s="97"/>
    </row>
    <row r="13" ht="24" spans="1:57">
      <c r="A13" s="304" t="s">
        <v>195</v>
      </c>
      <c r="B13" s="304" t="s">
        <v>196</v>
      </c>
      <c r="C13" s="304" t="s">
        <v>210</v>
      </c>
      <c r="D13" s="304" t="s">
        <v>211</v>
      </c>
      <c r="E13" s="325">
        <f t="shared" si="2"/>
        <v>1.71</v>
      </c>
      <c r="F13" s="325"/>
      <c r="G13" s="325"/>
      <c r="H13" s="325"/>
      <c r="I13" s="325"/>
      <c r="J13" s="325"/>
      <c r="K13" s="325"/>
      <c r="L13" s="325"/>
      <c r="M13" s="325"/>
      <c r="N13" s="325"/>
      <c r="O13" s="325">
        <v>1.71</v>
      </c>
      <c r="P13" s="325"/>
      <c r="Q13" s="325"/>
      <c r="R13" s="325"/>
      <c r="S13" s="325"/>
      <c r="T13" s="325"/>
      <c r="U13" s="325"/>
      <c r="V13" s="325">
        <f t="shared" si="3"/>
        <v>0.22</v>
      </c>
      <c r="W13" s="325"/>
      <c r="X13" s="325"/>
      <c r="Y13" s="325"/>
      <c r="Z13" s="325"/>
      <c r="AA13" s="325"/>
      <c r="AB13" s="325"/>
      <c r="AC13" s="325"/>
      <c r="AD13" s="325"/>
      <c r="AE13" s="325"/>
      <c r="AF13" s="325">
        <v>0.22</v>
      </c>
      <c r="AG13" s="325"/>
      <c r="AH13" s="325"/>
      <c r="AI13" s="325"/>
      <c r="AJ13" s="325"/>
      <c r="AK13" s="325"/>
      <c r="AL13" s="325"/>
      <c r="AM13" s="325">
        <f t="shared" si="4"/>
        <v>1.93</v>
      </c>
      <c r="AN13" s="325">
        <f t="shared" ref="AN13:BC13" si="10">F13+W13</f>
        <v>0</v>
      </c>
      <c r="AO13" s="325">
        <f t="shared" si="10"/>
        <v>0</v>
      </c>
      <c r="AP13" s="325">
        <f t="shared" si="10"/>
        <v>0</v>
      </c>
      <c r="AQ13" s="325">
        <f t="shared" si="10"/>
        <v>0</v>
      </c>
      <c r="AR13" s="325">
        <f t="shared" si="10"/>
        <v>0</v>
      </c>
      <c r="AS13" s="325">
        <f t="shared" si="10"/>
        <v>0</v>
      </c>
      <c r="AT13" s="325">
        <f t="shared" si="10"/>
        <v>0</v>
      </c>
      <c r="AU13" s="325">
        <f t="shared" si="10"/>
        <v>0</v>
      </c>
      <c r="AV13" s="325">
        <f t="shared" si="10"/>
        <v>0</v>
      </c>
      <c r="AW13" s="325">
        <f t="shared" si="10"/>
        <v>1.93</v>
      </c>
      <c r="AX13" s="325">
        <f t="shared" si="10"/>
        <v>0</v>
      </c>
      <c r="AY13" s="325">
        <f t="shared" si="10"/>
        <v>0</v>
      </c>
      <c r="AZ13" s="325">
        <f t="shared" si="10"/>
        <v>0</v>
      </c>
      <c r="BA13" s="325">
        <f t="shared" si="10"/>
        <v>0</v>
      </c>
      <c r="BB13" s="325">
        <f t="shared" si="10"/>
        <v>0</v>
      </c>
      <c r="BC13" s="325">
        <f t="shared" si="10"/>
        <v>0</v>
      </c>
      <c r="BD13" s="342"/>
      <c r="BE13" s="97"/>
    </row>
    <row r="14" ht="25" customHeight="1" spans="1:57">
      <c r="A14" s="304" t="s">
        <v>195</v>
      </c>
      <c r="B14" s="304" t="s">
        <v>196</v>
      </c>
      <c r="C14" s="304" t="s">
        <v>372</v>
      </c>
      <c r="D14" s="304" t="s">
        <v>370</v>
      </c>
      <c r="E14" s="325">
        <f t="shared" si="2"/>
        <v>0</v>
      </c>
      <c r="F14" s="325"/>
      <c r="G14" s="325"/>
      <c r="H14" s="325"/>
      <c r="I14" s="325"/>
      <c r="J14" s="325"/>
      <c r="K14" s="325"/>
      <c r="L14" s="325"/>
      <c r="M14" s="325"/>
      <c r="N14" s="325"/>
      <c r="O14" s="325"/>
      <c r="P14" s="325"/>
      <c r="Q14" s="325"/>
      <c r="R14" s="325"/>
      <c r="S14" s="325"/>
      <c r="T14" s="325"/>
      <c r="U14" s="325"/>
      <c r="V14" s="325">
        <f t="shared" si="3"/>
        <v>0.96</v>
      </c>
      <c r="W14" s="325"/>
      <c r="X14" s="325"/>
      <c r="Y14" s="325"/>
      <c r="Z14" s="325"/>
      <c r="AA14" s="325"/>
      <c r="AB14" s="325"/>
      <c r="AC14" s="325"/>
      <c r="AD14" s="325"/>
      <c r="AE14" s="325"/>
      <c r="AF14" s="325">
        <v>0.96</v>
      </c>
      <c r="AG14" s="325"/>
      <c r="AH14" s="325"/>
      <c r="AI14" s="325"/>
      <c r="AJ14" s="325"/>
      <c r="AK14" s="325"/>
      <c r="AL14" s="325"/>
      <c r="AM14" s="325">
        <f t="shared" si="4"/>
        <v>0.96</v>
      </c>
      <c r="AN14" s="325">
        <f t="shared" ref="AN14:BC14" si="11">F14+W14</f>
        <v>0</v>
      </c>
      <c r="AO14" s="325">
        <f t="shared" si="11"/>
        <v>0</v>
      </c>
      <c r="AP14" s="325">
        <f t="shared" si="11"/>
        <v>0</v>
      </c>
      <c r="AQ14" s="325">
        <f t="shared" si="11"/>
        <v>0</v>
      </c>
      <c r="AR14" s="325">
        <f t="shared" si="11"/>
        <v>0</v>
      </c>
      <c r="AS14" s="325">
        <f t="shared" si="11"/>
        <v>0</v>
      </c>
      <c r="AT14" s="325">
        <f t="shared" si="11"/>
        <v>0</v>
      </c>
      <c r="AU14" s="325">
        <f t="shared" si="11"/>
        <v>0</v>
      </c>
      <c r="AV14" s="325">
        <f t="shared" si="11"/>
        <v>0</v>
      </c>
      <c r="AW14" s="325">
        <f t="shared" si="11"/>
        <v>0.96</v>
      </c>
      <c r="AX14" s="325">
        <f t="shared" si="11"/>
        <v>0</v>
      </c>
      <c r="AY14" s="325">
        <f t="shared" si="11"/>
        <v>0</v>
      </c>
      <c r="AZ14" s="325">
        <f t="shared" si="11"/>
        <v>0</v>
      </c>
      <c r="BA14" s="325">
        <f t="shared" si="11"/>
        <v>0</v>
      </c>
      <c r="BB14" s="325">
        <f t="shared" si="11"/>
        <v>0</v>
      </c>
      <c r="BC14" s="325">
        <f t="shared" si="11"/>
        <v>0</v>
      </c>
      <c r="BD14" s="342"/>
      <c r="BE14" s="97"/>
    </row>
    <row r="15" ht="24" spans="1:57">
      <c r="A15" s="304" t="s">
        <v>195</v>
      </c>
      <c r="B15" s="304" t="s">
        <v>196</v>
      </c>
      <c r="C15" s="304" t="s">
        <v>390</v>
      </c>
      <c r="D15" s="304" t="s">
        <v>391</v>
      </c>
      <c r="E15" s="325">
        <f t="shared" si="2"/>
        <v>32.12</v>
      </c>
      <c r="F15" s="325"/>
      <c r="G15" s="325"/>
      <c r="H15" s="325"/>
      <c r="I15" s="325"/>
      <c r="J15" s="325"/>
      <c r="K15" s="325"/>
      <c r="L15" s="325"/>
      <c r="M15" s="325"/>
      <c r="N15" s="325"/>
      <c r="O15" s="325">
        <v>7.67</v>
      </c>
      <c r="P15" s="325"/>
      <c r="Q15" s="325">
        <v>24.45</v>
      </c>
      <c r="R15" s="325"/>
      <c r="S15" s="325"/>
      <c r="T15" s="325"/>
      <c r="U15" s="325"/>
      <c r="V15" s="325">
        <f t="shared" ref="V15:V24" si="12">SUM(W15:AL15)</f>
        <v>5.44</v>
      </c>
      <c r="W15" s="325"/>
      <c r="X15" s="325"/>
      <c r="Y15" s="325"/>
      <c r="Z15" s="325"/>
      <c r="AA15" s="325"/>
      <c r="AB15" s="325"/>
      <c r="AC15" s="325"/>
      <c r="AD15" s="325"/>
      <c r="AE15" s="325"/>
      <c r="AF15" s="325">
        <v>1.72</v>
      </c>
      <c r="AG15" s="325"/>
      <c r="AH15" s="325">
        <v>0.04</v>
      </c>
      <c r="AI15" s="325"/>
      <c r="AJ15" s="325"/>
      <c r="AK15" s="325"/>
      <c r="AL15" s="325">
        <v>3.68</v>
      </c>
      <c r="AM15" s="325">
        <f t="shared" ref="AM15:AM24" si="13">SUM(AN15:BC15)</f>
        <v>37.56</v>
      </c>
      <c r="AN15" s="325">
        <f t="shared" ref="AN15:BC15" si="14">F15+W15</f>
        <v>0</v>
      </c>
      <c r="AO15" s="325">
        <f t="shared" si="14"/>
        <v>0</v>
      </c>
      <c r="AP15" s="325">
        <f t="shared" si="14"/>
        <v>0</v>
      </c>
      <c r="AQ15" s="325">
        <f t="shared" si="14"/>
        <v>0</v>
      </c>
      <c r="AR15" s="325">
        <f t="shared" si="14"/>
        <v>0</v>
      </c>
      <c r="AS15" s="325">
        <f t="shared" si="14"/>
        <v>0</v>
      </c>
      <c r="AT15" s="325">
        <f t="shared" si="14"/>
        <v>0</v>
      </c>
      <c r="AU15" s="325">
        <f t="shared" si="14"/>
        <v>0</v>
      </c>
      <c r="AV15" s="325">
        <f t="shared" si="14"/>
        <v>0</v>
      </c>
      <c r="AW15" s="325">
        <f t="shared" si="14"/>
        <v>9.39</v>
      </c>
      <c r="AX15" s="325">
        <f t="shared" si="14"/>
        <v>0</v>
      </c>
      <c r="AY15" s="325">
        <f t="shared" si="14"/>
        <v>24.49</v>
      </c>
      <c r="AZ15" s="325">
        <f t="shared" si="14"/>
        <v>0</v>
      </c>
      <c r="BA15" s="325">
        <f t="shared" si="14"/>
        <v>0</v>
      </c>
      <c r="BB15" s="325">
        <f t="shared" si="14"/>
        <v>0</v>
      </c>
      <c r="BC15" s="325">
        <f t="shared" si="14"/>
        <v>3.68</v>
      </c>
      <c r="BD15" s="342" t="s">
        <v>899</v>
      </c>
      <c r="BE15" s="97"/>
    </row>
    <row r="16" ht="24" spans="1:57">
      <c r="A16" s="304" t="s">
        <v>195</v>
      </c>
      <c r="B16" s="304" t="s">
        <v>196</v>
      </c>
      <c r="C16" s="304" t="s">
        <v>394</v>
      </c>
      <c r="D16" s="304" t="s">
        <v>395</v>
      </c>
      <c r="E16" s="325">
        <f t="shared" ref="E16:E23" si="15">SUM(F16:U16)</f>
        <v>1.82</v>
      </c>
      <c r="F16" s="325"/>
      <c r="G16" s="325"/>
      <c r="H16" s="325"/>
      <c r="I16" s="325"/>
      <c r="J16" s="325"/>
      <c r="K16" s="325"/>
      <c r="L16" s="325"/>
      <c r="M16" s="325"/>
      <c r="N16" s="325"/>
      <c r="O16" s="325">
        <v>1.7</v>
      </c>
      <c r="P16" s="325"/>
      <c r="Q16" s="325">
        <v>0.12</v>
      </c>
      <c r="R16" s="325"/>
      <c r="S16" s="325"/>
      <c r="T16" s="325"/>
      <c r="U16" s="325"/>
      <c r="V16" s="325">
        <f t="shared" si="12"/>
        <v>0.23</v>
      </c>
      <c r="W16" s="325"/>
      <c r="X16" s="325"/>
      <c r="Y16" s="325"/>
      <c r="Z16" s="325"/>
      <c r="AA16" s="325"/>
      <c r="AB16" s="325"/>
      <c r="AC16" s="325"/>
      <c r="AD16" s="325"/>
      <c r="AE16" s="325"/>
      <c r="AF16" s="325">
        <v>0.23</v>
      </c>
      <c r="AG16" s="325"/>
      <c r="AH16" s="325"/>
      <c r="AI16" s="325"/>
      <c r="AJ16" s="325"/>
      <c r="AK16" s="325"/>
      <c r="AL16" s="325"/>
      <c r="AM16" s="325">
        <f t="shared" si="13"/>
        <v>2.05</v>
      </c>
      <c r="AN16" s="325">
        <f t="shared" ref="AN16:BC16" si="16">F16+W16</f>
        <v>0</v>
      </c>
      <c r="AO16" s="325">
        <f t="shared" si="16"/>
        <v>0</v>
      </c>
      <c r="AP16" s="325">
        <f t="shared" si="16"/>
        <v>0</v>
      </c>
      <c r="AQ16" s="325">
        <f t="shared" si="16"/>
        <v>0</v>
      </c>
      <c r="AR16" s="325">
        <f t="shared" si="16"/>
        <v>0</v>
      </c>
      <c r="AS16" s="325">
        <f t="shared" si="16"/>
        <v>0</v>
      </c>
      <c r="AT16" s="325">
        <f t="shared" si="16"/>
        <v>0</v>
      </c>
      <c r="AU16" s="325">
        <f t="shared" si="16"/>
        <v>0</v>
      </c>
      <c r="AV16" s="325">
        <f t="shared" si="16"/>
        <v>0</v>
      </c>
      <c r="AW16" s="325">
        <f t="shared" si="16"/>
        <v>1.93</v>
      </c>
      <c r="AX16" s="325">
        <f t="shared" si="16"/>
        <v>0</v>
      </c>
      <c r="AY16" s="325">
        <f t="shared" si="16"/>
        <v>0.12</v>
      </c>
      <c r="AZ16" s="325">
        <f t="shared" si="16"/>
        <v>0</v>
      </c>
      <c r="BA16" s="325">
        <f t="shared" si="16"/>
        <v>0</v>
      </c>
      <c r="BB16" s="325">
        <f t="shared" si="16"/>
        <v>0</v>
      </c>
      <c r="BC16" s="325">
        <f t="shared" si="16"/>
        <v>0</v>
      </c>
      <c r="BD16" s="342"/>
      <c r="BE16" s="97"/>
    </row>
    <row r="17" ht="24" spans="1:57">
      <c r="A17" s="304" t="s">
        <v>195</v>
      </c>
      <c r="B17" s="304" t="s">
        <v>196</v>
      </c>
      <c r="C17" s="304" t="s">
        <v>323</v>
      </c>
      <c r="D17" s="304" t="s">
        <v>324</v>
      </c>
      <c r="E17" s="325">
        <f t="shared" si="15"/>
        <v>2.56</v>
      </c>
      <c r="F17" s="325"/>
      <c r="G17" s="325"/>
      <c r="H17" s="325"/>
      <c r="I17" s="325"/>
      <c r="J17" s="325"/>
      <c r="K17" s="325"/>
      <c r="L17" s="325"/>
      <c r="M17" s="325"/>
      <c r="N17" s="325"/>
      <c r="O17" s="325">
        <v>2.56</v>
      </c>
      <c r="P17" s="325"/>
      <c r="Q17" s="325"/>
      <c r="R17" s="325"/>
      <c r="S17" s="325"/>
      <c r="T17" s="325"/>
      <c r="U17" s="325"/>
      <c r="V17" s="325">
        <f t="shared" si="12"/>
        <v>0.32</v>
      </c>
      <c r="W17" s="325"/>
      <c r="X17" s="325"/>
      <c r="Y17" s="325"/>
      <c r="Z17" s="325"/>
      <c r="AA17" s="325"/>
      <c r="AB17" s="325"/>
      <c r="AC17" s="325"/>
      <c r="AD17" s="325"/>
      <c r="AE17" s="325"/>
      <c r="AF17" s="325">
        <v>0.32</v>
      </c>
      <c r="AG17" s="325"/>
      <c r="AH17" s="325"/>
      <c r="AI17" s="325"/>
      <c r="AJ17" s="325"/>
      <c r="AK17" s="325"/>
      <c r="AL17" s="325"/>
      <c r="AM17" s="325">
        <f t="shared" si="13"/>
        <v>2.88</v>
      </c>
      <c r="AN17" s="325">
        <f t="shared" ref="AN17:BC17" si="17">F17+W17</f>
        <v>0</v>
      </c>
      <c r="AO17" s="325">
        <f t="shared" si="17"/>
        <v>0</v>
      </c>
      <c r="AP17" s="325">
        <f t="shared" si="17"/>
        <v>0</v>
      </c>
      <c r="AQ17" s="325">
        <f t="shared" si="17"/>
        <v>0</v>
      </c>
      <c r="AR17" s="325">
        <f t="shared" si="17"/>
        <v>0</v>
      </c>
      <c r="AS17" s="325">
        <f t="shared" si="17"/>
        <v>0</v>
      </c>
      <c r="AT17" s="325">
        <f t="shared" si="17"/>
        <v>0</v>
      </c>
      <c r="AU17" s="325">
        <f t="shared" si="17"/>
        <v>0</v>
      </c>
      <c r="AV17" s="325">
        <f t="shared" si="17"/>
        <v>0</v>
      </c>
      <c r="AW17" s="325">
        <f t="shared" si="17"/>
        <v>2.88</v>
      </c>
      <c r="AX17" s="325">
        <f t="shared" si="17"/>
        <v>0</v>
      </c>
      <c r="AY17" s="325">
        <f t="shared" si="17"/>
        <v>0</v>
      </c>
      <c r="AZ17" s="325">
        <f t="shared" si="17"/>
        <v>0</v>
      </c>
      <c r="BA17" s="325">
        <f t="shared" si="17"/>
        <v>0</v>
      </c>
      <c r="BB17" s="325">
        <f t="shared" si="17"/>
        <v>0</v>
      </c>
      <c r="BC17" s="325">
        <f t="shared" si="17"/>
        <v>0</v>
      </c>
      <c r="BD17" s="342"/>
      <c r="BE17" s="97"/>
    </row>
    <row r="18" ht="24" spans="1:57">
      <c r="A18" s="304" t="s">
        <v>195</v>
      </c>
      <c r="B18" s="304" t="s">
        <v>196</v>
      </c>
      <c r="C18" s="304" t="s">
        <v>346</v>
      </c>
      <c r="D18" s="304" t="s">
        <v>347</v>
      </c>
      <c r="E18" s="325">
        <f t="shared" si="15"/>
        <v>0.852</v>
      </c>
      <c r="F18" s="325"/>
      <c r="G18" s="325"/>
      <c r="H18" s="325"/>
      <c r="I18" s="325"/>
      <c r="J18" s="325"/>
      <c r="K18" s="325"/>
      <c r="L18" s="325"/>
      <c r="M18" s="325"/>
      <c r="N18" s="325"/>
      <c r="O18" s="325">
        <v>0.852</v>
      </c>
      <c r="P18" s="325"/>
      <c r="Q18" s="325"/>
      <c r="R18" s="325"/>
      <c r="S18" s="325"/>
      <c r="T18" s="325"/>
      <c r="U18" s="325"/>
      <c r="V18" s="325">
        <f t="shared" si="12"/>
        <v>0.108</v>
      </c>
      <c r="W18" s="325"/>
      <c r="X18" s="325"/>
      <c r="Y18" s="325"/>
      <c r="Z18" s="325"/>
      <c r="AA18" s="325"/>
      <c r="AB18" s="325"/>
      <c r="AC18" s="325"/>
      <c r="AD18" s="325"/>
      <c r="AE18" s="325"/>
      <c r="AF18" s="325">
        <v>0.108</v>
      </c>
      <c r="AG18" s="325"/>
      <c r="AH18" s="325"/>
      <c r="AI18" s="325"/>
      <c r="AJ18" s="325"/>
      <c r="AK18" s="325"/>
      <c r="AL18" s="325"/>
      <c r="AM18" s="325">
        <f t="shared" si="13"/>
        <v>0.96</v>
      </c>
      <c r="AN18" s="325">
        <f t="shared" ref="AN18:BC18" si="18">F18+W18</f>
        <v>0</v>
      </c>
      <c r="AO18" s="325">
        <f t="shared" si="18"/>
        <v>0</v>
      </c>
      <c r="AP18" s="325">
        <f t="shared" si="18"/>
        <v>0</v>
      </c>
      <c r="AQ18" s="325">
        <f t="shared" si="18"/>
        <v>0</v>
      </c>
      <c r="AR18" s="325">
        <f t="shared" si="18"/>
        <v>0</v>
      </c>
      <c r="AS18" s="325">
        <f t="shared" si="18"/>
        <v>0</v>
      </c>
      <c r="AT18" s="325">
        <f t="shared" si="18"/>
        <v>0</v>
      </c>
      <c r="AU18" s="325">
        <f t="shared" si="18"/>
        <v>0</v>
      </c>
      <c r="AV18" s="325">
        <f t="shared" si="18"/>
        <v>0</v>
      </c>
      <c r="AW18" s="325">
        <f t="shared" si="18"/>
        <v>0.96</v>
      </c>
      <c r="AX18" s="325">
        <f t="shared" si="18"/>
        <v>0</v>
      </c>
      <c r="AY18" s="325">
        <f t="shared" si="18"/>
        <v>0</v>
      </c>
      <c r="AZ18" s="325">
        <f t="shared" si="18"/>
        <v>0</v>
      </c>
      <c r="BA18" s="325">
        <f t="shared" si="18"/>
        <v>0</v>
      </c>
      <c r="BB18" s="325">
        <f t="shared" si="18"/>
        <v>0</v>
      </c>
      <c r="BC18" s="325">
        <f t="shared" si="18"/>
        <v>0</v>
      </c>
      <c r="BD18" s="342"/>
      <c r="BE18" s="97"/>
    </row>
    <row r="19" ht="24" spans="1:57">
      <c r="A19" s="304" t="s">
        <v>195</v>
      </c>
      <c r="B19" s="304" t="s">
        <v>196</v>
      </c>
      <c r="C19" s="304" t="s">
        <v>407</v>
      </c>
      <c r="D19" s="304" t="s">
        <v>400</v>
      </c>
      <c r="E19" s="325">
        <f t="shared" si="15"/>
        <v>2.68</v>
      </c>
      <c r="F19" s="325"/>
      <c r="G19" s="325"/>
      <c r="H19" s="325"/>
      <c r="I19" s="325"/>
      <c r="J19" s="325"/>
      <c r="K19" s="325"/>
      <c r="L19" s="325"/>
      <c r="M19" s="325"/>
      <c r="N19" s="325"/>
      <c r="O19" s="325">
        <v>2.68</v>
      </c>
      <c r="P19" s="325"/>
      <c r="Q19" s="325"/>
      <c r="R19" s="325"/>
      <c r="S19" s="325"/>
      <c r="T19" s="325"/>
      <c r="U19" s="325"/>
      <c r="V19" s="325">
        <f t="shared" si="12"/>
        <v>0.04</v>
      </c>
      <c r="W19" s="325"/>
      <c r="X19" s="325"/>
      <c r="Y19" s="325"/>
      <c r="Z19" s="325"/>
      <c r="AA19" s="325"/>
      <c r="AB19" s="325"/>
      <c r="AC19" s="325"/>
      <c r="AD19" s="325"/>
      <c r="AE19" s="325"/>
      <c r="AF19" s="325">
        <v>0.04</v>
      </c>
      <c r="AG19" s="325"/>
      <c r="AH19" s="325"/>
      <c r="AI19" s="325"/>
      <c r="AJ19" s="325"/>
      <c r="AK19" s="325"/>
      <c r="AL19" s="325"/>
      <c r="AM19" s="325">
        <f t="shared" si="13"/>
        <v>2.72</v>
      </c>
      <c r="AN19" s="325">
        <f t="shared" ref="AN19:BC19" si="19">F19+W19</f>
        <v>0</v>
      </c>
      <c r="AO19" s="325">
        <f t="shared" si="19"/>
        <v>0</v>
      </c>
      <c r="AP19" s="325">
        <f t="shared" si="19"/>
        <v>0</v>
      </c>
      <c r="AQ19" s="325">
        <f t="shared" si="19"/>
        <v>0</v>
      </c>
      <c r="AR19" s="325">
        <f t="shared" si="19"/>
        <v>0</v>
      </c>
      <c r="AS19" s="325">
        <f t="shared" si="19"/>
        <v>0</v>
      </c>
      <c r="AT19" s="325">
        <f t="shared" si="19"/>
        <v>0</v>
      </c>
      <c r="AU19" s="325">
        <f t="shared" si="19"/>
        <v>0</v>
      </c>
      <c r="AV19" s="325">
        <f t="shared" si="19"/>
        <v>0</v>
      </c>
      <c r="AW19" s="325">
        <f t="shared" si="19"/>
        <v>2.72</v>
      </c>
      <c r="AX19" s="325">
        <f t="shared" si="19"/>
        <v>0</v>
      </c>
      <c r="AY19" s="325">
        <f t="shared" si="19"/>
        <v>0</v>
      </c>
      <c r="AZ19" s="325">
        <f t="shared" si="19"/>
        <v>0</v>
      </c>
      <c r="BA19" s="325">
        <f t="shared" si="19"/>
        <v>0</v>
      </c>
      <c r="BB19" s="325">
        <f t="shared" si="19"/>
        <v>0</v>
      </c>
      <c r="BC19" s="325">
        <f t="shared" si="19"/>
        <v>0</v>
      </c>
      <c r="BD19" s="342"/>
      <c r="BE19" s="97"/>
    </row>
    <row r="20" ht="24" spans="1:57">
      <c r="A20" s="304" t="s">
        <v>290</v>
      </c>
      <c r="B20" s="304" t="s">
        <v>196</v>
      </c>
      <c r="C20" s="304" t="s">
        <v>291</v>
      </c>
      <c r="D20" s="304" t="s">
        <v>292</v>
      </c>
      <c r="E20" s="325">
        <f t="shared" si="15"/>
        <v>23.67</v>
      </c>
      <c r="F20" s="325"/>
      <c r="G20" s="325"/>
      <c r="H20" s="325"/>
      <c r="I20" s="325"/>
      <c r="J20" s="325"/>
      <c r="K20" s="325"/>
      <c r="L20" s="325"/>
      <c r="M20" s="325"/>
      <c r="N20" s="325"/>
      <c r="O20" s="325">
        <v>23.67</v>
      </c>
      <c r="P20" s="325"/>
      <c r="Q20" s="325"/>
      <c r="R20" s="325"/>
      <c r="S20" s="325"/>
      <c r="T20" s="325"/>
      <c r="U20" s="325"/>
      <c r="V20" s="325">
        <f t="shared" si="12"/>
        <v>-1.454</v>
      </c>
      <c r="W20" s="325"/>
      <c r="X20" s="325"/>
      <c r="Y20" s="325"/>
      <c r="Z20" s="325"/>
      <c r="AA20" s="325"/>
      <c r="AB20" s="325"/>
      <c r="AC20" s="325"/>
      <c r="AD20" s="325"/>
      <c r="AE20" s="325"/>
      <c r="AF20" s="325">
        <v>-1.454</v>
      </c>
      <c r="AG20" s="325"/>
      <c r="AH20" s="325"/>
      <c r="AI20" s="325"/>
      <c r="AJ20" s="325"/>
      <c r="AK20" s="325"/>
      <c r="AL20" s="325"/>
      <c r="AM20" s="325">
        <f t="shared" si="13"/>
        <v>22.216</v>
      </c>
      <c r="AN20" s="325">
        <f t="shared" ref="AN20:BC20" si="20">F20+W20</f>
        <v>0</v>
      </c>
      <c r="AO20" s="325">
        <f t="shared" si="20"/>
        <v>0</v>
      </c>
      <c r="AP20" s="325">
        <f t="shared" si="20"/>
        <v>0</v>
      </c>
      <c r="AQ20" s="325">
        <f t="shared" si="20"/>
        <v>0</v>
      </c>
      <c r="AR20" s="325">
        <f t="shared" si="20"/>
        <v>0</v>
      </c>
      <c r="AS20" s="325">
        <f t="shared" si="20"/>
        <v>0</v>
      </c>
      <c r="AT20" s="325">
        <f t="shared" si="20"/>
        <v>0</v>
      </c>
      <c r="AU20" s="325">
        <f t="shared" si="20"/>
        <v>0</v>
      </c>
      <c r="AV20" s="325">
        <f t="shared" si="20"/>
        <v>0</v>
      </c>
      <c r="AW20" s="325">
        <f t="shared" si="20"/>
        <v>22.216</v>
      </c>
      <c r="AX20" s="325">
        <f t="shared" si="20"/>
        <v>0</v>
      </c>
      <c r="AY20" s="325">
        <f t="shared" si="20"/>
        <v>0</v>
      </c>
      <c r="AZ20" s="325">
        <f t="shared" si="20"/>
        <v>0</v>
      </c>
      <c r="BA20" s="325">
        <f t="shared" si="20"/>
        <v>0</v>
      </c>
      <c r="BB20" s="325">
        <f t="shared" si="20"/>
        <v>0</v>
      </c>
      <c r="BC20" s="325">
        <f t="shared" si="20"/>
        <v>0</v>
      </c>
      <c r="BD20" s="342"/>
      <c r="BE20" s="97"/>
    </row>
    <row r="21" ht="24" spans="1:57">
      <c r="A21" s="304" t="s">
        <v>290</v>
      </c>
      <c r="B21" s="304" t="s">
        <v>199</v>
      </c>
      <c r="C21" s="304" t="s">
        <v>293</v>
      </c>
      <c r="D21" s="304" t="s">
        <v>294</v>
      </c>
      <c r="E21" s="325">
        <f t="shared" si="15"/>
        <v>0.85</v>
      </c>
      <c r="F21" s="325"/>
      <c r="G21" s="325"/>
      <c r="H21" s="325"/>
      <c r="I21" s="325"/>
      <c r="J21" s="325"/>
      <c r="K21" s="325"/>
      <c r="L21" s="325"/>
      <c r="M21" s="325"/>
      <c r="N21" s="325"/>
      <c r="O21" s="325"/>
      <c r="P21" s="325">
        <v>0.85</v>
      </c>
      <c r="Q21" s="325"/>
      <c r="R21" s="325"/>
      <c r="S21" s="325"/>
      <c r="T21" s="325"/>
      <c r="U21" s="325"/>
      <c r="V21" s="325">
        <f t="shared" si="12"/>
        <v>0.108</v>
      </c>
      <c r="W21" s="325"/>
      <c r="X21" s="325"/>
      <c r="Y21" s="325"/>
      <c r="Z21" s="325"/>
      <c r="AA21" s="325"/>
      <c r="AB21" s="325"/>
      <c r="AC21" s="325"/>
      <c r="AD21" s="325"/>
      <c r="AE21" s="325"/>
      <c r="AF21" s="325"/>
      <c r="AG21" s="325">
        <v>0.108</v>
      </c>
      <c r="AH21" s="325"/>
      <c r="AI21" s="325"/>
      <c r="AJ21" s="325"/>
      <c r="AK21" s="325"/>
      <c r="AL21" s="325"/>
      <c r="AM21" s="325">
        <f t="shared" si="13"/>
        <v>0.958</v>
      </c>
      <c r="AN21" s="325">
        <f t="shared" ref="AN21:BC21" si="21">F21+W21</f>
        <v>0</v>
      </c>
      <c r="AO21" s="325">
        <f t="shared" si="21"/>
        <v>0</v>
      </c>
      <c r="AP21" s="325">
        <f t="shared" si="21"/>
        <v>0</v>
      </c>
      <c r="AQ21" s="325">
        <f t="shared" si="21"/>
        <v>0</v>
      </c>
      <c r="AR21" s="325">
        <f t="shared" si="21"/>
        <v>0</v>
      </c>
      <c r="AS21" s="325">
        <f t="shared" si="21"/>
        <v>0</v>
      </c>
      <c r="AT21" s="325">
        <f t="shared" si="21"/>
        <v>0</v>
      </c>
      <c r="AU21" s="325">
        <f t="shared" si="21"/>
        <v>0</v>
      </c>
      <c r="AV21" s="325">
        <f t="shared" si="21"/>
        <v>0</v>
      </c>
      <c r="AW21" s="325">
        <f t="shared" si="21"/>
        <v>0</v>
      </c>
      <c r="AX21" s="325">
        <f t="shared" si="21"/>
        <v>0.958</v>
      </c>
      <c r="AY21" s="325">
        <f t="shared" si="21"/>
        <v>0</v>
      </c>
      <c r="AZ21" s="325">
        <f t="shared" si="21"/>
        <v>0</v>
      </c>
      <c r="BA21" s="325">
        <f t="shared" si="21"/>
        <v>0</v>
      </c>
      <c r="BB21" s="325">
        <f t="shared" si="21"/>
        <v>0</v>
      </c>
      <c r="BC21" s="325">
        <f t="shared" si="21"/>
        <v>0</v>
      </c>
      <c r="BD21" s="342"/>
      <c r="BE21" s="97"/>
    </row>
    <row r="22" ht="24" spans="1:57">
      <c r="A22" s="304" t="s">
        <v>208</v>
      </c>
      <c r="B22" s="304" t="s">
        <v>196</v>
      </c>
      <c r="C22" s="304" t="s">
        <v>327</v>
      </c>
      <c r="D22" s="304" t="s">
        <v>328</v>
      </c>
      <c r="E22" s="325">
        <f t="shared" si="15"/>
        <v>20.98</v>
      </c>
      <c r="F22" s="325"/>
      <c r="G22" s="325"/>
      <c r="H22" s="325"/>
      <c r="I22" s="325"/>
      <c r="J22" s="325"/>
      <c r="K22" s="325"/>
      <c r="L22" s="325"/>
      <c r="M22" s="325">
        <v>0.72</v>
      </c>
      <c r="N22" s="325"/>
      <c r="O22" s="325">
        <v>20.26</v>
      </c>
      <c r="P22" s="325"/>
      <c r="Q22" s="325"/>
      <c r="R22" s="325"/>
      <c r="S22" s="325"/>
      <c r="T22" s="325"/>
      <c r="U22" s="325"/>
      <c r="V22" s="325">
        <f t="shared" si="12"/>
        <v>9.94</v>
      </c>
      <c r="W22" s="325"/>
      <c r="X22" s="325"/>
      <c r="Y22" s="325"/>
      <c r="Z22" s="325"/>
      <c r="AA22" s="325"/>
      <c r="AB22" s="325"/>
      <c r="AC22" s="325"/>
      <c r="AD22" s="325">
        <v>6.16</v>
      </c>
      <c r="AE22" s="325"/>
      <c r="AF22" s="325">
        <v>3.78</v>
      </c>
      <c r="AG22" s="325"/>
      <c r="AH22" s="325"/>
      <c r="AI22" s="325"/>
      <c r="AJ22" s="325"/>
      <c r="AK22" s="325"/>
      <c r="AL22" s="325"/>
      <c r="AM22" s="325">
        <f t="shared" si="13"/>
        <v>30.92</v>
      </c>
      <c r="AN22" s="325">
        <f t="shared" ref="AN22:BC22" si="22">F22+W22</f>
        <v>0</v>
      </c>
      <c r="AO22" s="325">
        <f t="shared" si="22"/>
        <v>0</v>
      </c>
      <c r="AP22" s="325">
        <f t="shared" si="22"/>
        <v>0</v>
      </c>
      <c r="AQ22" s="325">
        <f t="shared" si="22"/>
        <v>0</v>
      </c>
      <c r="AR22" s="325">
        <f t="shared" si="22"/>
        <v>0</v>
      </c>
      <c r="AS22" s="325">
        <f t="shared" si="22"/>
        <v>0</v>
      </c>
      <c r="AT22" s="325">
        <f t="shared" si="22"/>
        <v>0</v>
      </c>
      <c r="AU22" s="325">
        <f t="shared" si="22"/>
        <v>6.88</v>
      </c>
      <c r="AV22" s="325">
        <f t="shared" si="22"/>
        <v>0</v>
      </c>
      <c r="AW22" s="325">
        <f t="shared" si="22"/>
        <v>24.04</v>
      </c>
      <c r="AX22" s="325">
        <f t="shared" si="22"/>
        <v>0</v>
      </c>
      <c r="AY22" s="325">
        <f t="shared" si="22"/>
        <v>0</v>
      </c>
      <c r="AZ22" s="325">
        <f t="shared" si="22"/>
        <v>0</v>
      </c>
      <c r="BA22" s="325">
        <f t="shared" si="22"/>
        <v>0</v>
      </c>
      <c r="BB22" s="325">
        <f t="shared" si="22"/>
        <v>0</v>
      </c>
      <c r="BC22" s="325">
        <f t="shared" si="22"/>
        <v>0</v>
      </c>
      <c r="BD22" s="342"/>
      <c r="BE22" s="97" t="s">
        <v>900</v>
      </c>
    </row>
    <row r="23" ht="24" spans="1:57">
      <c r="A23" s="304" t="s">
        <v>221</v>
      </c>
      <c r="B23" s="304" t="s">
        <v>196</v>
      </c>
      <c r="C23" s="304" t="s">
        <v>306</v>
      </c>
      <c r="D23" s="304" t="s">
        <v>307</v>
      </c>
      <c r="E23" s="325">
        <f t="shared" si="15"/>
        <v>4.06</v>
      </c>
      <c r="F23" s="325"/>
      <c r="G23" s="325"/>
      <c r="H23" s="325"/>
      <c r="I23" s="325"/>
      <c r="J23" s="325"/>
      <c r="K23" s="325"/>
      <c r="L23" s="325"/>
      <c r="M23" s="325"/>
      <c r="N23" s="325"/>
      <c r="O23" s="325">
        <v>3.41</v>
      </c>
      <c r="P23" s="325"/>
      <c r="Q23" s="325"/>
      <c r="R23" s="325"/>
      <c r="S23" s="325"/>
      <c r="T23" s="325"/>
      <c r="U23" s="325">
        <v>0.65</v>
      </c>
      <c r="V23" s="325">
        <f t="shared" si="12"/>
        <v>0</v>
      </c>
      <c r="W23" s="325"/>
      <c r="X23" s="325"/>
      <c r="Y23" s="325"/>
      <c r="Z23" s="325"/>
      <c r="AA23" s="325"/>
      <c r="AB23" s="325"/>
      <c r="AC23" s="325"/>
      <c r="AD23" s="325"/>
      <c r="AE23" s="325"/>
      <c r="AF23" s="325"/>
      <c r="AG23" s="325"/>
      <c r="AH23" s="325"/>
      <c r="AI23" s="325"/>
      <c r="AJ23" s="325"/>
      <c r="AK23" s="325"/>
      <c r="AL23" s="325"/>
      <c r="AM23" s="325">
        <f t="shared" si="13"/>
        <v>4.06</v>
      </c>
      <c r="AN23" s="325">
        <f t="shared" ref="AN23:BC23" si="23">F23+W23</f>
        <v>0</v>
      </c>
      <c r="AO23" s="325">
        <f t="shared" si="23"/>
        <v>0</v>
      </c>
      <c r="AP23" s="325">
        <f t="shared" si="23"/>
        <v>0</v>
      </c>
      <c r="AQ23" s="325">
        <f t="shared" si="23"/>
        <v>0</v>
      </c>
      <c r="AR23" s="325">
        <f t="shared" si="23"/>
        <v>0</v>
      </c>
      <c r="AS23" s="325">
        <f t="shared" si="23"/>
        <v>0</v>
      </c>
      <c r="AT23" s="325">
        <f t="shared" si="23"/>
        <v>0</v>
      </c>
      <c r="AU23" s="325">
        <f t="shared" si="23"/>
        <v>0</v>
      </c>
      <c r="AV23" s="325">
        <f t="shared" si="23"/>
        <v>0</v>
      </c>
      <c r="AW23" s="325">
        <f t="shared" si="23"/>
        <v>3.41</v>
      </c>
      <c r="AX23" s="325">
        <f t="shared" si="23"/>
        <v>0</v>
      </c>
      <c r="AY23" s="325">
        <f t="shared" si="23"/>
        <v>0</v>
      </c>
      <c r="AZ23" s="325">
        <f t="shared" si="23"/>
        <v>0</v>
      </c>
      <c r="BA23" s="325">
        <f t="shared" si="23"/>
        <v>0</v>
      </c>
      <c r="BB23" s="325">
        <f t="shared" si="23"/>
        <v>0</v>
      </c>
      <c r="BC23" s="325">
        <f t="shared" si="23"/>
        <v>0.65</v>
      </c>
      <c r="BD23" s="342"/>
      <c r="BE23" s="97" t="s">
        <v>901</v>
      </c>
    </row>
    <row r="24" ht="27" customHeight="1" spans="1:57">
      <c r="A24" s="304" t="s">
        <v>221</v>
      </c>
      <c r="B24" s="304" t="s">
        <v>199</v>
      </c>
      <c r="C24" s="304" t="s">
        <v>308</v>
      </c>
      <c r="D24" s="304" t="s">
        <v>311</v>
      </c>
      <c r="E24" s="325">
        <v>0</v>
      </c>
      <c r="F24" s="325"/>
      <c r="G24" s="325"/>
      <c r="H24" s="325"/>
      <c r="I24" s="325"/>
      <c r="J24" s="325"/>
      <c r="K24" s="325"/>
      <c r="L24" s="325"/>
      <c r="M24" s="325"/>
      <c r="N24" s="325"/>
      <c r="O24" s="325"/>
      <c r="P24" s="325"/>
      <c r="Q24" s="325"/>
      <c r="R24" s="325"/>
      <c r="S24" s="325"/>
      <c r="T24" s="325"/>
      <c r="U24" s="325"/>
      <c r="V24" s="325">
        <f t="shared" si="12"/>
        <v>12.556</v>
      </c>
      <c r="W24" s="325"/>
      <c r="X24" s="325"/>
      <c r="Y24" s="325"/>
      <c r="Z24" s="325"/>
      <c r="AA24" s="325"/>
      <c r="AB24" s="325"/>
      <c r="AC24" s="325"/>
      <c r="AD24" s="325"/>
      <c r="AE24" s="325"/>
      <c r="AF24" s="325">
        <v>1.494</v>
      </c>
      <c r="AG24" s="325"/>
      <c r="AH24" s="325"/>
      <c r="AI24" s="325"/>
      <c r="AJ24" s="325"/>
      <c r="AK24" s="325"/>
      <c r="AL24" s="325">
        <v>11.062</v>
      </c>
      <c r="AM24" s="325">
        <f t="shared" si="13"/>
        <v>12.556</v>
      </c>
      <c r="AN24" s="325">
        <f t="shared" ref="AN24:BC24" si="24">F24+W24</f>
        <v>0</v>
      </c>
      <c r="AO24" s="325">
        <f t="shared" si="24"/>
        <v>0</v>
      </c>
      <c r="AP24" s="325">
        <f t="shared" si="24"/>
        <v>0</v>
      </c>
      <c r="AQ24" s="325">
        <f t="shared" si="24"/>
        <v>0</v>
      </c>
      <c r="AR24" s="325">
        <f t="shared" si="24"/>
        <v>0</v>
      </c>
      <c r="AS24" s="325">
        <f t="shared" si="24"/>
        <v>0</v>
      </c>
      <c r="AT24" s="325">
        <f t="shared" si="24"/>
        <v>0</v>
      </c>
      <c r="AU24" s="325">
        <f t="shared" si="24"/>
        <v>0</v>
      </c>
      <c r="AV24" s="325">
        <f t="shared" si="24"/>
        <v>0</v>
      </c>
      <c r="AW24" s="325">
        <f t="shared" si="24"/>
        <v>1.494</v>
      </c>
      <c r="AX24" s="325">
        <f t="shared" si="24"/>
        <v>0</v>
      </c>
      <c r="AY24" s="325">
        <f t="shared" si="24"/>
        <v>0</v>
      </c>
      <c r="AZ24" s="325">
        <f t="shared" si="24"/>
        <v>0</v>
      </c>
      <c r="BA24" s="325">
        <f t="shared" si="24"/>
        <v>0</v>
      </c>
      <c r="BB24" s="325">
        <f t="shared" si="24"/>
        <v>0</v>
      </c>
      <c r="BC24" s="325">
        <f t="shared" si="24"/>
        <v>11.062</v>
      </c>
      <c r="BD24" s="342" t="s">
        <v>902</v>
      </c>
      <c r="BE24" s="97"/>
    </row>
    <row r="25" ht="24" spans="1:57">
      <c r="A25" s="304" t="s">
        <v>195</v>
      </c>
      <c r="B25" s="304" t="s">
        <v>196</v>
      </c>
      <c r="C25" s="304" t="s">
        <v>316</v>
      </c>
      <c r="D25" s="304" t="s">
        <v>317</v>
      </c>
      <c r="E25" s="325">
        <f t="shared" ref="E25:E50" si="25">SUM(F25:U25)</f>
        <v>0.34</v>
      </c>
      <c r="F25" s="325"/>
      <c r="G25" s="325"/>
      <c r="H25" s="325"/>
      <c r="I25" s="325"/>
      <c r="J25" s="325"/>
      <c r="K25" s="325"/>
      <c r="L25" s="325"/>
      <c r="M25" s="325"/>
      <c r="N25" s="325"/>
      <c r="O25" s="325">
        <v>0.34</v>
      </c>
      <c r="P25" s="325"/>
      <c r="Q25" s="325"/>
      <c r="R25" s="325"/>
      <c r="S25" s="325"/>
      <c r="T25" s="325"/>
      <c r="U25" s="325"/>
      <c r="V25" s="325">
        <f t="shared" ref="V25:V50" si="26">SUM(W25:AL25)</f>
        <v>0.05</v>
      </c>
      <c r="W25" s="325"/>
      <c r="X25" s="325"/>
      <c r="Y25" s="325"/>
      <c r="Z25" s="325"/>
      <c r="AA25" s="325"/>
      <c r="AB25" s="325"/>
      <c r="AC25" s="325"/>
      <c r="AD25" s="325"/>
      <c r="AE25" s="325"/>
      <c r="AF25" s="325">
        <v>0.05</v>
      </c>
      <c r="AG25" s="325"/>
      <c r="AH25" s="325"/>
      <c r="AI25" s="325"/>
      <c r="AJ25" s="325"/>
      <c r="AK25" s="325"/>
      <c r="AL25" s="325"/>
      <c r="AM25" s="325">
        <f t="shared" ref="AM25:AM50" si="27">SUM(AN25:BC25)</f>
        <v>0.39</v>
      </c>
      <c r="AN25" s="325">
        <f t="shared" ref="AN25:AN50" si="28">F25+W25</f>
        <v>0</v>
      </c>
      <c r="AO25" s="325">
        <f t="shared" ref="AO25:AO50" si="29">G25+X25</f>
        <v>0</v>
      </c>
      <c r="AP25" s="325">
        <f t="shared" ref="AP25:AP50" si="30">H25+Y25</f>
        <v>0</v>
      </c>
      <c r="AQ25" s="325">
        <f t="shared" ref="AQ25:AQ50" si="31">I25+Z25</f>
        <v>0</v>
      </c>
      <c r="AR25" s="325">
        <f t="shared" ref="AR25:AR50" si="32">J25+AA25</f>
        <v>0</v>
      </c>
      <c r="AS25" s="325">
        <f t="shared" ref="AS25:AS50" si="33">K25+AB25</f>
        <v>0</v>
      </c>
      <c r="AT25" s="325">
        <f t="shared" ref="AT25:AT50" si="34">L25+AC25</f>
        <v>0</v>
      </c>
      <c r="AU25" s="325">
        <f t="shared" ref="AU25:AU50" si="35">M25+AD25</f>
        <v>0</v>
      </c>
      <c r="AV25" s="325">
        <f t="shared" ref="AV25:AV50" si="36">N25+AE25</f>
        <v>0</v>
      </c>
      <c r="AW25" s="325">
        <f t="shared" ref="AW25:AW50" si="37">O25+AF25</f>
        <v>0.39</v>
      </c>
      <c r="AX25" s="325">
        <f t="shared" ref="AX25:AX50" si="38">P25+AG25</f>
        <v>0</v>
      </c>
      <c r="AY25" s="325">
        <f t="shared" ref="AY25:AY50" si="39">Q25+AH25</f>
        <v>0</v>
      </c>
      <c r="AZ25" s="325">
        <f t="shared" ref="AZ25:AZ50" si="40">R25+AI25</f>
        <v>0</v>
      </c>
      <c r="BA25" s="325">
        <f t="shared" ref="BA25:BA50" si="41">S25+AJ25</f>
        <v>0</v>
      </c>
      <c r="BB25" s="325">
        <f t="shared" ref="BB25:BB50" si="42">T25+AK25</f>
        <v>0</v>
      </c>
      <c r="BC25" s="325">
        <f t="shared" ref="BC25:BC50" si="43">U25+AL25</f>
        <v>0</v>
      </c>
      <c r="BD25" s="342"/>
      <c r="BE25" s="97"/>
    </row>
    <row r="26" ht="24" spans="1:57">
      <c r="A26" s="304" t="s">
        <v>195</v>
      </c>
      <c r="B26" s="304" t="s">
        <v>196</v>
      </c>
      <c r="C26" s="304" t="s">
        <v>299</v>
      </c>
      <c r="D26" s="304" t="s">
        <v>300</v>
      </c>
      <c r="E26" s="325">
        <f t="shared" si="25"/>
        <v>60.86</v>
      </c>
      <c r="F26" s="325"/>
      <c r="G26" s="325"/>
      <c r="H26" s="325"/>
      <c r="I26" s="325"/>
      <c r="J26" s="325"/>
      <c r="K26" s="325"/>
      <c r="L26" s="325"/>
      <c r="M26" s="325"/>
      <c r="N26" s="325"/>
      <c r="O26" s="325">
        <v>0.86</v>
      </c>
      <c r="P26" s="325"/>
      <c r="Q26" s="325"/>
      <c r="R26" s="325"/>
      <c r="S26" s="325"/>
      <c r="T26" s="325"/>
      <c r="U26" s="325">
        <v>60</v>
      </c>
      <c r="V26" s="325">
        <f t="shared" si="26"/>
        <v>-0.86</v>
      </c>
      <c r="W26" s="325"/>
      <c r="X26" s="325"/>
      <c r="Y26" s="325"/>
      <c r="Z26" s="325"/>
      <c r="AA26" s="325"/>
      <c r="AB26" s="325"/>
      <c r="AC26" s="325"/>
      <c r="AD26" s="325"/>
      <c r="AE26" s="325"/>
      <c r="AF26" s="325">
        <v>-0.86</v>
      </c>
      <c r="AG26" s="325"/>
      <c r="AH26" s="325"/>
      <c r="AI26" s="325"/>
      <c r="AJ26" s="325"/>
      <c r="AK26" s="325"/>
      <c r="AL26" s="325"/>
      <c r="AM26" s="325">
        <f t="shared" si="27"/>
        <v>60</v>
      </c>
      <c r="AN26" s="325">
        <f t="shared" si="28"/>
        <v>0</v>
      </c>
      <c r="AO26" s="325">
        <f t="shared" si="29"/>
        <v>0</v>
      </c>
      <c r="AP26" s="325">
        <f t="shared" si="30"/>
        <v>0</v>
      </c>
      <c r="AQ26" s="325">
        <f t="shared" si="31"/>
        <v>0</v>
      </c>
      <c r="AR26" s="325">
        <f t="shared" si="32"/>
        <v>0</v>
      </c>
      <c r="AS26" s="325">
        <f t="shared" si="33"/>
        <v>0</v>
      </c>
      <c r="AT26" s="325">
        <f t="shared" si="34"/>
        <v>0</v>
      </c>
      <c r="AU26" s="325">
        <f t="shared" si="35"/>
        <v>0</v>
      </c>
      <c r="AV26" s="325">
        <f t="shared" si="36"/>
        <v>0</v>
      </c>
      <c r="AW26" s="325">
        <f t="shared" si="37"/>
        <v>0</v>
      </c>
      <c r="AX26" s="325">
        <f t="shared" si="38"/>
        <v>0</v>
      </c>
      <c r="AY26" s="325">
        <f t="shared" si="39"/>
        <v>0</v>
      </c>
      <c r="AZ26" s="325">
        <f t="shared" si="40"/>
        <v>0</v>
      </c>
      <c r="BA26" s="325">
        <f t="shared" si="41"/>
        <v>0</v>
      </c>
      <c r="BB26" s="325">
        <f t="shared" si="42"/>
        <v>0</v>
      </c>
      <c r="BC26" s="325">
        <f t="shared" si="43"/>
        <v>60</v>
      </c>
      <c r="BD26" s="342"/>
      <c r="BE26" s="97" t="s">
        <v>903</v>
      </c>
    </row>
    <row r="27" ht="24" spans="1:57">
      <c r="A27" s="304" t="s">
        <v>195</v>
      </c>
      <c r="B27" s="304" t="s">
        <v>196</v>
      </c>
      <c r="C27" s="304" t="s">
        <v>415</v>
      </c>
      <c r="D27" s="304" t="s">
        <v>416</v>
      </c>
      <c r="E27" s="325">
        <f t="shared" si="25"/>
        <v>15.75</v>
      </c>
      <c r="F27" s="325"/>
      <c r="G27" s="325"/>
      <c r="H27" s="325"/>
      <c r="I27" s="325"/>
      <c r="J27" s="325"/>
      <c r="K27" s="325"/>
      <c r="L27" s="325"/>
      <c r="M27" s="325"/>
      <c r="N27" s="325"/>
      <c r="O27" s="325">
        <v>15.75</v>
      </c>
      <c r="P27" s="325"/>
      <c r="Q27" s="325"/>
      <c r="R27" s="325"/>
      <c r="S27" s="325"/>
      <c r="T27" s="325"/>
      <c r="U27" s="325"/>
      <c r="V27" s="325">
        <f t="shared" si="26"/>
        <v>1.59</v>
      </c>
      <c r="W27" s="325"/>
      <c r="X27" s="325"/>
      <c r="Y27" s="325"/>
      <c r="Z27" s="325"/>
      <c r="AA27" s="325"/>
      <c r="AB27" s="325"/>
      <c r="AC27" s="325"/>
      <c r="AD27" s="325"/>
      <c r="AE27" s="325"/>
      <c r="AF27" s="325">
        <v>1.59</v>
      </c>
      <c r="AG27" s="325"/>
      <c r="AH27" s="325"/>
      <c r="AI27" s="325"/>
      <c r="AJ27" s="325"/>
      <c r="AK27" s="325"/>
      <c r="AL27" s="325"/>
      <c r="AM27" s="325">
        <f t="shared" si="27"/>
        <v>17.34</v>
      </c>
      <c r="AN27" s="325">
        <f t="shared" si="28"/>
        <v>0</v>
      </c>
      <c r="AO27" s="325">
        <f t="shared" si="29"/>
        <v>0</v>
      </c>
      <c r="AP27" s="325">
        <f t="shared" si="30"/>
        <v>0</v>
      </c>
      <c r="AQ27" s="325">
        <f t="shared" si="31"/>
        <v>0</v>
      </c>
      <c r="AR27" s="325">
        <f t="shared" si="32"/>
        <v>0</v>
      </c>
      <c r="AS27" s="325">
        <f t="shared" si="33"/>
        <v>0</v>
      </c>
      <c r="AT27" s="325">
        <f t="shared" si="34"/>
        <v>0</v>
      </c>
      <c r="AU27" s="325">
        <f t="shared" si="35"/>
        <v>0</v>
      </c>
      <c r="AV27" s="325">
        <f t="shared" si="36"/>
        <v>0</v>
      </c>
      <c r="AW27" s="325">
        <f t="shared" si="37"/>
        <v>17.34</v>
      </c>
      <c r="AX27" s="325">
        <f t="shared" si="38"/>
        <v>0</v>
      </c>
      <c r="AY27" s="325">
        <f t="shared" si="39"/>
        <v>0</v>
      </c>
      <c r="AZ27" s="325">
        <f t="shared" si="40"/>
        <v>0</v>
      </c>
      <c r="BA27" s="325">
        <f t="shared" si="41"/>
        <v>0</v>
      </c>
      <c r="BB27" s="325">
        <f t="shared" si="42"/>
        <v>0</v>
      </c>
      <c r="BC27" s="325">
        <f t="shared" si="43"/>
        <v>0</v>
      </c>
      <c r="BD27" s="342"/>
      <c r="BE27" s="97"/>
    </row>
    <row r="28" ht="24" spans="1:57">
      <c r="A28" s="304" t="s">
        <v>195</v>
      </c>
      <c r="B28" s="304" t="s">
        <v>199</v>
      </c>
      <c r="C28" s="304" t="s">
        <v>420</v>
      </c>
      <c r="D28" s="304" t="s">
        <v>418</v>
      </c>
      <c r="E28" s="325">
        <f t="shared" si="25"/>
        <v>0.85</v>
      </c>
      <c r="F28" s="325"/>
      <c r="G28" s="325"/>
      <c r="H28" s="325"/>
      <c r="I28" s="325"/>
      <c r="J28" s="325"/>
      <c r="K28" s="325"/>
      <c r="L28" s="325"/>
      <c r="M28" s="325"/>
      <c r="N28" s="325"/>
      <c r="O28" s="325"/>
      <c r="P28" s="325">
        <v>0.85</v>
      </c>
      <c r="Q28" s="325"/>
      <c r="R28" s="325"/>
      <c r="S28" s="325"/>
      <c r="T28" s="325"/>
      <c r="U28" s="325"/>
      <c r="V28" s="325">
        <f t="shared" si="26"/>
        <v>0.11</v>
      </c>
      <c r="W28" s="325"/>
      <c r="X28" s="325"/>
      <c r="Y28" s="325"/>
      <c r="Z28" s="325"/>
      <c r="AA28" s="325"/>
      <c r="AB28" s="325"/>
      <c r="AC28" s="325"/>
      <c r="AD28" s="325"/>
      <c r="AE28" s="325"/>
      <c r="AF28" s="325"/>
      <c r="AG28" s="325">
        <v>0.11</v>
      </c>
      <c r="AH28" s="325"/>
      <c r="AI28" s="325"/>
      <c r="AJ28" s="325"/>
      <c r="AK28" s="325"/>
      <c r="AL28" s="325"/>
      <c r="AM28" s="325">
        <f t="shared" si="27"/>
        <v>0.96</v>
      </c>
      <c r="AN28" s="325">
        <f t="shared" si="28"/>
        <v>0</v>
      </c>
      <c r="AO28" s="325">
        <f t="shared" si="29"/>
        <v>0</v>
      </c>
      <c r="AP28" s="325">
        <f t="shared" si="30"/>
        <v>0</v>
      </c>
      <c r="AQ28" s="325">
        <f t="shared" si="31"/>
        <v>0</v>
      </c>
      <c r="AR28" s="325">
        <f t="shared" si="32"/>
        <v>0</v>
      </c>
      <c r="AS28" s="325">
        <f t="shared" si="33"/>
        <v>0</v>
      </c>
      <c r="AT28" s="325">
        <f t="shared" si="34"/>
        <v>0</v>
      </c>
      <c r="AU28" s="325">
        <f t="shared" si="35"/>
        <v>0</v>
      </c>
      <c r="AV28" s="325">
        <f t="shared" si="36"/>
        <v>0</v>
      </c>
      <c r="AW28" s="325">
        <f t="shared" si="37"/>
        <v>0</v>
      </c>
      <c r="AX28" s="325">
        <f t="shared" si="38"/>
        <v>0.96</v>
      </c>
      <c r="AY28" s="325">
        <f t="shared" si="39"/>
        <v>0</v>
      </c>
      <c r="AZ28" s="325">
        <f t="shared" si="40"/>
        <v>0</v>
      </c>
      <c r="BA28" s="325">
        <f t="shared" si="41"/>
        <v>0</v>
      </c>
      <c r="BB28" s="325">
        <f t="shared" si="42"/>
        <v>0</v>
      </c>
      <c r="BC28" s="325">
        <f t="shared" si="43"/>
        <v>0</v>
      </c>
      <c r="BD28" s="342"/>
      <c r="BE28" s="97"/>
    </row>
    <row r="29" ht="24" spans="1:57">
      <c r="A29" s="304" t="s">
        <v>195</v>
      </c>
      <c r="B29" s="304" t="s">
        <v>196</v>
      </c>
      <c r="C29" s="304" t="s">
        <v>206</v>
      </c>
      <c r="D29" s="304" t="s">
        <v>207</v>
      </c>
      <c r="E29" s="325">
        <f t="shared" si="25"/>
        <v>6.16</v>
      </c>
      <c r="F29" s="325"/>
      <c r="G29" s="325"/>
      <c r="H29" s="325"/>
      <c r="I29" s="325"/>
      <c r="J29" s="325"/>
      <c r="K29" s="325"/>
      <c r="L29" s="325"/>
      <c r="M29" s="325"/>
      <c r="N29" s="325"/>
      <c r="O29" s="325">
        <v>5.97</v>
      </c>
      <c r="P29" s="325"/>
      <c r="Q29" s="325">
        <v>0.19</v>
      </c>
      <c r="R29" s="325"/>
      <c r="S29" s="325"/>
      <c r="T29" s="325"/>
      <c r="U29" s="325"/>
      <c r="V29" s="325">
        <f t="shared" si="26"/>
        <v>0.76</v>
      </c>
      <c r="W29" s="325"/>
      <c r="X29" s="325"/>
      <c r="Y29" s="325"/>
      <c r="Z29" s="325"/>
      <c r="AA29" s="325"/>
      <c r="AB29" s="325"/>
      <c r="AC29" s="325"/>
      <c r="AD29" s="325"/>
      <c r="AE29" s="325"/>
      <c r="AF29" s="325">
        <v>0.76</v>
      </c>
      <c r="AG29" s="325"/>
      <c r="AH29" s="325"/>
      <c r="AI29" s="325"/>
      <c r="AJ29" s="325"/>
      <c r="AK29" s="325"/>
      <c r="AL29" s="325"/>
      <c r="AM29" s="325">
        <f t="shared" si="27"/>
        <v>6.92</v>
      </c>
      <c r="AN29" s="325">
        <f t="shared" si="28"/>
        <v>0</v>
      </c>
      <c r="AO29" s="325">
        <f t="shared" si="29"/>
        <v>0</v>
      </c>
      <c r="AP29" s="325">
        <f t="shared" si="30"/>
        <v>0</v>
      </c>
      <c r="AQ29" s="325">
        <f t="shared" si="31"/>
        <v>0</v>
      </c>
      <c r="AR29" s="325">
        <f t="shared" si="32"/>
        <v>0</v>
      </c>
      <c r="AS29" s="325">
        <f t="shared" si="33"/>
        <v>0</v>
      </c>
      <c r="AT29" s="325">
        <f t="shared" si="34"/>
        <v>0</v>
      </c>
      <c r="AU29" s="325">
        <f t="shared" si="35"/>
        <v>0</v>
      </c>
      <c r="AV29" s="325">
        <f t="shared" si="36"/>
        <v>0</v>
      </c>
      <c r="AW29" s="325">
        <f t="shared" si="37"/>
        <v>6.73</v>
      </c>
      <c r="AX29" s="325">
        <f t="shared" si="38"/>
        <v>0</v>
      </c>
      <c r="AY29" s="325">
        <f t="shared" si="39"/>
        <v>0.19</v>
      </c>
      <c r="AZ29" s="325">
        <f t="shared" si="40"/>
        <v>0</v>
      </c>
      <c r="BA29" s="325">
        <f t="shared" si="41"/>
        <v>0</v>
      </c>
      <c r="BB29" s="325">
        <f t="shared" si="42"/>
        <v>0</v>
      </c>
      <c r="BC29" s="325">
        <f t="shared" si="43"/>
        <v>0</v>
      </c>
      <c r="BD29" s="342"/>
      <c r="BE29" s="97"/>
    </row>
    <row r="30" ht="36" spans="1:57">
      <c r="A30" s="304" t="s">
        <v>290</v>
      </c>
      <c r="B30" s="304" t="s">
        <v>196</v>
      </c>
      <c r="C30" s="304" t="s">
        <v>329</v>
      </c>
      <c r="D30" s="304" t="s">
        <v>343</v>
      </c>
      <c r="E30" s="325">
        <f t="shared" si="25"/>
        <v>2.13</v>
      </c>
      <c r="F30" s="325"/>
      <c r="G30" s="325"/>
      <c r="H30" s="325"/>
      <c r="I30" s="325"/>
      <c r="J30" s="325"/>
      <c r="K30" s="325"/>
      <c r="L30" s="325"/>
      <c r="M30" s="325"/>
      <c r="N30" s="325"/>
      <c r="O30" s="325">
        <v>2.13</v>
      </c>
      <c r="P30" s="325"/>
      <c r="Q30" s="325"/>
      <c r="R30" s="325"/>
      <c r="S30" s="325"/>
      <c r="T30" s="325"/>
      <c r="U30" s="325"/>
      <c r="V30" s="325">
        <f t="shared" si="26"/>
        <v>0.27</v>
      </c>
      <c r="W30" s="325"/>
      <c r="X30" s="325"/>
      <c r="Y30" s="325"/>
      <c r="Z30" s="325"/>
      <c r="AA30" s="325"/>
      <c r="AB30" s="325"/>
      <c r="AC30" s="325"/>
      <c r="AD30" s="325"/>
      <c r="AE30" s="325"/>
      <c r="AF30" s="325">
        <v>0.27</v>
      </c>
      <c r="AG30" s="325"/>
      <c r="AH30" s="325"/>
      <c r="AI30" s="325"/>
      <c r="AJ30" s="325"/>
      <c r="AK30" s="325"/>
      <c r="AL30" s="325"/>
      <c r="AM30" s="325">
        <f t="shared" si="27"/>
        <v>2.4</v>
      </c>
      <c r="AN30" s="325">
        <f t="shared" si="28"/>
        <v>0</v>
      </c>
      <c r="AO30" s="325">
        <f t="shared" si="29"/>
        <v>0</v>
      </c>
      <c r="AP30" s="325">
        <f t="shared" si="30"/>
        <v>0</v>
      </c>
      <c r="AQ30" s="325">
        <f t="shared" si="31"/>
        <v>0</v>
      </c>
      <c r="AR30" s="325">
        <f t="shared" si="32"/>
        <v>0</v>
      </c>
      <c r="AS30" s="325">
        <f t="shared" si="33"/>
        <v>0</v>
      </c>
      <c r="AT30" s="325">
        <f t="shared" si="34"/>
        <v>0</v>
      </c>
      <c r="AU30" s="325">
        <f t="shared" si="35"/>
        <v>0</v>
      </c>
      <c r="AV30" s="325">
        <f t="shared" si="36"/>
        <v>0</v>
      </c>
      <c r="AW30" s="325">
        <f t="shared" si="37"/>
        <v>2.4</v>
      </c>
      <c r="AX30" s="325">
        <f t="shared" si="38"/>
        <v>0</v>
      </c>
      <c r="AY30" s="325">
        <f t="shared" si="39"/>
        <v>0</v>
      </c>
      <c r="AZ30" s="325">
        <f t="shared" si="40"/>
        <v>0</v>
      </c>
      <c r="BA30" s="325">
        <f t="shared" si="41"/>
        <v>0</v>
      </c>
      <c r="BB30" s="325">
        <f t="shared" si="42"/>
        <v>0</v>
      </c>
      <c r="BC30" s="325">
        <f t="shared" si="43"/>
        <v>0</v>
      </c>
      <c r="BD30" s="342"/>
      <c r="BE30" s="97"/>
    </row>
    <row r="31" ht="24" spans="1:57">
      <c r="A31" s="304" t="s">
        <v>208</v>
      </c>
      <c r="B31" s="304" t="s">
        <v>196</v>
      </c>
      <c r="C31" s="304" t="s">
        <v>330</v>
      </c>
      <c r="D31" s="304" t="s">
        <v>328</v>
      </c>
      <c r="E31" s="325">
        <f t="shared" si="25"/>
        <v>0.85</v>
      </c>
      <c r="F31" s="325"/>
      <c r="G31" s="325"/>
      <c r="H31" s="325"/>
      <c r="I31" s="325"/>
      <c r="J31" s="325"/>
      <c r="K31" s="325"/>
      <c r="L31" s="325"/>
      <c r="M31" s="325"/>
      <c r="N31" s="325"/>
      <c r="O31" s="325">
        <v>0.85</v>
      </c>
      <c r="P31" s="325"/>
      <c r="Q31" s="325"/>
      <c r="R31" s="325"/>
      <c r="S31" s="325"/>
      <c r="T31" s="325"/>
      <c r="U31" s="325"/>
      <c r="V31" s="325">
        <f t="shared" si="26"/>
        <v>-0.78</v>
      </c>
      <c r="W31" s="325"/>
      <c r="X31" s="325"/>
      <c r="Y31" s="325"/>
      <c r="Z31" s="325"/>
      <c r="AA31" s="325"/>
      <c r="AB31" s="325"/>
      <c r="AC31" s="325"/>
      <c r="AD31" s="325"/>
      <c r="AE31" s="325"/>
      <c r="AF31" s="325">
        <v>-0.78</v>
      </c>
      <c r="AG31" s="325"/>
      <c r="AH31" s="325"/>
      <c r="AI31" s="325"/>
      <c r="AJ31" s="325"/>
      <c r="AK31" s="325"/>
      <c r="AL31" s="325"/>
      <c r="AM31" s="325">
        <f t="shared" si="27"/>
        <v>0.07</v>
      </c>
      <c r="AN31" s="325">
        <f t="shared" si="28"/>
        <v>0</v>
      </c>
      <c r="AO31" s="325">
        <f t="shared" si="29"/>
        <v>0</v>
      </c>
      <c r="AP31" s="325">
        <f t="shared" si="30"/>
        <v>0</v>
      </c>
      <c r="AQ31" s="325">
        <f t="shared" si="31"/>
        <v>0</v>
      </c>
      <c r="AR31" s="325">
        <f t="shared" si="32"/>
        <v>0</v>
      </c>
      <c r="AS31" s="325">
        <f t="shared" si="33"/>
        <v>0</v>
      </c>
      <c r="AT31" s="325">
        <f t="shared" si="34"/>
        <v>0</v>
      </c>
      <c r="AU31" s="325">
        <f t="shared" si="35"/>
        <v>0</v>
      </c>
      <c r="AV31" s="325">
        <f t="shared" si="36"/>
        <v>0</v>
      </c>
      <c r="AW31" s="325">
        <f t="shared" si="37"/>
        <v>0.07</v>
      </c>
      <c r="AX31" s="325">
        <f t="shared" si="38"/>
        <v>0</v>
      </c>
      <c r="AY31" s="325">
        <f t="shared" si="39"/>
        <v>0</v>
      </c>
      <c r="AZ31" s="325">
        <f t="shared" si="40"/>
        <v>0</v>
      </c>
      <c r="BA31" s="325">
        <f t="shared" si="41"/>
        <v>0</v>
      </c>
      <c r="BB31" s="325">
        <f t="shared" si="42"/>
        <v>0</v>
      </c>
      <c r="BC31" s="325">
        <f t="shared" si="43"/>
        <v>0</v>
      </c>
      <c r="BD31" s="342"/>
      <c r="BE31" s="97"/>
    </row>
    <row r="32" ht="36" spans="1:57">
      <c r="A32" s="304" t="s">
        <v>195</v>
      </c>
      <c r="B32" s="304" t="s">
        <v>196</v>
      </c>
      <c r="C32" s="304" t="s">
        <v>357</v>
      </c>
      <c r="D32" s="304" t="s">
        <v>368</v>
      </c>
      <c r="E32" s="325">
        <f t="shared" si="25"/>
        <v>6.08</v>
      </c>
      <c r="F32" s="325"/>
      <c r="G32" s="325"/>
      <c r="H32" s="325"/>
      <c r="I32" s="325"/>
      <c r="J32" s="325"/>
      <c r="K32" s="325"/>
      <c r="L32" s="325"/>
      <c r="M32" s="325"/>
      <c r="N32" s="325"/>
      <c r="O32" s="325"/>
      <c r="P32" s="325"/>
      <c r="Q32" s="325"/>
      <c r="R32" s="325"/>
      <c r="S32" s="325">
        <v>6.08</v>
      </c>
      <c r="T32" s="325"/>
      <c r="U32" s="325"/>
      <c r="V32" s="325">
        <f t="shared" si="26"/>
        <v>0</v>
      </c>
      <c r="W32" s="325"/>
      <c r="X32" s="325"/>
      <c r="Y32" s="325"/>
      <c r="Z32" s="325"/>
      <c r="AA32" s="325"/>
      <c r="AB32" s="325"/>
      <c r="AC32" s="325"/>
      <c r="AD32" s="325"/>
      <c r="AE32" s="325"/>
      <c r="AF32" s="325"/>
      <c r="AG32" s="325"/>
      <c r="AH32" s="325"/>
      <c r="AI32" s="325"/>
      <c r="AJ32" s="325"/>
      <c r="AK32" s="325"/>
      <c r="AL32" s="325"/>
      <c r="AM32" s="325">
        <f t="shared" si="27"/>
        <v>6.08</v>
      </c>
      <c r="AN32" s="325">
        <f t="shared" si="28"/>
        <v>0</v>
      </c>
      <c r="AO32" s="325">
        <f t="shared" si="29"/>
        <v>0</v>
      </c>
      <c r="AP32" s="325">
        <f t="shared" si="30"/>
        <v>0</v>
      </c>
      <c r="AQ32" s="325">
        <f t="shared" si="31"/>
        <v>0</v>
      </c>
      <c r="AR32" s="325">
        <f t="shared" si="32"/>
        <v>0</v>
      </c>
      <c r="AS32" s="325">
        <f t="shared" si="33"/>
        <v>0</v>
      </c>
      <c r="AT32" s="325">
        <f t="shared" si="34"/>
        <v>0</v>
      </c>
      <c r="AU32" s="325">
        <f t="shared" si="35"/>
        <v>0</v>
      </c>
      <c r="AV32" s="325">
        <f t="shared" si="36"/>
        <v>0</v>
      </c>
      <c r="AW32" s="325">
        <f t="shared" si="37"/>
        <v>0</v>
      </c>
      <c r="AX32" s="325">
        <f t="shared" si="38"/>
        <v>0</v>
      </c>
      <c r="AY32" s="325">
        <f t="shared" si="39"/>
        <v>0</v>
      </c>
      <c r="AZ32" s="325">
        <f t="shared" si="40"/>
        <v>0</v>
      </c>
      <c r="BA32" s="325">
        <f t="shared" si="41"/>
        <v>6.08</v>
      </c>
      <c r="BB32" s="325">
        <f t="shared" si="42"/>
        <v>0</v>
      </c>
      <c r="BC32" s="325">
        <f t="shared" si="43"/>
        <v>0</v>
      </c>
      <c r="BD32" s="342"/>
      <c r="BE32" s="97" t="s">
        <v>904</v>
      </c>
    </row>
    <row r="33" ht="24" spans="1:57">
      <c r="A33" s="304" t="s">
        <v>208</v>
      </c>
      <c r="B33" s="304" t="s">
        <v>196</v>
      </c>
      <c r="C33" s="304" t="s">
        <v>360</v>
      </c>
      <c r="D33" s="304" t="s">
        <v>355</v>
      </c>
      <c r="E33" s="325">
        <f t="shared" si="25"/>
        <v>1.14</v>
      </c>
      <c r="F33" s="325"/>
      <c r="G33" s="325"/>
      <c r="H33" s="325"/>
      <c r="I33" s="325"/>
      <c r="J33" s="325"/>
      <c r="K33" s="325"/>
      <c r="L33" s="325"/>
      <c r="M33" s="325"/>
      <c r="N33" s="325"/>
      <c r="O33" s="325">
        <v>0.852</v>
      </c>
      <c r="P33" s="325"/>
      <c r="Q33" s="325">
        <v>0.288</v>
      </c>
      <c r="R33" s="325"/>
      <c r="S33" s="325"/>
      <c r="T33" s="325"/>
      <c r="U33" s="325"/>
      <c r="V33" s="325">
        <f t="shared" si="26"/>
        <v>0.096</v>
      </c>
      <c r="W33" s="325"/>
      <c r="X33" s="325"/>
      <c r="Y33" s="325"/>
      <c r="Z33" s="325"/>
      <c r="AA33" s="325"/>
      <c r="AB33" s="325"/>
      <c r="AC33" s="325"/>
      <c r="AD33" s="325"/>
      <c r="AE33" s="325"/>
      <c r="AF33" s="325">
        <v>0.096</v>
      </c>
      <c r="AG33" s="325"/>
      <c r="AH33" s="325"/>
      <c r="AI33" s="325"/>
      <c r="AJ33" s="325"/>
      <c r="AK33" s="325"/>
      <c r="AL33" s="325"/>
      <c r="AM33" s="325">
        <f t="shared" si="27"/>
        <v>1.236</v>
      </c>
      <c r="AN33" s="325">
        <f t="shared" si="28"/>
        <v>0</v>
      </c>
      <c r="AO33" s="325">
        <f t="shared" si="29"/>
        <v>0</v>
      </c>
      <c r="AP33" s="325">
        <f t="shared" si="30"/>
        <v>0</v>
      </c>
      <c r="AQ33" s="325">
        <f t="shared" si="31"/>
        <v>0</v>
      </c>
      <c r="AR33" s="325">
        <f t="shared" si="32"/>
        <v>0</v>
      </c>
      <c r="AS33" s="325">
        <f t="shared" si="33"/>
        <v>0</v>
      </c>
      <c r="AT33" s="325">
        <f t="shared" si="34"/>
        <v>0</v>
      </c>
      <c r="AU33" s="325">
        <f t="shared" si="35"/>
        <v>0</v>
      </c>
      <c r="AV33" s="325">
        <f t="shared" si="36"/>
        <v>0</v>
      </c>
      <c r="AW33" s="325">
        <f t="shared" si="37"/>
        <v>0.948</v>
      </c>
      <c r="AX33" s="325">
        <f t="shared" si="38"/>
        <v>0</v>
      </c>
      <c r="AY33" s="325">
        <f t="shared" si="39"/>
        <v>0.288</v>
      </c>
      <c r="AZ33" s="325">
        <f t="shared" si="40"/>
        <v>0</v>
      </c>
      <c r="BA33" s="325">
        <f t="shared" si="41"/>
        <v>0</v>
      </c>
      <c r="BB33" s="325">
        <f t="shared" si="42"/>
        <v>0</v>
      </c>
      <c r="BC33" s="325">
        <f t="shared" si="43"/>
        <v>0</v>
      </c>
      <c r="BD33" s="342"/>
      <c r="BE33" s="97"/>
    </row>
    <row r="34" ht="24" spans="1:57">
      <c r="A34" s="304" t="s">
        <v>221</v>
      </c>
      <c r="B34" s="304" t="s">
        <v>196</v>
      </c>
      <c r="C34" s="304" t="s">
        <v>222</v>
      </c>
      <c r="D34" s="304" t="s">
        <v>207</v>
      </c>
      <c r="E34" s="325">
        <f t="shared" si="25"/>
        <v>8.19</v>
      </c>
      <c r="F34" s="325"/>
      <c r="G34" s="325"/>
      <c r="H34" s="325"/>
      <c r="I34" s="325"/>
      <c r="J34" s="325"/>
      <c r="K34" s="325"/>
      <c r="L34" s="325"/>
      <c r="M34" s="325"/>
      <c r="N34" s="325"/>
      <c r="O34" s="325">
        <v>8.09</v>
      </c>
      <c r="P34" s="325"/>
      <c r="Q34" s="325"/>
      <c r="R34" s="325"/>
      <c r="S34" s="325"/>
      <c r="T34" s="325"/>
      <c r="U34" s="325">
        <v>0.1</v>
      </c>
      <c r="V34" s="325">
        <f t="shared" si="26"/>
        <v>15.28</v>
      </c>
      <c r="W34" s="325"/>
      <c r="X34" s="325"/>
      <c r="Y34" s="325"/>
      <c r="Z34" s="325"/>
      <c r="AA34" s="325"/>
      <c r="AB34" s="325"/>
      <c r="AC34" s="325"/>
      <c r="AD34" s="325"/>
      <c r="AE34" s="325"/>
      <c r="AF34" s="325">
        <v>1.58</v>
      </c>
      <c r="AG34" s="325"/>
      <c r="AH34" s="325"/>
      <c r="AI34" s="325"/>
      <c r="AJ34" s="325"/>
      <c r="AK34" s="325"/>
      <c r="AL34" s="325">
        <v>13.7</v>
      </c>
      <c r="AM34" s="325">
        <f t="shared" si="27"/>
        <v>23.47</v>
      </c>
      <c r="AN34" s="325">
        <f t="shared" si="28"/>
        <v>0</v>
      </c>
      <c r="AO34" s="325">
        <f t="shared" si="29"/>
        <v>0</v>
      </c>
      <c r="AP34" s="325">
        <f t="shared" si="30"/>
        <v>0</v>
      </c>
      <c r="AQ34" s="325">
        <f t="shared" si="31"/>
        <v>0</v>
      </c>
      <c r="AR34" s="325">
        <f t="shared" si="32"/>
        <v>0</v>
      </c>
      <c r="AS34" s="325">
        <f t="shared" si="33"/>
        <v>0</v>
      </c>
      <c r="AT34" s="325">
        <f t="shared" si="34"/>
        <v>0</v>
      </c>
      <c r="AU34" s="325">
        <f t="shared" si="35"/>
        <v>0</v>
      </c>
      <c r="AV34" s="325">
        <f t="shared" si="36"/>
        <v>0</v>
      </c>
      <c r="AW34" s="325">
        <f t="shared" si="37"/>
        <v>9.67</v>
      </c>
      <c r="AX34" s="325">
        <f t="shared" si="38"/>
        <v>0</v>
      </c>
      <c r="AY34" s="325">
        <f t="shared" si="39"/>
        <v>0</v>
      </c>
      <c r="AZ34" s="325">
        <f t="shared" si="40"/>
        <v>0</v>
      </c>
      <c r="BA34" s="325">
        <f t="shared" si="41"/>
        <v>0</v>
      </c>
      <c r="BB34" s="325">
        <f t="shared" si="42"/>
        <v>0</v>
      </c>
      <c r="BC34" s="325">
        <f t="shared" si="43"/>
        <v>13.8</v>
      </c>
      <c r="BD34" s="342"/>
      <c r="BE34" s="97" t="s">
        <v>905</v>
      </c>
    </row>
    <row r="35" ht="24" spans="1:57">
      <c r="A35" s="304" t="s">
        <v>221</v>
      </c>
      <c r="B35" s="304" t="s">
        <v>196</v>
      </c>
      <c r="C35" s="304" t="s">
        <v>226</v>
      </c>
      <c r="D35" s="304" t="s">
        <v>207</v>
      </c>
      <c r="E35" s="325">
        <f t="shared" si="25"/>
        <v>7.8692</v>
      </c>
      <c r="F35" s="325"/>
      <c r="G35" s="325"/>
      <c r="H35" s="325"/>
      <c r="I35" s="325"/>
      <c r="J35" s="325"/>
      <c r="K35" s="325"/>
      <c r="L35" s="325"/>
      <c r="M35" s="325"/>
      <c r="N35" s="325"/>
      <c r="O35" s="325">
        <v>7.6692</v>
      </c>
      <c r="P35" s="325"/>
      <c r="Q35" s="325"/>
      <c r="R35" s="325"/>
      <c r="S35" s="325"/>
      <c r="T35" s="325"/>
      <c r="U35" s="325">
        <v>0.2</v>
      </c>
      <c r="V35" s="325">
        <f t="shared" si="26"/>
        <v>-0.56</v>
      </c>
      <c r="W35" s="325"/>
      <c r="X35" s="325"/>
      <c r="Y35" s="325"/>
      <c r="Z35" s="325"/>
      <c r="AA35" s="325"/>
      <c r="AB35" s="325"/>
      <c r="AC35" s="325"/>
      <c r="AD35" s="325"/>
      <c r="AE35" s="325"/>
      <c r="AF35" s="325">
        <v>-0.56</v>
      </c>
      <c r="AG35" s="325"/>
      <c r="AH35" s="325"/>
      <c r="AI35" s="325"/>
      <c r="AJ35" s="325"/>
      <c r="AK35" s="325"/>
      <c r="AL35" s="325"/>
      <c r="AM35" s="325">
        <f t="shared" si="27"/>
        <v>7.3092</v>
      </c>
      <c r="AN35" s="325">
        <f t="shared" si="28"/>
        <v>0</v>
      </c>
      <c r="AO35" s="325">
        <f t="shared" si="29"/>
        <v>0</v>
      </c>
      <c r="AP35" s="325">
        <f t="shared" si="30"/>
        <v>0</v>
      </c>
      <c r="AQ35" s="325">
        <f t="shared" si="31"/>
        <v>0</v>
      </c>
      <c r="AR35" s="325">
        <f t="shared" si="32"/>
        <v>0</v>
      </c>
      <c r="AS35" s="325">
        <f t="shared" si="33"/>
        <v>0</v>
      </c>
      <c r="AT35" s="325">
        <f t="shared" si="34"/>
        <v>0</v>
      </c>
      <c r="AU35" s="325">
        <f t="shared" si="35"/>
        <v>0</v>
      </c>
      <c r="AV35" s="325">
        <f t="shared" si="36"/>
        <v>0</v>
      </c>
      <c r="AW35" s="325">
        <f t="shared" si="37"/>
        <v>7.1092</v>
      </c>
      <c r="AX35" s="325">
        <f t="shared" si="38"/>
        <v>0</v>
      </c>
      <c r="AY35" s="325">
        <f t="shared" si="39"/>
        <v>0</v>
      </c>
      <c r="AZ35" s="325">
        <f t="shared" si="40"/>
        <v>0</v>
      </c>
      <c r="BA35" s="325">
        <f t="shared" si="41"/>
        <v>0</v>
      </c>
      <c r="BB35" s="325">
        <f t="shared" si="42"/>
        <v>0</v>
      </c>
      <c r="BC35" s="325">
        <f t="shared" si="43"/>
        <v>0.2</v>
      </c>
      <c r="BD35" s="342"/>
      <c r="BE35" s="97" t="s">
        <v>906</v>
      </c>
    </row>
    <row r="36" ht="24" spans="1:57">
      <c r="A36" s="304" t="s">
        <v>221</v>
      </c>
      <c r="B36" s="304" t="s">
        <v>196</v>
      </c>
      <c r="C36" s="304" t="s">
        <v>230</v>
      </c>
      <c r="D36" s="304" t="s">
        <v>207</v>
      </c>
      <c r="E36" s="325">
        <f t="shared" si="25"/>
        <v>7.2</v>
      </c>
      <c r="F36" s="325"/>
      <c r="G36" s="325"/>
      <c r="H36" s="325"/>
      <c r="I36" s="325"/>
      <c r="J36" s="325"/>
      <c r="K36" s="325"/>
      <c r="L36" s="325"/>
      <c r="M36" s="325"/>
      <c r="N36" s="325"/>
      <c r="O36" s="325">
        <v>7.2</v>
      </c>
      <c r="P36" s="325"/>
      <c r="Q36" s="325"/>
      <c r="R36" s="325"/>
      <c r="S36" s="325"/>
      <c r="T36" s="325"/>
      <c r="U36" s="325"/>
      <c r="V36" s="325">
        <f t="shared" si="26"/>
        <v>0.8046</v>
      </c>
      <c r="W36" s="325"/>
      <c r="X36" s="325"/>
      <c r="Y36" s="325"/>
      <c r="Z36" s="325"/>
      <c r="AA36" s="325"/>
      <c r="AB36" s="325"/>
      <c r="AC36" s="325"/>
      <c r="AD36" s="325"/>
      <c r="AE36" s="325"/>
      <c r="AF36" s="325">
        <v>0.8046</v>
      </c>
      <c r="AG36" s="325"/>
      <c r="AH36" s="325"/>
      <c r="AI36" s="325"/>
      <c r="AJ36" s="325"/>
      <c r="AK36" s="325"/>
      <c r="AL36" s="325"/>
      <c r="AM36" s="325">
        <f t="shared" si="27"/>
        <v>8.0046</v>
      </c>
      <c r="AN36" s="325">
        <f t="shared" si="28"/>
        <v>0</v>
      </c>
      <c r="AO36" s="325">
        <f t="shared" si="29"/>
        <v>0</v>
      </c>
      <c r="AP36" s="325">
        <f t="shared" si="30"/>
        <v>0</v>
      </c>
      <c r="AQ36" s="325">
        <f t="shared" si="31"/>
        <v>0</v>
      </c>
      <c r="AR36" s="325">
        <f t="shared" si="32"/>
        <v>0</v>
      </c>
      <c r="AS36" s="325">
        <f t="shared" si="33"/>
        <v>0</v>
      </c>
      <c r="AT36" s="325">
        <f t="shared" si="34"/>
        <v>0</v>
      </c>
      <c r="AU36" s="325">
        <f t="shared" si="35"/>
        <v>0</v>
      </c>
      <c r="AV36" s="325">
        <f t="shared" si="36"/>
        <v>0</v>
      </c>
      <c r="AW36" s="325">
        <f t="shared" si="37"/>
        <v>8.0046</v>
      </c>
      <c r="AX36" s="325">
        <f t="shared" si="38"/>
        <v>0</v>
      </c>
      <c r="AY36" s="325">
        <f t="shared" si="39"/>
        <v>0</v>
      </c>
      <c r="AZ36" s="325">
        <f t="shared" si="40"/>
        <v>0</v>
      </c>
      <c r="BA36" s="325">
        <f t="shared" si="41"/>
        <v>0</v>
      </c>
      <c r="BB36" s="325">
        <f t="shared" si="42"/>
        <v>0</v>
      </c>
      <c r="BC36" s="325">
        <f t="shared" si="43"/>
        <v>0</v>
      </c>
      <c r="BD36" s="342"/>
      <c r="BE36" s="97"/>
    </row>
    <row r="37" ht="24" spans="1:57">
      <c r="A37" s="304" t="s">
        <v>221</v>
      </c>
      <c r="B37" s="304" t="s">
        <v>196</v>
      </c>
      <c r="C37" s="304" t="s">
        <v>234</v>
      </c>
      <c r="D37" s="304" t="s">
        <v>207</v>
      </c>
      <c r="E37" s="325">
        <f t="shared" si="25"/>
        <v>11.67</v>
      </c>
      <c r="F37" s="325"/>
      <c r="G37" s="325"/>
      <c r="H37" s="325"/>
      <c r="I37" s="325"/>
      <c r="J37" s="325"/>
      <c r="K37" s="325"/>
      <c r="L37" s="325"/>
      <c r="M37" s="325"/>
      <c r="N37" s="325"/>
      <c r="O37" s="325">
        <v>11.07</v>
      </c>
      <c r="P37" s="325"/>
      <c r="Q37" s="325"/>
      <c r="R37" s="325"/>
      <c r="S37" s="325"/>
      <c r="T37" s="325"/>
      <c r="U37" s="325">
        <v>0.6</v>
      </c>
      <c r="V37" s="325">
        <f t="shared" si="26"/>
        <v>0.72</v>
      </c>
      <c r="W37" s="325"/>
      <c r="X37" s="325"/>
      <c r="Y37" s="325"/>
      <c r="Z37" s="325"/>
      <c r="AA37" s="325"/>
      <c r="AB37" s="325"/>
      <c r="AC37" s="325"/>
      <c r="AD37" s="325"/>
      <c r="AE37" s="325"/>
      <c r="AF37" s="325">
        <v>0.72</v>
      </c>
      <c r="AG37" s="325"/>
      <c r="AH37" s="325"/>
      <c r="AI37" s="325"/>
      <c r="AJ37" s="325"/>
      <c r="AK37" s="325"/>
      <c r="AL37" s="325"/>
      <c r="AM37" s="325">
        <f t="shared" si="27"/>
        <v>12.39</v>
      </c>
      <c r="AN37" s="325">
        <f t="shared" si="28"/>
        <v>0</v>
      </c>
      <c r="AO37" s="325">
        <f t="shared" si="29"/>
        <v>0</v>
      </c>
      <c r="AP37" s="325">
        <f t="shared" si="30"/>
        <v>0</v>
      </c>
      <c r="AQ37" s="325">
        <f t="shared" si="31"/>
        <v>0</v>
      </c>
      <c r="AR37" s="325">
        <f t="shared" si="32"/>
        <v>0</v>
      </c>
      <c r="AS37" s="325">
        <f t="shared" si="33"/>
        <v>0</v>
      </c>
      <c r="AT37" s="325">
        <f t="shared" si="34"/>
        <v>0</v>
      </c>
      <c r="AU37" s="325">
        <f t="shared" si="35"/>
        <v>0</v>
      </c>
      <c r="AV37" s="325">
        <f t="shared" si="36"/>
        <v>0</v>
      </c>
      <c r="AW37" s="325">
        <f t="shared" si="37"/>
        <v>11.79</v>
      </c>
      <c r="AX37" s="325">
        <f t="shared" si="38"/>
        <v>0</v>
      </c>
      <c r="AY37" s="325">
        <f t="shared" si="39"/>
        <v>0</v>
      </c>
      <c r="AZ37" s="325">
        <f t="shared" si="40"/>
        <v>0</v>
      </c>
      <c r="BA37" s="325">
        <f t="shared" si="41"/>
        <v>0</v>
      </c>
      <c r="BB37" s="325">
        <f t="shared" si="42"/>
        <v>0</v>
      </c>
      <c r="BC37" s="325">
        <f t="shared" si="43"/>
        <v>0.6</v>
      </c>
      <c r="BD37" s="342"/>
      <c r="BE37" s="97" t="s">
        <v>907</v>
      </c>
    </row>
    <row r="38" ht="24" spans="1:57">
      <c r="A38" s="304" t="s">
        <v>221</v>
      </c>
      <c r="B38" s="304" t="s">
        <v>196</v>
      </c>
      <c r="C38" s="304" t="s">
        <v>238</v>
      </c>
      <c r="D38" s="304" t="s">
        <v>207</v>
      </c>
      <c r="E38" s="325">
        <f t="shared" si="25"/>
        <v>9.74</v>
      </c>
      <c r="F38" s="325"/>
      <c r="G38" s="325"/>
      <c r="H38" s="325"/>
      <c r="I38" s="325"/>
      <c r="J38" s="325"/>
      <c r="K38" s="325"/>
      <c r="L38" s="325"/>
      <c r="M38" s="325"/>
      <c r="N38" s="325"/>
      <c r="O38" s="325">
        <v>9.54</v>
      </c>
      <c r="P38" s="325"/>
      <c r="Q38" s="325"/>
      <c r="R38" s="325"/>
      <c r="S38" s="325"/>
      <c r="T38" s="325"/>
      <c r="U38" s="325">
        <v>0.2</v>
      </c>
      <c r="V38" s="325">
        <f t="shared" si="26"/>
        <v>1.1</v>
      </c>
      <c r="W38" s="325"/>
      <c r="X38" s="325"/>
      <c r="Y38" s="325"/>
      <c r="Z38" s="325"/>
      <c r="AA38" s="325"/>
      <c r="AB38" s="325"/>
      <c r="AC38" s="325"/>
      <c r="AD38" s="325"/>
      <c r="AE38" s="325"/>
      <c r="AF38" s="325">
        <v>1.1</v>
      </c>
      <c r="AG38" s="325"/>
      <c r="AH38" s="325"/>
      <c r="AI38" s="325"/>
      <c r="AJ38" s="325"/>
      <c r="AK38" s="325"/>
      <c r="AL38" s="325"/>
      <c r="AM38" s="325">
        <f t="shared" si="27"/>
        <v>10.84</v>
      </c>
      <c r="AN38" s="325">
        <f t="shared" si="28"/>
        <v>0</v>
      </c>
      <c r="AO38" s="325">
        <f t="shared" si="29"/>
        <v>0</v>
      </c>
      <c r="AP38" s="325">
        <f t="shared" si="30"/>
        <v>0</v>
      </c>
      <c r="AQ38" s="325">
        <f t="shared" si="31"/>
        <v>0</v>
      </c>
      <c r="AR38" s="325">
        <f t="shared" si="32"/>
        <v>0</v>
      </c>
      <c r="AS38" s="325">
        <f t="shared" si="33"/>
        <v>0</v>
      </c>
      <c r="AT38" s="325">
        <f t="shared" si="34"/>
        <v>0</v>
      </c>
      <c r="AU38" s="325">
        <f t="shared" si="35"/>
        <v>0</v>
      </c>
      <c r="AV38" s="325">
        <f t="shared" si="36"/>
        <v>0</v>
      </c>
      <c r="AW38" s="325">
        <f t="shared" si="37"/>
        <v>10.64</v>
      </c>
      <c r="AX38" s="325">
        <f t="shared" si="38"/>
        <v>0</v>
      </c>
      <c r="AY38" s="325">
        <f t="shared" si="39"/>
        <v>0</v>
      </c>
      <c r="AZ38" s="325">
        <f t="shared" si="40"/>
        <v>0</v>
      </c>
      <c r="BA38" s="325">
        <f t="shared" si="41"/>
        <v>0</v>
      </c>
      <c r="BB38" s="325">
        <f t="shared" si="42"/>
        <v>0</v>
      </c>
      <c r="BC38" s="325">
        <f t="shared" si="43"/>
        <v>0.2</v>
      </c>
      <c r="BD38" s="342"/>
      <c r="BE38" s="97" t="s">
        <v>906</v>
      </c>
    </row>
    <row r="39" ht="24" spans="1:57">
      <c r="A39" s="304" t="s">
        <v>221</v>
      </c>
      <c r="B39" s="304" t="s">
        <v>196</v>
      </c>
      <c r="C39" s="304" t="s">
        <v>242</v>
      </c>
      <c r="D39" s="304" t="s">
        <v>207</v>
      </c>
      <c r="E39" s="325">
        <f t="shared" si="25"/>
        <v>3.89</v>
      </c>
      <c r="F39" s="325"/>
      <c r="G39" s="325"/>
      <c r="H39" s="325"/>
      <c r="I39" s="325"/>
      <c r="J39" s="325"/>
      <c r="K39" s="325"/>
      <c r="L39" s="325"/>
      <c r="M39" s="325"/>
      <c r="N39" s="325"/>
      <c r="O39" s="325">
        <v>3.69</v>
      </c>
      <c r="P39" s="325"/>
      <c r="Q39" s="325"/>
      <c r="R39" s="325"/>
      <c r="S39" s="325"/>
      <c r="T39" s="325"/>
      <c r="U39" s="325">
        <v>0.2</v>
      </c>
      <c r="V39" s="325">
        <f t="shared" si="26"/>
        <v>0.36</v>
      </c>
      <c r="W39" s="325"/>
      <c r="X39" s="325"/>
      <c r="Y39" s="325"/>
      <c r="Z39" s="325"/>
      <c r="AA39" s="325"/>
      <c r="AB39" s="325"/>
      <c r="AC39" s="325"/>
      <c r="AD39" s="325"/>
      <c r="AE39" s="325"/>
      <c r="AF39" s="325">
        <v>0.36</v>
      </c>
      <c r="AG39" s="325"/>
      <c r="AH39" s="325"/>
      <c r="AI39" s="325"/>
      <c r="AJ39" s="325"/>
      <c r="AK39" s="325"/>
      <c r="AL39" s="325"/>
      <c r="AM39" s="325">
        <f t="shared" si="27"/>
        <v>4.25</v>
      </c>
      <c r="AN39" s="325">
        <f t="shared" si="28"/>
        <v>0</v>
      </c>
      <c r="AO39" s="325">
        <f t="shared" si="29"/>
        <v>0</v>
      </c>
      <c r="AP39" s="325">
        <f t="shared" si="30"/>
        <v>0</v>
      </c>
      <c r="AQ39" s="325">
        <f t="shared" si="31"/>
        <v>0</v>
      </c>
      <c r="AR39" s="325">
        <f t="shared" si="32"/>
        <v>0</v>
      </c>
      <c r="AS39" s="325">
        <f t="shared" si="33"/>
        <v>0</v>
      </c>
      <c r="AT39" s="325">
        <f t="shared" si="34"/>
        <v>0</v>
      </c>
      <c r="AU39" s="325">
        <f t="shared" si="35"/>
        <v>0</v>
      </c>
      <c r="AV39" s="325">
        <f t="shared" si="36"/>
        <v>0</v>
      </c>
      <c r="AW39" s="325">
        <f t="shared" si="37"/>
        <v>4.05</v>
      </c>
      <c r="AX39" s="325">
        <f t="shared" si="38"/>
        <v>0</v>
      </c>
      <c r="AY39" s="325">
        <f t="shared" si="39"/>
        <v>0</v>
      </c>
      <c r="AZ39" s="325">
        <f t="shared" si="40"/>
        <v>0</v>
      </c>
      <c r="BA39" s="325">
        <f t="shared" si="41"/>
        <v>0</v>
      </c>
      <c r="BB39" s="325">
        <f t="shared" si="42"/>
        <v>0</v>
      </c>
      <c r="BC39" s="325">
        <f t="shared" si="43"/>
        <v>0.2</v>
      </c>
      <c r="BD39" s="342"/>
      <c r="BE39" s="97" t="s">
        <v>906</v>
      </c>
    </row>
    <row r="40" ht="24" spans="1:57">
      <c r="A40" s="304" t="s">
        <v>221</v>
      </c>
      <c r="B40" s="304" t="s">
        <v>196</v>
      </c>
      <c r="C40" s="304" t="s">
        <v>246</v>
      </c>
      <c r="D40" s="304" t="s">
        <v>207</v>
      </c>
      <c r="E40" s="325">
        <f t="shared" si="25"/>
        <v>12.05</v>
      </c>
      <c r="F40" s="325"/>
      <c r="G40" s="325"/>
      <c r="H40" s="325"/>
      <c r="I40" s="325"/>
      <c r="J40" s="325"/>
      <c r="K40" s="325"/>
      <c r="L40" s="325"/>
      <c r="M40" s="325"/>
      <c r="N40" s="325"/>
      <c r="O40" s="325">
        <v>11.85</v>
      </c>
      <c r="P40" s="325"/>
      <c r="Q40" s="325"/>
      <c r="R40" s="325"/>
      <c r="S40" s="325"/>
      <c r="T40" s="325"/>
      <c r="U40" s="325">
        <v>0.2</v>
      </c>
      <c r="V40" s="325">
        <f t="shared" si="26"/>
        <v>1.18</v>
      </c>
      <c r="W40" s="325"/>
      <c r="X40" s="325"/>
      <c r="Y40" s="325"/>
      <c r="Z40" s="325"/>
      <c r="AA40" s="325"/>
      <c r="AB40" s="325"/>
      <c r="AC40" s="325"/>
      <c r="AD40" s="325"/>
      <c r="AE40" s="325"/>
      <c r="AF40" s="325">
        <v>1.18</v>
      </c>
      <c r="AG40" s="325"/>
      <c r="AH40" s="325"/>
      <c r="AI40" s="325"/>
      <c r="AJ40" s="325"/>
      <c r="AK40" s="325"/>
      <c r="AL40" s="325"/>
      <c r="AM40" s="325">
        <f t="shared" si="27"/>
        <v>13.23</v>
      </c>
      <c r="AN40" s="325">
        <f t="shared" si="28"/>
        <v>0</v>
      </c>
      <c r="AO40" s="325">
        <f t="shared" si="29"/>
        <v>0</v>
      </c>
      <c r="AP40" s="325">
        <f t="shared" si="30"/>
        <v>0</v>
      </c>
      <c r="AQ40" s="325">
        <f t="shared" si="31"/>
        <v>0</v>
      </c>
      <c r="AR40" s="325">
        <f t="shared" si="32"/>
        <v>0</v>
      </c>
      <c r="AS40" s="325">
        <f t="shared" si="33"/>
        <v>0</v>
      </c>
      <c r="AT40" s="325">
        <f t="shared" si="34"/>
        <v>0</v>
      </c>
      <c r="AU40" s="325">
        <f t="shared" si="35"/>
        <v>0</v>
      </c>
      <c r="AV40" s="325">
        <f t="shared" si="36"/>
        <v>0</v>
      </c>
      <c r="AW40" s="325">
        <f t="shared" si="37"/>
        <v>13.03</v>
      </c>
      <c r="AX40" s="325">
        <f t="shared" si="38"/>
        <v>0</v>
      </c>
      <c r="AY40" s="325">
        <f t="shared" si="39"/>
        <v>0</v>
      </c>
      <c r="AZ40" s="325">
        <f t="shared" si="40"/>
        <v>0</v>
      </c>
      <c r="BA40" s="325">
        <f t="shared" si="41"/>
        <v>0</v>
      </c>
      <c r="BB40" s="325">
        <f t="shared" si="42"/>
        <v>0</v>
      </c>
      <c r="BC40" s="325">
        <f t="shared" si="43"/>
        <v>0.2</v>
      </c>
      <c r="BD40" s="342"/>
      <c r="BE40" s="97" t="s">
        <v>906</v>
      </c>
    </row>
    <row r="41" ht="24" spans="1:57">
      <c r="A41" s="304" t="s">
        <v>221</v>
      </c>
      <c r="B41" s="304" t="s">
        <v>196</v>
      </c>
      <c r="C41" s="304" t="s">
        <v>250</v>
      </c>
      <c r="D41" s="304" t="s">
        <v>207</v>
      </c>
      <c r="E41" s="325">
        <f t="shared" si="25"/>
        <v>3.908</v>
      </c>
      <c r="F41" s="325"/>
      <c r="G41" s="325"/>
      <c r="H41" s="325"/>
      <c r="I41" s="325"/>
      <c r="J41" s="325"/>
      <c r="K41" s="325"/>
      <c r="L41" s="325"/>
      <c r="M41" s="325"/>
      <c r="N41" s="325"/>
      <c r="O41" s="325">
        <v>3.408</v>
      </c>
      <c r="P41" s="325"/>
      <c r="Q41" s="325"/>
      <c r="R41" s="325"/>
      <c r="S41" s="325"/>
      <c r="T41" s="325"/>
      <c r="U41" s="325">
        <v>0.5</v>
      </c>
      <c r="V41" s="325">
        <f t="shared" si="26"/>
        <v>0.43</v>
      </c>
      <c r="W41" s="325"/>
      <c r="X41" s="325"/>
      <c r="Y41" s="325"/>
      <c r="Z41" s="325"/>
      <c r="AA41" s="325"/>
      <c r="AB41" s="325"/>
      <c r="AC41" s="325"/>
      <c r="AD41" s="325"/>
      <c r="AE41" s="325"/>
      <c r="AF41" s="325">
        <v>0.43</v>
      </c>
      <c r="AG41" s="325"/>
      <c r="AH41" s="325"/>
      <c r="AI41" s="325"/>
      <c r="AJ41" s="325"/>
      <c r="AK41" s="325"/>
      <c r="AL41" s="325"/>
      <c r="AM41" s="325">
        <f t="shared" si="27"/>
        <v>4.338</v>
      </c>
      <c r="AN41" s="325">
        <f t="shared" si="28"/>
        <v>0</v>
      </c>
      <c r="AO41" s="325">
        <f t="shared" si="29"/>
        <v>0</v>
      </c>
      <c r="AP41" s="325">
        <f t="shared" si="30"/>
        <v>0</v>
      </c>
      <c r="AQ41" s="325">
        <f t="shared" si="31"/>
        <v>0</v>
      </c>
      <c r="AR41" s="325">
        <f t="shared" si="32"/>
        <v>0</v>
      </c>
      <c r="AS41" s="325">
        <f t="shared" si="33"/>
        <v>0</v>
      </c>
      <c r="AT41" s="325">
        <f t="shared" si="34"/>
        <v>0</v>
      </c>
      <c r="AU41" s="325">
        <f t="shared" si="35"/>
        <v>0</v>
      </c>
      <c r="AV41" s="325">
        <f t="shared" si="36"/>
        <v>0</v>
      </c>
      <c r="AW41" s="325">
        <f t="shared" si="37"/>
        <v>3.838</v>
      </c>
      <c r="AX41" s="325">
        <f t="shared" si="38"/>
        <v>0</v>
      </c>
      <c r="AY41" s="325">
        <f t="shared" si="39"/>
        <v>0</v>
      </c>
      <c r="AZ41" s="325">
        <f t="shared" si="40"/>
        <v>0</v>
      </c>
      <c r="BA41" s="325">
        <f t="shared" si="41"/>
        <v>0</v>
      </c>
      <c r="BB41" s="325">
        <f t="shared" si="42"/>
        <v>0</v>
      </c>
      <c r="BC41" s="325">
        <f t="shared" si="43"/>
        <v>0.5</v>
      </c>
      <c r="BD41" s="342"/>
      <c r="BE41" s="97" t="s">
        <v>908</v>
      </c>
    </row>
    <row r="42" ht="24" spans="1:57">
      <c r="A42" s="304" t="s">
        <v>221</v>
      </c>
      <c r="B42" s="304" t="s">
        <v>196</v>
      </c>
      <c r="C42" s="304" t="s">
        <v>254</v>
      </c>
      <c r="D42" s="304" t="s">
        <v>207</v>
      </c>
      <c r="E42" s="325">
        <f t="shared" si="25"/>
        <v>18.17</v>
      </c>
      <c r="F42" s="325"/>
      <c r="G42" s="325"/>
      <c r="H42" s="325"/>
      <c r="I42" s="325"/>
      <c r="J42" s="325"/>
      <c r="K42" s="325"/>
      <c r="L42" s="325"/>
      <c r="M42" s="325"/>
      <c r="N42" s="325"/>
      <c r="O42" s="325">
        <v>17.37</v>
      </c>
      <c r="P42" s="325"/>
      <c r="Q42" s="325"/>
      <c r="R42" s="325"/>
      <c r="S42" s="325"/>
      <c r="T42" s="325"/>
      <c r="U42" s="325">
        <v>0.8</v>
      </c>
      <c r="V42" s="325">
        <f t="shared" si="26"/>
        <v>2.88</v>
      </c>
      <c r="W42" s="325"/>
      <c r="X42" s="325"/>
      <c r="Y42" s="325"/>
      <c r="Z42" s="325"/>
      <c r="AA42" s="325"/>
      <c r="AB42" s="325"/>
      <c r="AC42" s="325"/>
      <c r="AD42" s="325"/>
      <c r="AE42" s="325"/>
      <c r="AF42" s="325">
        <v>2.88</v>
      </c>
      <c r="AG42" s="325"/>
      <c r="AH42" s="325"/>
      <c r="AI42" s="325"/>
      <c r="AJ42" s="325"/>
      <c r="AK42" s="325"/>
      <c r="AL42" s="325"/>
      <c r="AM42" s="325">
        <f t="shared" si="27"/>
        <v>21.05</v>
      </c>
      <c r="AN42" s="325">
        <f t="shared" si="28"/>
        <v>0</v>
      </c>
      <c r="AO42" s="325">
        <f t="shared" si="29"/>
        <v>0</v>
      </c>
      <c r="AP42" s="325">
        <f t="shared" si="30"/>
        <v>0</v>
      </c>
      <c r="AQ42" s="325">
        <f t="shared" si="31"/>
        <v>0</v>
      </c>
      <c r="AR42" s="325">
        <f t="shared" si="32"/>
        <v>0</v>
      </c>
      <c r="AS42" s="325">
        <f t="shared" si="33"/>
        <v>0</v>
      </c>
      <c r="AT42" s="325">
        <f t="shared" si="34"/>
        <v>0</v>
      </c>
      <c r="AU42" s="325">
        <f t="shared" si="35"/>
        <v>0</v>
      </c>
      <c r="AV42" s="325">
        <f t="shared" si="36"/>
        <v>0</v>
      </c>
      <c r="AW42" s="325">
        <f t="shared" si="37"/>
        <v>20.25</v>
      </c>
      <c r="AX42" s="325">
        <f t="shared" si="38"/>
        <v>0</v>
      </c>
      <c r="AY42" s="325">
        <f t="shared" si="39"/>
        <v>0</v>
      </c>
      <c r="AZ42" s="325">
        <f t="shared" si="40"/>
        <v>0</v>
      </c>
      <c r="BA42" s="325">
        <f t="shared" si="41"/>
        <v>0</v>
      </c>
      <c r="BB42" s="325">
        <f t="shared" si="42"/>
        <v>0</v>
      </c>
      <c r="BC42" s="325">
        <f t="shared" si="43"/>
        <v>0.8</v>
      </c>
      <c r="BD42" s="342"/>
      <c r="BE42" s="97" t="s">
        <v>909</v>
      </c>
    </row>
    <row r="43" ht="24" spans="1:57">
      <c r="A43" s="304" t="s">
        <v>221</v>
      </c>
      <c r="B43" s="304" t="s">
        <v>196</v>
      </c>
      <c r="C43" s="304" t="s">
        <v>258</v>
      </c>
      <c r="D43" s="304" t="s">
        <v>207</v>
      </c>
      <c r="E43" s="325">
        <f t="shared" si="25"/>
        <v>16.41</v>
      </c>
      <c r="F43" s="325"/>
      <c r="G43" s="325"/>
      <c r="H43" s="325"/>
      <c r="I43" s="325"/>
      <c r="J43" s="325"/>
      <c r="K43" s="325"/>
      <c r="L43" s="325"/>
      <c r="M43" s="325"/>
      <c r="N43" s="325"/>
      <c r="O43" s="325">
        <v>14.96</v>
      </c>
      <c r="P43" s="325">
        <v>0.85</v>
      </c>
      <c r="Q43" s="325"/>
      <c r="R43" s="325"/>
      <c r="S43" s="325"/>
      <c r="T43" s="325"/>
      <c r="U43" s="325">
        <v>0.6</v>
      </c>
      <c r="V43" s="325">
        <f t="shared" si="26"/>
        <v>0.144</v>
      </c>
      <c r="W43" s="325"/>
      <c r="X43" s="325"/>
      <c r="Y43" s="325"/>
      <c r="Z43" s="325"/>
      <c r="AA43" s="325"/>
      <c r="AB43" s="325"/>
      <c r="AC43" s="325"/>
      <c r="AD43" s="325"/>
      <c r="AE43" s="325"/>
      <c r="AF43" s="325">
        <v>0.144</v>
      </c>
      <c r="AG43" s="325"/>
      <c r="AH43" s="325"/>
      <c r="AI43" s="325"/>
      <c r="AJ43" s="325"/>
      <c r="AK43" s="325"/>
      <c r="AL43" s="325"/>
      <c r="AM43" s="325">
        <f t="shared" si="27"/>
        <v>16.554</v>
      </c>
      <c r="AN43" s="325">
        <f t="shared" si="28"/>
        <v>0</v>
      </c>
      <c r="AO43" s="325">
        <f t="shared" si="29"/>
        <v>0</v>
      </c>
      <c r="AP43" s="325">
        <f t="shared" si="30"/>
        <v>0</v>
      </c>
      <c r="AQ43" s="325">
        <f t="shared" si="31"/>
        <v>0</v>
      </c>
      <c r="AR43" s="325">
        <f t="shared" si="32"/>
        <v>0</v>
      </c>
      <c r="AS43" s="325">
        <f t="shared" si="33"/>
        <v>0</v>
      </c>
      <c r="AT43" s="325">
        <f t="shared" si="34"/>
        <v>0</v>
      </c>
      <c r="AU43" s="325">
        <f t="shared" si="35"/>
        <v>0</v>
      </c>
      <c r="AV43" s="325">
        <f t="shared" si="36"/>
        <v>0</v>
      </c>
      <c r="AW43" s="325">
        <f t="shared" si="37"/>
        <v>15.104</v>
      </c>
      <c r="AX43" s="325">
        <f t="shared" si="38"/>
        <v>0.85</v>
      </c>
      <c r="AY43" s="325">
        <f t="shared" si="39"/>
        <v>0</v>
      </c>
      <c r="AZ43" s="325">
        <f t="shared" si="40"/>
        <v>0</v>
      </c>
      <c r="BA43" s="325">
        <f t="shared" si="41"/>
        <v>0</v>
      </c>
      <c r="BB43" s="325">
        <f t="shared" si="42"/>
        <v>0</v>
      </c>
      <c r="BC43" s="325">
        <f t="shared" si="43"/>
        <v>0.6</v>
      </c>
      <c r="BD43" s="342"/>
      <c r="BE43" s="97" t="s">
        <v>907</v>
      </c>
    </row>
    <row r="44" ht="24" spans="1:57">
      <c r="A44" s="304" t="s">
        <v>221</v>
      </c>
      <c r="B44" s="304" t="s">
        <v>196</v>
      </c>
      <c r="C44" s="304" t="s">
        <v>262</v>
      </c>
      <c r="D44" s="304" t="s">
        <v>207</v>
      </c>
      <c r="E44" s="325">
        <f t="shared" si="25"/>
        <v>14.25</v>
      </c>
      <c r="F44" s="325"/>
      <c r="G44" s="325"/>
      <c r="H44" s="325"/>
      <c r="I44" s="325"/>
      <c r="J44" s="325"/>
      <c r="K44" s="325"/>
      <c r="L44" s="325"/>
      <c r="M44" s="325"/>
      <c r="N44" s="325"/>
      <c r="O44" s="325">
        <v>13.75</v>
      </c>
      <c r="P44" s="325"/>
      <c r="Q44" s="325"/>
      <c r="R44" s="325"/>
      <c r="S44" s="325"/>
      <c r="T44" s="325"/>
      <c r="U44" s="325">
        <v>0.5</v>
      </c>
      <c r="V44" s="325">
        <f t="shared" si="26"/>
        <v>0.84</v>
      </c>
      <c r="W44" s="325"/>
      <c r="X44" s="325"/>
      <c r="Y44" s="325"/>
      <c r="Z44" s="325"/>
      <c r="AA44" s="325"/>
      <c r="AB44" s="325"/>
      <c r="AC44" s="325"/>
      <c r="AD44" s="325"/>
      <c r="AE44" s="325"/>
      <c r="AF44" s="325">
        <v>0.84</v>
      </c>
      <c r="AG44" s="325"/>
      <c r="AH44" s="325"/>
      <c r="AI44" s="325"/>
      <c r="AJ44" s="325"/>
      <c r="AK44" s="325"/>
      <c r="AL44" s="325"/>
      <c r="AM44" s="325">
        <f t="shared" si="27"/>
        <v>15.09</v>
      </c>
      <c r="AN44" s="325">
        <f t="shared" si="28"/>
        <v>0</v>
      </c>
      <c r="AO44" s="325">
        <f t="shared" si="29"/>
        <v>0</v>
      </c>
      <c r="AP44" s="325">
        <f t="shared" si="30"/>
        <v>0</v>
      </c>
      <c r="AQ44" s="325">
        <f t="shared" si="31"/>
        <v>0</v>
      </c>
      <c r="AR44" s="325">
        <f t="shared" si="32"/>
        <v>0</v>
      </c>
      <c r="AS44" s="325">
        <f t="shared" si="33"/>
        <v>0</v>
      </c>
      <c r="AT44" s="325">
        <f t="shared" si="34"/>
        <v>0</v>
      </c>
      <c r="AU44" s="325">
        <f t="shared" si="35"/>
        <v>0</v>
      </c>
      <c r="AV44" s="325">
        <f t="shared" si="36"/>
        <v>0</v>
      </c>
      <c r="AW44" s="325">
        <f t="shared" si="37"/>
        <v>14.59</v>
      </c>
      <c r="AX44" s="325">
        <f t="shared" si="38"/>
        <v>0</v>
      </c>
      <c r="AY44" s="325">
        <f t="shared" si="39"/>
        <v>0</v>
      </c>
      <c r="AZ44" s="325">
        <f t="shared" si="40"/>
        <v>0</v>
      </c>
      <c r="BA44" s="325">
        <f t="shared" si="41"/>
        <v>0</v>
      </c>
      <c r="BB44" s="325">
        <f t="shared" si="42"/>
        <v>0</v>
      </c>
      <c r="BC44" s="325">
        <f t="shared" si="43"/>
        <v>0.5</v>
      </c>
      <c r="BD44" s="342"/>
      <c r="BE44" s="97" t="s">
        <v>908</v>
      </c>
    </row>
    <row r="45" ht="24" spans="1:57">
      <c r="A45" s="304" t="s">
        <v>221</v>
      </c>
      <c r="B45" s="304" t="s">
        <v>196</v>
      </c>
      <c r="C45" s="304" t="s">
        <v>266</v>
      </c>
      <c r="D45" s="304" t="s">
        <v>207</v>
      </c>
      <c r="E45" s="325">
        <f t="shared" si="25"/>
        <v>11.98</v>
      </c>
      <c r="F45" s="325"/>
      <c r="G45" s="325"/>
      <c r="H45" s="325"/>
      <c r="I45" s="325"/>
      <c r="J45" s="325"/>
      <c r="K45" s="325"/>
      <c r="L45" s="325"/>
      <c r="M45" s="325"/>
      <c r="N45" s="325"/>
      <c r="O45" s="325">
        <v>11.08</v>
      </c>
      <c r="P45" s="325"/>
      <c r="Q45" s="325"/>
      <c r="R45" s="325"/>
      <c r="S45" s="325"/>
      <c r="T45" s="325"/>
      <c r="U45" s="325">
        <v>0.9</v>
      </c>
      <c r="V45" s="325">
        <f t="shared" si="26"/>
        <v>0.574</v>
      </c>
      <c r="W45" s="325"/>
      <c r="X45" s="325"/>
      <c r="Y45" s="325"/>
      <c r="Z45" s="325"/>
      <c r="AA45" s="325"/>
      <c r="AB45" s="325"/>
      <c r="AC45" s="325"/>
      <c r="AD45" s="325"/>
      <c r="AE45" s="325"/>
      <c r="AF45" s="325">
        <v>0.574</v>
      </c>
      <c r="AG45" s="325"/>
      <c r="AH45" s="325"/>
      <c r="AI45" s="325"/>
      <c r="AJ45" s="325"/>
      <c r="AK45" s="325"/>
      <c r="AL45" s="325"/>
      <c r="AM45" s="325">
        <f t="shared" si="27"/>
        <v>12.554</v>
      </c>
      <c r="AN45" s="325">
        <f t="shared" si="28"/>
        <v>0</v>
      </c>
      <c r="AO45" s="325">
        <f t="shared" si="29"/>
        <v>0</v>
      </c>
      <c r="AP45" s="325">
        <f t="shared" si="30"/>
        <v>0</v>
      </c>
      <c r="AQ45" s="325">
        <f t="shared" si="31"/>
        <v>0</v>
      </c>
      <c r="AR45" s="325">
        <f t="shared" si="32"/>
        <v>0</v>
      </c>
      <c r="AS45" s="325">
        <f t="shared" si="33"/>
        <v>0</v>
      </c>
      <c r="AT45" s="325">
        <f t="shared" si="34"/>
        <v>0</v>
      </c>
      <c r="AU45" s="325">
        <f t="shared" si="35"/>
        <v>0</v>
      </c>
      <c r="AV45" s="325">
        <f t="shared" si="36"/>
        <v>0</v>
      </c>
      <c r="AW45" s="325">
        <f t="shared" si="37"/>
        <v>11.654</v>
      </c>
      <c r="AX45" s="325">
        <f t="shared" si="38"/>
        <v>0</v>
      </c>
      <c r="AY45" s="325">
        <f t="shared" si="39"/>
        <v>0</v>
      </c>
      <c r="AZ45" s="325">
        <f t="shared" si="40"/>
        <v>0</v>
      </c>
      <c r="BA45" s="325">
        <f t="shared" si="41"/>
        <v>0</v>
      </c>
      <c r="BB45" s="325">
        <f t="shared" si="42"/>
        <v>0</v>
      </c>
      <c r="BC45" s="325">
        <f t="shared" si="43"/>
        <v>0.9</v>
      </c>
      <c r="BD45" s="342"/>
      <c r="BE45" s="97" t="s">
        <v>910</v>
      </c>
    </row>
    <row r="46" ht="24" spans="1:57">
      <c r="A46" s="304" t="s">
        <v>221</v>
      </c>
      <c r="B46" s="304" t="s">
        <v>196</v>
      </c>
      <c r="C46" s="304" t="s">
        <v>270</v>
      </c>
      <c r="D46" s="304" t="s">
        <v>207</v>
      </c>
      <c r="E46" s="325">
        <f t="shared" si="25"/>
        <v>19.82</v>
      </c>
      <c r="F46" s="325"/>
      <c r="G46" s="325"/>
      <c r="H46" s="325"/>
      <c r="I46" s="325"/>
      <c r="J46" s="325"/>
      <c r="K46" s="325"/>
      <c r="L46" s="325"/>
      <c r="M46" s="325"/>
      <c r="N46" s="325"/>
      <c r="O46" s="325">
        <v>18.92</v>
      </c>
      <c r="P46" s="325"/>
      <c r="Q46" s="325"/>
      <c r="R46" s="325"/>
      <c r="S46" s="325"/>
      <c r="T46" s="325"/>
      <c r="U46" s="325">
        <v>0.9</v>
      </c>
      <c r="V46" s="325">
        <f t="shared" si="26"/>
        <v>2.2896</v>
      </c>
      <c r="W46" s="325"/>
      <c r="X46" s="325"/>
      <c r="Y46" s="325"/>
      <c r="Z46" s="325"/>
      <c r="AA46" s="325"/>
      <c r="AB46" s="325"/>
      <c r="AC46" s="325"/>
      <c r="AD46" s="325"/>
      <c r="AE46" s="325"/>
      <c r="AF46" s="325">
        <v>2.2896</v>
      </c>
      <c r="AG46" s="325"/>
      <c r="AH46" s="325"/>
      <c r="AI46" s="325"/>
      <c r="AJ46" s="325"/>
      <c r="AK46" s="325"/>
      <c r="AL46" s="325"/>
      <c r="AM46" s="325">
        <f t="shared" si="27"/>
        <v>22.1096</v>
      </c>
      <c r="AN46" s="325">
        <f t="shared" si="28"/>
        <v>0</v>
      </c>
      <c r="AO46" s="325">
        <f t="shared" si="29"/>
        <v>0</v>
      </c>
      <c r="AP46" s="325">
        <f t="shared" si="30"/>
        <v>0</v>
      </c>
      <c r="AQ46" s="325">
        <f t="shared" si="31"/>
        <v>0</v>
      </c>
      <c r="AR46" s="325">
        <f t="shared" si="32"/>
        <v>0</v>
      </c>
      <c r="AS46" s="325">
        <f t="shared" si="33"/>
        <v>0</v>
      </c>
      <c r="AT46" s="325">
        <f t="shared" si="34"/>
        <v>0</v>
      </c>
      <c r="AU46" s="325">
        <f t="shared" si="35"/>
        <v>0</v>
      </c>
      <c r="AV46" s="325">
        <f t="shared" si="36"/>
        <v>0</v>
      </c>
      <c r="AW46" s="325">
        <f t="shared" si="37"/>
        <v>21.2096</v>
      </c>
      <c r="AX46" s="325">
        <f t="shared" si="38"/>
        <v>0</v>
      </c>
      <c r="AY46" s="325">
        <f t="shared" si="39"/>
        <v>0</v>
      </c>
      <c r="AZ46" s="325">
        <f t="shared" si="40"/>
        <v>0</v>
      </c>
      <c r="BA46" s="325">
        <f t="shared" si="41"/>
        <v>0</v>
      </c>
      <c r="BB46" s="325">
        <f t="shared" si="42"/>
        <v>0</v>
      </c>
      <c r="BC46" s="325">
        <f t="shared" si="43"/>
        <v>0.9</v>
      </c>
      <c r="BD46" s="342"/>
      <c r="BE46" s="97" t="s">
        <v>910</v>
      </c>
    </row>
    <row r="47" ht="24" spans="1:57">
      <c r="A47" s="304" t="s">
        <v>221</v>
      </c>
      <c r="B47" s="304" t="s">
        <v>196</v>
      </c>
      <c r="C47" s="304" t="s">
        <v>274</v>
      </c>
      <c r="D47" s="304" t="s">
        <v>207</v>
      </c>
      <c r="E47" s="325">
        <f t="shared" si="25"/>
        <v>10.2</v>
      </c>
      <c r="F47" s="325"/>
      <c r="G47" s="325"/>
      <c r="H47" s="325"/>
      <c r="I47" s="325"/>
      <c r="J47" s="325"/>
      <c r="K47" s="325"/>
      <c r="L47" s="325"/>
      <c r="M47" s="325"/>
      <c r="N47" s="325"/>
      <c r="O47" s="325">
        <v>10.2</v>
      </c>
      <c r="P47" s="325"/>
      <c r="Q47" s="325"/>
      <c r="R47" s="325"/>
      <c r="S47" s="325"/>
      <c r="T47" s="325"/>
      <c r="U47" s="325"/>
      <c r="V47" s="325">
        <f t="shared" si="26"/>
        <v>1.19</v>
      </c>
      <c r="W47" s="325"/>
      <c r="X47" s="325"/>
      <c r="Y47" s="325"/>
      <c r="Z47" s="325"/>
      <c r="AA47" s="325"/>
      <c r="AB47" s="325"/>
      <c r="AC47" s="325"/>
      <c r="AD47" s="325"/>
      <c r="AE47" s="325"/>
      <c r="AF47" s="325">
        <v>1.19</v>
      </c>
      <c r="AG47" s="325"/>
      <c r="AH47" s="325"/>
      <c r="AI47" s="325"/>
      <c r="AJ47" s="325"/>
      <c r="AK47" s="325"/>
      <c r="AL47" s="325"/>
      <c r="AM47" s="325">
        <f t="shared" si="27"/>
        <v>11.39</v>
      </c>
      <c r="AN47" s="325">
        <f t="shared" si="28"/>
        <v>0</v>
      </c>
      <c r="AO47" s="325">
        <f t="shared" si="29"/>
        <v>0</v>
      </c>
      <c r="AP47" s="325">
        <f t="shared" si="30"/>
        <v>0</v>
      </c>
      <c r="AQ47" s="325">
        <f t="shared" si="31"/>
        <v>0</v>
      </c>
      <c r="AR47" s="325">
        <f t="shared" si="32"/>
        <v>0</v>
      </c>
      <c r="AS47" s="325">
        <f t="shared" si="33"/>
        <v>0</v>
      </c>
      <c r="AT47" s="325">
        <f t="shared" si="34"/>
        <v>0</v>
      </c>
      <c r="AU47" s="325">
        <f t="shared" si="35"/>
        <v>0</v>
      </c>
      <c r="AV47" s="325">
        <f t="shared" si="36"/>
        <v>0</v>
      </c>
      <c r="AW47" s="325">
        <f t="shared" si="37"/>
        <v>11.39</v>
      </c>
      <c r="AX47" s="325">
        <f t="shared" si="38"/>
        <v>0</v>
      </c>
      <c r="AY47" s="325">
        <f t="shared" si="39"/>
        <v>0</v>
      </c>
      <c r="AZ47" s="325">
        <f t="shared" si="40"/>
        <v>0</v>
      </c>
      <c r="BA47" s="325">
        <f t="shared" si="41"/>
        <v>0</v>
      </c>
      <c r="BB47" s="325">
        <f t="shared" si="42"/>
        <v>0</v>
      </c>
      <c r="BC47" s="325">
        <f t="shared" si="43"/>
        <v>0</v>
      </c>
      <c r="BD47" s="342"/>
      <c r="BE47" s="97"/>
    </row>
    <row r="48" ht="24" spans="1:57">
      <c r="A48" s="304" t="s">
        <v>221</v>
      </c>
      <c r="B48" s="304" t="s">
        <v>196</v>
      </c>
      <c r="C48" s="304" t="s">
        <v>278</v>
      </c>
      <c r="D48" s="304" t="s">
        <v>207</v>
      </c>
      <c r="E48" s="325">
        <f t="shared" si="25"/>
        <v>10.498</v>
      </c>
      <c r="F48" s="325"/>
      <c r="G48" s="325"/>
      <c r="H48" s="325"/>
      <c r="I48" s="325"/>
      <c r="J48" s="325"/>
      <c r="K48" s="325"/>
      <c r="L48" s="325"/>
      <c r="M48" s="325"/>
      <c r="N48" s="325"/>
      <c r="O48" s="325">
        <v>9.798</v>
      </c>
      <c r="P48" s="325"/>
      <c r="Q48" s="325"/>
      <c r="R48" s="325"/>
      <c r="S48" s="325"/>
      <c r="T48" s="325"/>
      <c r="U48" s="325">
        <v>0.7</v>
      </c>
      <c r="V48" s="325">
        <f t="shared" si="26"/>
        <v>-0.75</v>
      </c>
      <c r="W48" s="325"/>
      <c r="X48" s="325"/>
      <c r="Y48" s="325"/>
      <c r="Z48" s="325"/>
      <c r="AA48" s="325"/>
      <c r="AB48" s="325"/>
      <c r="AC48" s="325"/>
      <c r="AD48" s="325"/>
      <c r="AE48" s="325"/>
      <c r="AF48" s="325">
        <v>-0.75</v>
      </c>
      <c r="AG48" s="325"/>
      <c r="AH48" s="325"/>
      <c r="AI48" s="325"/>
      <c r="AJ48" s="325"/>
      <c r="AK48" s="325"/>
      <c r="AL48" s="325"/>
      <c r="AM48" s="325">
        <f t="shared" si="27"/>
        <v>9.748</v>
      </c>
      <c r="AN48" s="325">
        <f t="shared" si="28"/>
        <v>0</v>
      </c>
      <c r="AO48" s="325">
        <f t="shared" si="29"/>
        <v>0</v>
      </c>
      <c r="AP48" s="325">
        <f t="shared" si="30"/>
        <v>0</v>
      </c>
      <c r="AQ48" s="325">
        <f t="shared" si="31"/>
        <v>0</v>
      </c>
      <c r="AR48" s="325">
        <f t="shared" si="32"/>
        <v>0</v>
      </c>
      <c r="AS48" s="325">
        <f t="shared" si="33"/>
        <v>0</v>
      </c>
      <c r="AT48" s="325">
        <f t="shared" si="34"/>
        <v>0</v>
      </c>
      <c r="AU48" s="325">
        <f t="shared" si="35"/>
        <v>0</v>
      </c>
      <c r="AV48" s="325">
        <f t="shared" si="36"/>
        <v>0</v>
      </c>
      <c r="AW48" s="325">
        <f t="shared" si="37"/>
        <v>9.048</v>
      </c>
      <c r="AX48" s="325">
        <f t="shared" si="38"/>
        <v>0</v>
      </c>
      <c r="AY48" s="325">
        <f t="shared" si="39"/>
        <v>0</v>
      </c>
      <c r="AZ48" s="325">
        <f t="shared" si="40"/>
        <v>0</v>
      </c>
      <c r="BA48" s="325">
        <f t="shared" si="41"/>
        <v>0</v>
      </c>
      <c r="BB48" s="325">
        <f t="shared" si="42"/>
        <v>0</v>
      </c>
      <c r="BC48" s="325">
        <f t="shared" si="43"/>
        <v>0.7</v>
      </c>
      <c r="BD48" s="342"/>
      <c r="BE48" s="97" t="s">
        <v>911</v>
      </c>
    </row>
    <row r="49" ht="24" spans="1:57">
      <c r="A49" s="304" t="s">
        <v>221</v>
      </c>
      <c r="B49" s="304" t="s">
        <v>196</v>
      </c>
      <c r="C49" s="304" t="s">
        <v>282</v>
      </c>
      <c r="D49" s="304" t="s">
        <v>207</v>
      </c>
      <c r="E49" s="325">
        <f t="shared" si="25"/>
        <v>12.0708</v>
      </c>
      <c r="F49" s="325"/>
      <c r="G49" s="325"/>
      <c r="H49" s="325"/>
      <c r="I49" s="325"/>
      <c r="J49" s="325"/>
      <c r="K49" s="325"/>
      <c r="L49" s="325"/>
      <c r="M49" s="325"/>
      <c r="N49" s="325"/>
      <c r="O49" s="325">
        <v>12.0708</v>
      </c>
      <c r="P49" s="325"/>
      <c r="Q49" s="325"/>
      <c r="R49" s="325"/>
      <c r="S49" s="325"/>
      <c r="T49" s="325"/>
      <c r="U49" s="325"/>
      <c r="V49" s="325">
        <f t="shared" si="26"/>
        <v>0.17</v>
      </c>
      <c r="W49" s="325"/>
      <c r="X49" s="325"/>
      <c r="Y49" s="325"/>
      <c r="Z49" s="325"/>
      <c r="AA49" s="325"/>
      <c r="AB49" s="325"/>
      <c r="AC49" s="325"/>
      <c r="AD49" s="325"/>
      <c r="AE49" s="325"/>
      <c r="AF49" s="325">
        <v>0.17</v>
      </c>
      <c r="AG49" s="325"/>
      <c r="AH49" s="325"/>
      <c r="AI49" s="325"/>
      <c r="AJ49" s="325"/>
      <c r="AK49" s="325"/>
      <c r="AL49" s="325"/>
      <c r="AM49" s="325">
        <f t="shared" si="27"/>
        <v>12.2408</v>
      </c>
      <c r="AN49" s="325">
        <f t="shared" si="28"/>
        <v>0</v>
      </c>
      <c r="AO49" s="325">
        <f t="shared" si="29"/>
        <v>0</v>
      </c>
      <c r="AP49" s="325">
        <f t="shared" si="30"/>
        <v>0</v>
      </c>
      <c r="AQ49" s="325">
        <f t="shared" si="31"/>
        <v>0</v>
      </c>
      <c r="AR49" s="325">
        <f t="shared" si="32"/>
        <v>0</v>
      </c>
      <c r="AS49" s="325">
        <f t="shared" si="33"/>
        <v>0</v>
      </c>
      <c r="AT49" s="325">
        <f t="shared" si="34"/>
        <v>0</v>
      </c>
      <c r="AU49" s="325">
        <f t="shared" si="35"/>
        <v>0</v>
      </c>
      <c r="AV49" s="325">
        <f t="shared" si="36"/>
        <v>0</v>
      </c>
      <c r="AW49" s="325">
        <f t="shared" si="37"/>
        <v>12.2408</v>
      </c>
      <c r="AX49" s="325">
        <f t="shared" si="38"/>
        <v>0</v>
      </c>
      <c r="AY49" s="325">
        <f t="shared" si="39"/>
        <v>0</v>
      </c>
      <c r="AZ49" s="325">
        <f t="shared" si="40"/>
        <v>0</v>
      </c>
      <c r="BA49" s="325">
        <f t="shared" si="41"/>
        <v>0</v>
      </c>
      <c r="BB49" s="325">
        <f t="shared" si="42"/>
        <v>0</v>
      </c>
      <c r="BC49" s="325">
        <f t="shared" si="43"/>
        <v>0</v>
      </c>
      <c r="BD49" s="342"/>
      <c r="BE49" s="97"/>
    </row>
    <row r="50" ht="24" spans="1:57">
      <c r="A50" s="304" t="s">
        <v>221</v>
      </c>
      <c r="B50" s="304" t="s">
        <v>196</v>
      </c>
      <c r="C50" s="304" t="s">
        <v>286</v>
      </c>
      <c r="D50" s="304" t="s">
        <v>207</v>
      </c>
      <c r="E50" s="325">
        <f t="shared" si="25"/>
        <v>7.22</v>
      </c>
      <c r="F50" s="325"/>
      <c r="G50" s="325"/>
      <c r="H50" s="325"/>
      <c r="I50" s="325"/>
      <c r="J50" s="325"/>
      <c r="K50" s="325"/>
      <c r="L50" s="325"/>
      <c r="M50" s="325"/>
      <c r="N50" s="325"/>
      <c r="O50" s="325">
        <v>6.82</v>
      </c>
      <c r="P50" s="325"/>
      <c r="Q50" s="325"/>
      <c r="R50" s="325"/>
      <c r="S50" s="325"/>
      <c r="T50" s="325"/>
      <c r="U50" s="325">
        <v>0.4</v>
      </c>
      <c r="V50" s="325">
        <f t="shared" si="26"/>
        <v>0.864</v>
      </c>
      <c r="W50" s="325"/>
      <c r="X50" s="325"/>
      <c r="Y50" s="325"/>
      <c r="Z50" s="325"/>
      <c r="AA50" s="325"/>
      <c r="AB50" s="325"/>
      <c r="AC50" s="325"/>
      <c r="AD50" s="325"/>
      <c r="AE50" s="325"/>
      <c r="AF50" s="325">
        <v>0.864</v>
      </c>
      <c r="AG50" s="325"/>
      <c r="AH50" s="325"/>
      <c r="AI50" s="325"/>
      <c r="AJ50" s="325"/>
      <c r="AK50" s="325"/>
      <c r="AL50" s="325"/>
      <c r="AM50" s="325">
        <f t="shared" si="27"/>
        <v>8.084</v>
      </c>
      <c r="AN50" s="325">
        <f t="shared" si="28"/>
        <v>0</v>
      </c>
      <c r="AO50" s="325">
        <f t="shared" si="29"/>
        <v>0</v>
      </c>
      <c r="AP50" s="325">
        <f t="shared" si="30"/>
        <v>0</v>
      </c>
      <c r="AQ50" s="325">
        <f t="shared" si="31"/>
        <v>0</v>
      </c>
      <c r="AR50" s="325">
        <f t="shared" si="32"/>
        <v>0</v>
      </c>
      <c r="AS50" s="325">
        <f t="shared" si="33"/>
        <v>0</v>
      </c>
      <c r="AT50" s="325">
        <f t="shared" si="34"/>
        <v>0</v>
      </c>
      <c r="AU50" s="325">
        <f t="shared" si="35"/>
        <v>0</v>
      </c>
      <c r="AV50" s="325">
        <f t="shared" si="36"/>
        <v>0</v>
      </c>
      <c r="AW50" s="325">
        <f t="shared" si="37"/>
        <v>7.684</v>
      </c>
      <c r="AX50" s="325">
        <f t="shared" si="38"/>
        <v>0</v>
      </c>
      <c r="AY50" s="325">
        <f t="shared" si="39"/>
        <v>0</v>
      </c>
      <c r="AZ50" s="325">
        <f t="shared" si="40"/>
        <v>0</v>
      </c>
      <c r="BA50" s="325">
        <f t="shared" si="41"/>
        <v>0</v>
      </c>
      <c r="BB50" s="325">
        <f t="shared" si="42"/>
        <v>0</v>
      </c>
      <c r="BC50" s="325">
        <f t="shared" si="43"/>
        <v>0.4</v>
      </c>
      <c r="BD50" s="342"/>
      <c r="BE50" s="97" t="s">
        <v>912</v>
      </c>
    </row>
    <row r="51" s="311" customFormat="1" ht="20.15" customHeight="1" spans="1:57">
      <c r="A51" s="326"/>
      <c r="B51" s="327"/>
      <c r="C51" s="328" t="s">
        <v>133</v>
      </c>
      <c r="D51" s="329">
        <v>204</v>
      </c>
      <c r="E51" s="330">
        <f>SUM(E52:E57)</f>
        <v>547.4</v>
      </c>
      <c r="F51" s="330">
        <f t="shared" ref="F51:BC51" si="44">SUM(F52:F57)</f>
        <v>0</v>
      </c>
      <c r="G51" s="330">
        <f t="shared" si="44"/>
        <v>0</v>
      </c>
      <c r="H51" s="330">
        <f t="shared" si="44"/>
        <v>0</v>
      </c>
      <c r="I51" s="330">
        <f t="shared" si="44"/>
        <v>0</v>
      </c>
      <c r="J51" s="330">
        <f t="shared" si="44"/>
        <v>0</v>
      </c>
      <c r="K51" s="330">
        <f t="shared" si="44"/>
        <v>0</v>
      </c>
      <c r="L51" s="330">
        <f t="shared" si="44"/>
        <v>0</v>
      </c>
      <c r="M51" s="330">
        <f t="shared" si="44"/>
        <v>0</v>
      </c>
      <c r="N51" s="330">
        <f t="shared" si="44"/>
        <v>0</v>
      </c>
      <c r="O51" s="330">
        <f t="shared" si="44"/>
        <v>24.26</v>
      </c>
      <c r="P51" s="330">
        <f t="shared" si="44"/>
        <v>0</v>
      </c>
      <c r="Q51" s="330">
        <f t="shared" si="44"/>
        <v>123.04</v>
      </c>
      <c r="R51" s="330">
        <f t="shared" si="44"/>
        <v>400.1</v>
      </c>
      <c r="S51" s="330">
        <f t="shared" si="44"/>
        <v>0</v>
      </c>
      <c r="T51" s="330">
        <f t="shared" si="44"/>
        <v>0</v>
      </c>
      <c r="U51" s="330">
        <f t="shared" si="44"/>
        <v>0</v>
      </c>
      <c r="V51" s="330">
        <f t="shared" si="44"/>
        <v>6.11</v>
      </c>
      <c r="W51" s="330">
        <f t="shared" si="44"/>
        <v>0</v>
      </c>
      <c r="X51" s="330">
        <f t="shared" si="44"/>
        <v>0</v>
      </c>
      <c r="Y51" s="330">
        <f t="shared" si="44"/>
        <v>0</v>
      </c>
      <c r="Z51" s="330">
        <f t="shared" si="44"/>
        <v>0</v>
      </c>
      <c r="AA51" s="330">
        <f t="shared" si="44"/>
        <v>0</v>
      </c>
      <c r="AB51" s="330">
        <f t="shared" si="44"/>
        <v>0</v>
      </c>
      <c r="AC51" s="330">
        <f t="shared" si="44"/>
        <v>0</v>
      </c>
      <c r="AD51" s="330">
        <f t="shared" si="44"/>
        <v>0</v>
      </c>
      <c r="AE51" s="330">
        <f t="shared" si="44"/>
        <v>0</v>
      </c>
      <c r="AF51" s="330">
        <f t="shared" si="44"/>
        <v>5.66</v>
      </c>
      <c r="AG51" s="330">
        <f t="shared" si="44"/>
        <v>0</v>
      </c>
      <c r="AH51" s="330">
        <f t="shared" si="44"/>
        <v>0</v>
      </c>
      <c r="AI51" s="330">
        <f t="shared" si="44"/>
        <v>0.45</v>
      </c>
      <c r="AJ51" s="330">
        <f t="shared" si="44"/>
        <v>0</v>
      </c>
      <c r="AK51" s="330">
        <f t="shared" si="44"/>
        <v>0</v>
      </c>
      <c r="AL51" s="330">
        <f t="shared" si="44"/>
        <v>0</v>
      </c>
      <c r="AM51" s="330">
        <f t="shared" si="44"/>
        <v>553.51</v>
      </c>
      <c r="AN51" s="330">
        <f t="shared" si="44"/>
        <v>0</v>
      </c>
      <c r="AO51" s="330">
        <f t="shared" si="44"/>
        <v>0</v>
      </c>
      <c r="AP51" s="330">
        <f t="shared" si="44"/>
        <v>0</v>
      </c>
      <c r="AQ51" s="330">
        <f t="shared" si="44"/>
        <v>0</v>
      </c>
      <c r="AR51" s="330">
        <f t="shared" si="44"/>
        <v>0</v>
      </c>
      <c r="AS51" s="330">
        <f t="shared" si="44"/>
        <v>0</v>
      </c>
      <c r="AT51" s="330">
        <f t="shared" si="44"/>
        <v>0</v>
      </c>
      <c r="AU51" s="330">
        <f t="shared" si="44"/>
        <v>0</v>
      </c>
      <c r="AV51" s="330">
        <f t="shared" si="44"/>
        <v>0</v>
      </c>
      <c r="AW51" s="330">
        <f t="shared" si="44"/>
        <v>29.92</v>
      </c>
      <c r="AX51" s="330">
        <f t="shared" si="44"/>
        <v>0</v>
      </c>
      <c r="AY51" s="330">
        <f t="shared" si="44"/>
        <v>123.04</v>
      </c>
      <c r="AZ51" s="330">
        <f t="shared" si="44"/>
        <v>400.55</v>
      </c>
      <c r="BA51" s="330">
        <f t="shared" si="44"/>
        <v>0</v>
      </c>
      <c r="BB51" s="330">
        <f t="shared" si="44"/>
        <v>0</v>
      </c>
      <c r="BC51" s="330">
        <f t="shared" si="44"/>
        <v>0</v>
      </c>
      <c r="BD51" s="341"/>
      <c r="BE51" s="346"/>
    </row>
    <row r="52" ht="72" spans="1:57">
      <c r="A52" s="304" t="s">
        <v>195</v>
      </c>
      <c r="B52" s="304" t="s">
        <v>196</v>
      </c>
      <c r="C52" s="304" t="s">
        <v>421</v>
      </c>
      <c r="D52" s="304" t="s">
        <v>422</v>
      </c>
      <c r="E52" s="325">
        <f>SUM(F52:U52)</f>
        <v>389.4</v>
      </c>
      <c r="F52" s="325"/>
      <c r="G52" s="325"/>
      <c r="H52" s="325"/>
      <c r="I52" s="325"/>
      <c r="J52" s="325"/>
      <c r="K52" s="325"/>
      <c r="L52" s="325"/>
      <c r="M52" s="325"/>
      <c r="N52" s="325"/>
      <c r="O52" s="325">
        <v>19.8</v>
      </c>
      <c r="P52" s="325"/>
      <c r="Q52" s="325"/>
      <c r="R52" s="325">
        <f>128.48+241.12</f>
        <v>369.6</v>
      </c>
      <c r="S52" s="325"/>
      <c r="T52" s="325"/>
      <c r="U52" s="325"/>
      <c r="V52" s="325">
        <f t="shared" ref="V52:V57" si="45">SUM(W52:AL52)</f>
        <v>3.09</v>
      </c>
      <c r="W52" s="325"/>
      <c r="X52" s="325"/>
      <c r="Y52" s="325"/>
      <c r="Z52" s="325"/>
      <c r="AA52" s="325"/>
      <c r="AB52" s="325"/>
      <c r="AC52" s="325"/>
      <c r="AD52" s="325"/>
      <c r="AE52" s="325"/>
      <c r="AF52" s="325">
        <v>3.09</v>
      </c>
      <c r="AG52" s="325"/>
      <c r="AH52" s="325"/>
      <c r="AI52" s="325"/>
      <c r="AJ52" s="325"/>
      <c r="AK52" s="325"/>
      <c r="AL52" s="325"/>
      <c r="AM52" s="325">
        <f t="shared" ref="AM52:AM57" si="46">SUM(AN52:BC52)</f>
        <v>392.49</v>
      </c>
      <c r="AN52" s="325">
        <f t="shared" ref="AN52:BC52" si="47">F52+W52</f>
        <v>0</v>
      </c>
      <c r="AO52" s="325">
        <f t="shared" si="47"/>
        <v>0</v>
      </c>
      <c r="AP52" s="325">
        <f t="shared" si="47"/>
        <v>0</v>
      </c>
      <c r="AQ52" s="325">
        <f t="shared" si="47"/>
        <v>0</v>
      </c>
      <c r="AR52" s="325">
        <f t="shared" si="47"/>
        <v>0</v>
      </c>
      <c r="AS52" s="325">
        <f t="shared" si="47"/>
        <v>0</v>
      </c>
      <c r="AT52" s="325">
        <f t="shared" si="47"/>
        <v>0</v>
      </c>
      <c r="AU52" s="325">
        <f t="shared" si="47"/>
        <v>0</v>
      </c>
      <c r="AV52" s="325">
        <f t="shared" si="47"/>
        <v>0</v>
      </c>
      <c r="AW52" s="325">
        <f t="shared" si="47"/>
        <v>22.89</v>
      </c>
      <c r="AX52" s="325">
        <f t="shared" si="47"/>
        <v>0</v>
      </c>
      <c r="AY52" s="325">
        <f t="shared" si="47"/>
        <v>0</v>
      </c>
      <c r="AZ52" s="325">
        <f t="shared" si="47"/>
        <v>369.6</v>
      </c>
      <c r="BA52" s="325">
        <f t="shared" si="47"/>
        <v>0</v>
      </c>
      <c r="BB52" s="325">
        <f t="shared" si="47"/>
        <v>0</v>
      </c>
      <c r="BC52" s="325">
        <f t="shared" si="47"/>
        <v>0</v>
      </c>
      <c r="BD52" s="342"/>
      <c r="BE52" s="97" t="s">
        <v>913</v>
      </c>
    </row>
    <row r="53" ht="36" spans="1:57">
      <c r="A53" s="304" t="s">
        <v>195</v>
      </c>
      <c r="B53" s="304" t="s">
        <v>196</v>
      </c>
      <c r="C53" s="304" t="s">
        <v>423</v>
      </c>
      <c r="D53" s="304" t="s">
        <v>422</v>
      </c>
      <c r="E53" s="325">
        <f>SUM(F53:U53)</f>
        <v>29.69</v>
      </c>
      <c r="F53" s="325"/>
      <c r="G53" s="325"/>
      <c r="H53" s="325"/>
      <c r="I53" s="325"/>
      <c r="J53" s="325"/>
      <c r="K53" s="325"/>
      <c r="L53" s="325"/>
      <c r="M53" s="325"/>
      <c r="N53" s="325"/>
      <c r="O53" s="325">
        <v>0.77</v>
      </c>
      <c r="P53" s="325"/>
      <c r="Q53" s="325"/>
      <c r="R53" s="325">
        <v>28.92</v>
      </c>
      <c r="S53" s="325"/>
      <c r="T53" s="325"/>
      <c r="U53" s="325"/>
      <c r="V53" s="325">
        <f t="shared" si="45"/>
        <v>1.5</v>
      </c>
      <c r="W53" s="325"/>
      <c r="X53" s="325"/>
      <c r="Y53" s="325"/>
      <c r="Z53" s="325"/>
      <c r="AA53" s="325"/>
      <c r="AB53" s="325"/>
      <c r="AC53" s="325"/>
      <c r="AD53" s="325"/>
      <c r="AE53" s="325"/>
      <c r="AF53" s="325">
        <v>1.14</v>
      </c>
      <c r="AG53" s="325"/>
      <c r="AH53" s="325"/>
      <c r="AI53" s="325">
        <v>0.36</v>
      </c>
      <c r="AJ53" s="325"/>
      <c r="AK53" s="325"/>
      <c r="AL53" s="325"/>
      <c r="AM53" s="325">
        <f t="shared" si="46"/>
        <v>31.19</v>
      </c>
      <c r="AN53" s="325">
        <f t="shared" ref="AN53:BC53" si="48">F53+W53</f>
        <v>0</v>
      </c>
      <c r="AO53" s="325">
        <f t="shared" si="48"/>
        <v>0</v>
      </c>
      <c r="AP53" s="325">
        <f t="shared" si="48"/>
        <v>0</v>
      </c>
      <c r="AQ53" s="325">
        <f t="shared" si="48"/>
        <v>0</v>
      </c>
      <c r="AR53" s="325">
        <f t="shared" si="48"/>
        <v>0</v>
      </c>
      <c r="AS53" s="325">
        <f t="shared" si="48"/>
        <v>0</v>
      </c>
      <c r="AT53" s="325">
        <f t="shared" si="48"/>
        <v>0</v>
      </c>
      <c r="AU53" s="325">
        <f t="shared" si="48"/>
        <v>0</v>
      </c>
      <c r="AV53" s="325">
        <f t="shared" si="48"/>
        <v>0</v>
      </c>
      <c r="AW53" s="325">
        <f t="shared" si="48"/>
        <v>1.91</v>
      </c>
      <c r="AX53" s="325">
        <f t="shared" si="48"/>
        <v>0</v>
      </c>
      <c r="AY53" s="325">
        <f t="shared" si="48"/>
        <v>0</v>
      </c>
      <c r="AZ53" s="325">
        <f t="shared" si="48"/>
        <v>29.28</v>
      </c>
      <c r="BA53" s="325">
        <f t="shared" si="48"/>
        <v>0</v>
      </c>
      <c r="BB53" s="325">
        <f t="shared" si="48"/>
        <v>0</v>
      </c>
      <c r="BC53" s="325">
        <f t="shared" si="48"/>
        <v>0</v>
      </c>
      <c r="BD53" s="342"/>
      <c r="BE53" s="97" t="s">
        <v>914</v>
      </c>
    </row>
    <row r="54" ht="24" spans="1:57">
      <c r="A54" s="304" t="s">
        <v>195</v>
      </c>
      <c r="B54" s="304" t="s">
        <v>196</v>
      </c>
      <c r="C54" s="304" t="s">
        <v>424</v>
      </c>
      <c r="D54" s="304" t="s">
        <v>422</v>
      </c>
      <c r="E54" s="325">
        <f>SUM(F54:U54)</f>
        <v>123.04</v>
      </c>
      <c r="F54" s="325"/>
      <c r="G54" s="325"/>
      <c r="H54" s="325"/>
      <c r="I54" s="325"/>
      <c r="J54" s="325"/>
      <c r="K54" s="325"/>
      <c r="L54" s="325"/>
      <c r="M54" s="325"/>
      <c r="N54" s="325"/>
      <c r="O54" s="325"/>
      <c r="P54" s="325"/>
      <c r="Q54" s="325">
        <v>123.04</v>
      </c>
      <c r="R54" s="325"/>
      <c r="S54" s="325"/>
      <c r="T54" s="325"/>
      <c r="U54" s="325"/>
      <c r="V54" s="325">
        <f t="shared" si="45"/>
        <v>0</v>
      </c>
      <c r="W54" s="325"/>
      <c r="X54" s="325"/>
      <c r="Y54" s="325"/>
      <c r="Z54" s="325"/>
      <c r="AA54" s="325"/>
      <c r="AB54" s="325"/>
      <c r="AC54" s="325"/>
      <c r="AD54" s="325"/>
      <c r="AE54" s="325"/>
      <c r="AF54" s="325"/>
      <c r="AG54" s="325"/>
      <c r="AH54" s="325"/>
      <c r="AI54" s="325"/>
      <c r="AJ54" s="325"/>
      <c r="AK54" s="325"/>
      <c r="AL54" s="325"/>
      <c r="AM54" s="325">
        <f t="shared" si="46"/>
        <v>123.04</v>
      </c>
      <c r="AN54" s="325">
        <f t="shared" ref="AN54:BC54" si="49">F54+W54</f>
        <v>0</v>
      </c>
      <c r="AO54" s="325">
        <f t="shared" si="49"/>
        <v>0</v>
      </c>
      <c r="AP54" s="325">
        <f t="shared" si="49"/>
        <v>0</v>
      </c>
      <c r="AQ54" s="325">
        <f t="shared" si="49"/>
        <v>0</v>
      </c>
      <c r="AR54" s="325">
        <f t="shared" si="49"/>
        <v>0</v>
      </c>
      <c r="AS54" s="325">
        <f t="shared" si="49"/>
        <v>0</v>
      </c>
      <c r="AT54" s="325">
        <f t="shared" si="49"/>
        <v>0</v>
      </c>
      <c r="AU54" s="325">
        <f t="shared" si="49"/>
        <v>0</v>
      </c>
      <c r="AV54" s="325">
        <f t="shared" si="49"/>
        <v>0</v>
      </c>
      <c r="AW54" s="325">
        <f t="shared" si="49"/>
        <v>0</v>
      </c>
      <c r="AX54" s="325">
        <f t="shared" si="49"/>
        <v>0</v>
      </c>
      <c r="AY54" s="325">
        <f t="shared" si="49"/>
        <v>123.04</v>
      </c>
      <c r="AZ54" s="325">
        <f t="shared" si="49"/>
        <v>0</v>
      </c>
      <c r="BA54" s="325">
        <f t="shared" si="49"/>
        <v>0</v>
      </c>
      <c r="BB54" s="325">
        <f t="shared" si="49"/>
        <v>0</v>
      </c>
      <c r="BC54" s="325">
        <f t="shared" si="49"/>
        <v>0</v>
      </c>
      <c r="BD54" s="342"/>
      <c r="BE54" s="97"/>
    </row>
    <row r="55" ht="24" spans="1:57">
      <c r="A55" s="304" t="s">
        <v>195</v>
      </c>
      <c r="B55" s="304" t="s">
        <v>199</v>
      </c>
      <c r="C55" s="304" t="s">
        <v>425</v>
      </c>
      <c r="D55" s="304" t="s">
        <v>426</v>
      </c>
      <c r="E55" s="325">
        <f>SUM(F55:U55)</f>
        <v>1.58</v>
      </c>
      <c r="F55" s="325"/>
      <c r="G55" s="325"/>
      <c r="H55" s="325"/>
      <c r="I55" s="325"/>
      <c r="J55" s="325"/>
      <c r="K55" s="325"/>
      <c r="L55" s="325"/>
      <c r="M55" s="325"/>
      <c r="N55" s="325"/>
      <c r="O55" s="325"/>
      <c r="P55" s="325"/>
      <c r="Q55" s="325"/>
      <c r="R55" s="325">
        <v>1.58</v>
      </c>
      <c r="S55" s="325"/>
      <c r="T55" s="325"/>
      <c r="U55" s="325"/>
      <c r="V55" s="325">
        <f t="shared" si="45"/>
        <v>-0.09</v>
      </c>
      <c r="W55" s="325"/>
      <c r="X55" s="325"/>
      <c r="Y55" s="325"/>
      <c r="Z55" s="325"/>
      <c r="AA55" s="325"/>
      <c r="AB55" s="325"/>
      <c r="AC55" s="325"/>
      <c r="AD55" s="325"/>
      <c r="AE55" s="325"/>
      <c r="AF55" s="325"/>
      <c r="AG55" s="325"/>
      <c r="AH55" s="325"/>
      <c r="AI55" s="325">
        <v>-0.09</v>
      </c>
      <c r="AJ55" s="325"/>
      <c r="AK55" s="325"/>
      <c r="AL55" s="325"/>
      <c r="AM55" s="325">
        <f t="shared" si="46"/>
        <v>1.49</v>
      </c>
      <c r="AN55" s="325">
        <f t="shared" ref="AN55:BC55" si="50">F55+W55</f>
        <v>0</v>
      </c>
      <c r="AO55" s="325">
        <f t="shared" si="50"/>
        <v>0</v>
      </c>
      <c r="AP55" s="325">
        <f t="shared" si="50"/>
        <v>0</v>
      </c>
      <c r="AQ55" s="325">
        <f t="shared" si="50"/>
        <v>0</v>
      </c>
      <c r="AR55" s="325">
        <f t="shared" si="50"/>
        <v>0</v>
      </c>
      <c r="AS55" s="325">
        <f t="shared" si="50"/>
        <v>0</v>
      </c>
      <c r="AT55" s="325">
        <f t="shared" si="50"/>
        <v>0</v>
      </c>
      <c r="AU55" s="325">
        <f t="shared" si="50"/>
        <v>0</v>
      </c>
      <c r="AV55" s="325">
        <f t="shared" si="50"/>
        <v>0</v>
      </c>
      <c r="AW55" s="325">
        <f t="shared" si="50"/>
        <v>0</v>
      </c>
      <c r="AX55" s="325">
        <f t="shared" si="50"/>
        <v>0</v>
      </c>
      <c r="AY55" s="325">
        <f t="shared" si="50"/>
        <v>0</v>
      </c>
      <c r="AZ55" s="325">
        <f t="shared" si="50"/>
        <v>1.49</v>
      </c>
      <c r="BA55" s="325">
        <f t="shared" si="50"/>
        <v>0</v>
      </c>
      <c r="BB55" s="325">
        <f t="shared" si="50"/>
        <v>0</v>
      </c>
      <c r="BC55" s="325">
        <f t="shared" si="50"/>
        <v>0</v>
      </c>
      <c r="BD55" s="342" t="s">
        <v>915</v>
      </c>
      <c r="BE55" s="97" t="s">
        <v>916</v>
      </c>
    </row>
    <row r="56" ht="24" spans="1:57">
      <c r="A56" s="304" t="s">
        <v>195</v>
      </c>
      <c r="B56" s="304" t="s">
        <v>199</v>
      </c>
      <c r="C56" s="284" t="s">
        <v>786</v>
      </c>
      <c r="D56" s="304" t="s">
        <v>426</v>
      </c>
      <c r="E56" s="325"/>
      <c r="F56" s="325"/>
      <c r="G56" s="325"/>
      <c r="H56" s="325"/>
      <c r="I56" s="325"/>
      <c r="J56" s="325"/>
      <c r="K56" s="325"/>
      <c r="L56" s="325"/>
      <c r="M56" s="325"/>
      <c r="N56" s="325"/>
      <c r="O56" s="325"/>
      <c r="P56" s="325"/>
      <c r="Q56" s="325"/>
      <c r="R56" s="325"/>
      <c r="S56" s="325"/>
      <c r="T56" s="325"/>
      <c r="U56" s="325"/>
      <c r="V56" s="325">
        <f t="shared" si="45"/>
        <v>0.18</v>
      </c>
      <c r="W56" s="325"/>
      <c r="X56" s="325"/>
      <c r="Y56" s="325"/>
      <c r="Z56" s="325"/>
      <c r="AA56" s="325"/>
      <c r="AB56" s="325"/>
      <c r="AC56" s="325"/>
      <c r="AD56" s="325"/>
      <c r="AE56" s="325"/>
      <c r="AF56" s="325"/>
      <c r="AG56" s="325"/>
      <c r="AH56" s="325"/>
      <c r="AI56" s="325">
        <v>0.18</v>
      </c>
      <c r="AJ56" s="325"/>
      <c r="AK56" s="325"/>
      <c r="AL56" s="325"/>
      <c r="AM56" s="325">
        <f t="shared" si="46"/>
        <v>0.18</v>
      </c>
      <c r="AN56" s="325">
        <f t="shared" ref="AN56:BC56" si="51">F56+W56</f>
        <v>0</v>
      </c>
      <c r="AO56" s="325">
        <f t="shared" si="51"/>
        <v>0</v>
      </c>
      <c r="AP56" s="325">
        <f t="shared" si="51"/>
        <v>0</v>
      </c>
      <c r="AQ56" s="325">
        <f t="shared" si="51"/>
        <v>0</v>
      </c>
      <c r="AR56" s="325">
        <f t="shared" si="51"/>
        <v>0</v>
      </c>
      <c r="AS56" s="325">
        <f t="shared" si="51"/>
        <v>0</v>
      </c>
      <c r="AT56" s="325">
        <f t="shared" si="51"/>
        <v>0</v>
      </c>
      <c r="AU56" s="325">
        <f t="shared" si="51"/>
        <v>0</v>
      </c>
      <c r="AV56" s="325">
        <f t="shared" si="51"/>
        <v>0</v>
      </c>
      <c r="AW56" s="325">
        <f t="shared" si="51"/>
        <v>0</v>
      </c>
      <c r="AX56" s="325">
        <f t="shared" si="51"/>
        <v>0</v>
      </c>
      <c r="AY56" s="325">
        <f t="shared" si="51"/>
        <v>0</v>
      </c>
      <c r="AZ56" s="325">
        <f t="shared" si="51"/>
        <v>0.18</v>
      </c>
      <c r="BA56" s="325">
        <f t="shared" si="51"/>
        <v>0</v>
      </c>
      <c r="BB56" s="325">
        <f t="shared" si="51"/>
        <v>0</v>
      </c>
      <c r="BC56" s="325">
        <f t="shared" si="51"/>
        <v>0</v>
      </c>
      <c r="BD56" s="342" t="s">
        <v>917</v>
      </c>
      <c r="BE56" s="97"/>
    </row>
    <row r="57" ht="24" spans="1:57">
      <c r="A57" s="304" t="s">
        <v>195</v>
      </c>
      <c r="B57" s="304" t="s">
        <v>196</v>
      </c>
      <c r="C57" s="304" t="s">
        <v>427</v>
      </c>
      <c r="D57" s="304" t="s">
        <v>428</v>
      </c>
      <c r="E57" s="325">
        <f>SUM(F57:U57)</f>
        <v>3.69</v>
      </c>
      <c r="F57" s="325"/>
      <c r="G57" s="325"/>
      <c r="H57" s="325"/>
      <c r="I57" s="325"/>
      <c r="J57" s="325"/>
      <c r="K57" s="325"/>
      <c r="L57" s="325"/>
      <c r="M57" s="325"/>
      <c r="N57" s="325"/>
      <c r="O57" s="325">
        <v>3.69</v>
      </c>
      <c r="P57" s="325"/>
      <c r="Q57" s="325"/>
      <c r="R57" s="325"/>
      <c r="S57" s="325"/>
      <c r="T57" s="325"/>
      <c r="U57" s="325"/>
      <c r="V57" s="325">
        <f t="shared" si="45"/>
        <v>1.43</v>
      </c>
      <c r="W57" s="325"/>
      <c r="X57" s="325"/>
      <c r="Y57" s="325"/>
      <c r="Z57" s="325"/>
      <c r="AA57" s="325"/>
      <c r="AB57" s="325"/>
      <c r="AC57" s="325"/>
      <c r="AD57" s="325"/>
      <c r="AE57" s="325"/>
      <c r="AF57" s="325">
        <v>1.43</v>
      </c>
      <c r="AG57" s="325"/>
      <c r="AH57" s="325"/>
      <c r="AI57" s="325"/>
      <c r="AJ57" s="325"/>
      <c r="AK57" s="325"/>
      <c r="AL57" s="325"/>
      <c r="AM57" s="325">
        <f t="shared" si="46"/>
        <v>5.12</v>
      </c>
      <c r="AN57" s="325">
        <f t="shared" ref="AN57:BC57" si="52">F57+W57</f>
        <v>0</v>
      </c>
      <c r="AO57" s="325">
        <f t="shared" si="52"/>
        <v>0</v>
      </c>
      <c r="AP57" s="325">
        <f t="shared" si="52"/>
        <v>0</v>
      </c>
      <c r="AQ57" s="325">
        <f t="shared" si="52"/>
        <v>0</v>
      </c>
      <c r="AR57" s="325">
        <f t="shared" si="52"/>
        <v>0</v>
      </c>
      <c r="AS57" s="325">
        <f t="shared" si="52"/>
        <v>0</v>
      </c>
      <c r="AT57" s="325">
        <f t="shared" si="52"/>
        <v>0</v>
      </c>
      <c r="AU57" s="325">
        <f t="shared" si="52"/>
        <v>0</v>
      </c>
      <c r="AV57" s="325">
        <f t="shared" si="52"/>
        <v>0</v>
      </c>
      <c r="AW57" s="325">
        <f t="shared" si="52"/>
        <v>5.12</v>
      </c>
      <c r="AX57" s="325">
        <f t="shared" si="52"/>
        <v>0</v>
      </c>
      <c r="AY57" s="325">
        <f t="shared" si="52"/>
        <v>0</v>
      </c>
      <c r="AZ57" s="325">
        <f t="shared" si="52"/>
        <v>0</v>
      </c>
      <c r="BA57" s="325">
        <f t="shared" si="52"/>
        <v>0</v>
      </c>
      <c r="BB57" s="325">
        <f t="shared" si="52"/>
        <v>0</v>
      </c>
      <c r="BC57" s="325">
        <f t="shared" si="52"/>
        <v>0</v>
      </c>
      <c r="BD57" s="342"/>
      <c r="BE57" s="97"/>
    </row>
    <row r="58" s="311" customFormat="1" ht="20.15" customHeight="1" spans="1:57">
      <c r="A58" s="326"/>
      <c r="B58" s="327"/>
      <c r="C58" s="328" t="s">
        <v>134</v>
      </c>
      <c r="D58" s="329">
        <v>205</v>
      </c>
      <c r="E58" s="330">
        <f>SUM(E59:E99)</f>
        <v>1170.1103</v>
      </c>
      <c r="F58" s="330">
        <f t="shared" ref="F58:AK58" si="53">SUM(F59:F99)</f>
        <v>0</v>
      </c>
      <c r="G58" s="330">
        <f t="shared" si="53"/>
        <v>0</v>
      </c>
      <c r="H58" s="330">
        <f t="shared" si="53"/>
        <v>0</v>
      </c>
      <c r="I58" s="330">
        <f t="shared" si="53"/>
        <v>0</v>
      </c>
      <c r="J58" s="330">
        <f t="shared" si="53"/>
        <v>0</v>
      </c>
      <c r="K58" s="330">
        <f t="shared" si="53"/>
        <v>0</v>
      </c>
      <c r="L58" s="330">
        <f t="shared" si="53"/>
        <v>0</v>
      </c>
      <c r="M58" s="330">
        <f t="shared" si="53"/>
        <v>0</v>
      </c>
      <c r="N58" s="330">
        <f t="shared" si="53"/>
        <v>0</v>
      </c>
      <c r="O58" s="330">
        <f t="shared" si="53"/>
        <v>1.704</v>
      </c>
      <c r="P58" s="330">
        <f t="shared" si="53"/>
        <v>560.3108</v>
      </c>
      <c r="Q58" s="330">
        <f t="shared" si="53"/>
        <v>608.0955</v>
      </c>
      <c r="R58" s="330">
        <f t="shared" si="53"/>
        <v>0</v>
      </c>
      <c r="S58" s="330">
        <f t="shared" si="53"/>
        <v>0</v>
      </c>
      <c r="T58" s="330">
        <f t="shared" si="53"/>
        <v>0</v>
      </c>
      <c r="U58" s="330">
        <f t="shared" si="53"/>
        <v>0</v>
      </c>
      <c r="V58" s="330">
        <f t="shared" si="53"/>
        <v>132.46</v>
      </c>
      <c r="W58" s="330">
        <f t="shared" si="53"/>
        <v>0</v>
      </c>
      <c r="X58" s="330">
        <f t="shared" si="53"/>
        <v>0</v>
      </c>
      <c r="Y58" s="330">
        <f t="shared" si="53"/>
        <v>0</v>
      </c>
      <c r="Z58" s="330">
        <f t="shared" si="53"/>
        <v>0</v>
      </c>
      <c r="AA58" s="330">
        <f t="shared" si="53"/>
        <v>0</v>
      </c>
      <c r="AB58" s="330">
        <f t="shared" si="53"/>
        <v>0</v>
      </c>
      <c r="AC58" s="330">
        <f t="shared" si="53"/>
        <v>0</v>
      </c>
      <c r="AD58" s="330">
        <f t="shared" si="53"/>
        <v>0</v>
      </c>
      <c r="AE58" s="330">
        <f t="shared" si="53"/>
        <v>0</v>
      </c>
      <c r="AF58" s="330">
        <f t="shared" si="53"/>
        <v>0.97</v>
      </c>
      <c r="AG58" s="330">
        <f t="shared" si="53"/>
        <v>68.33</v>
      </c>
      <c r="AH58" s="330">
        <f t="shared" si="53"/>
        <v>0</v>
      </c>
      <c r="AI58" s="330">
        <f t="shared" si="53"/>
        <v>0</v>
      </c>
      <c r="AJ58" s="330">
        <f t="shared" si="53"/>
        <v>0</v>
      </c>
      <c r="AK58" s="330">
        <f t="shared" si="53"/>
        <v>0</v>
      </c>
      <c r="AL58" s="330">
        <f t="shared" ref="AL58:BC58" si="54">SUM(AL59:AL99)</f>
        <v>63.16</v>
      </c>
      <c r="AM58" s="330">
        <f t="shared" si="54"/>
        <v>1302.5703</v>
      </c>
      <c r="AN58" s="330">
        <f t="shared" si="54"/>
        <v>0</v>
      </c>
      <c r="AO58" s="330">
        <f t="shared" si="54"/>
        <v>0</v>
      </c>
      <c r="AP58" s="330">
        <f t="shared" si="54"/>
        <v>0</v>
      </c>
      <c r="AQ58" s="330">
        <f t="shared" si="54"/>
        <v>0</v>
      </c>
      <c r="AR58" s="330">
        <f t="shared" si="54"/>
        <v>0</v>
      </c>
      <c r="AS58" s="330">
        <f t="shared" si="54"/>
        <v>0</v>
      </c>
      <c r="AT58" s="330">
        <f t="shared" si="54"/>
        <v>0</v>
      </c>
      <c r="AU58" s="330">
        <f t="shared" si="54"/>
        <v>0</v>
      </c>
      <c r="AV58" s="330">
        <f t="shared" si="54"/>
        <v>0</v>
      </c>
      <c r="AW58" s="330">
        <f t="shared" si="54"/>
        <v>2.674</v>
      </c>
      <c r="AX58" s="330">
        <f t="shared" si="54"/>
        <v>628.6408</v>
      </c>
      <c r="AY58" s="330">
        <f t="shared" si="54"/>
        <v>608.0955</v>
      </c>
      <c r="AZ58" s="330">
        <f t="shared" si="54"/>
        <v>0</v>
      </c>
      <c r="BA58" s="330">
        <f t="shared" si="54"/>
        <v>0</v>
      </c>
      <c r="BB58" s="330">
        <f t="shared" si="54"/>
        <v>0</v>
      </c>
      <c r="BC58" s="330">
        <f t="shared" si="54"/>
        <v>63.16</v>
      </c>
      <c r="BD58" s="341"/>
      <c r="BE58" s="346"/>
    </row>
    <row r="59" ht="24" spans="1:57">
      <c r="A59" s="304" t="s">
        <v>195</v>
      </c>
      <c r="B59" s="304" t="s">
        <v>196</v>
      </c>
      <c r="C59" s="304" t="s">
        <v>435</v>
      </c>
      <c r="D59" s="304" t="s">
        <v>436</v>
      </c>
      <c r="E59" s="325">
        <f t="shared" ref="E59:E99" si="55">SUM(F59:U59)</f>
        <v>608.8275</v>
      </c>
      <c r="F59" s="325"/>
      <c r="G59" s="325"/>
      <c r="H59" s="325"/>
      <c r="I59" s="325"/>
      <c r="J59" s="325"/>
      <c r="K59" s="325"/>
      <c r="L59" s="325"/>
      <c r="M59" s="325"/>
      <c r="N59" s="325"/>
      <c r="O59" s="325">
        <v>0.852</v>
      </c>
      <c r="P59" s="325"/>
      <c r="Q59" s="325">
        <v>607.9755</v>
      </c>
      <c r="R59" s="325"/>
      <c r="S59" s="325"/>
      <c r="T59" s="325"/>
      <c r="U59" s="325"/>
      <c r="V59" s="325">
        <f t="shared" ref="V59:V99" si="56">SUM(W59:AL59)</f>
        <v>0.86</v>
      </c>
      <c r="W59" s="325"/>
      <c r="X59" s="325"/>
      <c r="Y59" s="325"/>
      <c r="Z59" s="325"/>
      <c r="AA59" s="325"/>
      <c r="AB59" s="325"/>
      <c r="AC59" s="325"/>
      <c r="AD59" s="325"/>
      <c r="AE59" s="325"/>
      <c r="AF59" s="325">
        <v>0.86</v>
      </c>
      <c r="AG59" s="325"/>
      <c r="AH59" s="325"/>
      <c r="AI59" s="325"/>
      <c r="AJ59" s="325"/>
      <c r="AK59" s="325"/>
      <c r="AL59" s="325"/>
      <c r="AM59" s="325">
        <f t="shared" ref="AM59:AM99" si="57">SUM(AN59:BC59)</f>
        <v>609.6875</v>
      </c>
      <c r="AN59" s="325">
        <f t="shared" ref="AN59:BC59" si="58">F59+W59</f>
        <v>0</v>
      </c>
      <c r="AO59" s="325">
        <f t="shared" si="58"/>
        <v>0</v>
      </c>
      <c r="AP59" s="325">
        <f t="shared" si="58"/>
        <v>0</v>
      </c>
      <c r="AQ59" s="325">
        <f t="shared" si="58"/>
        <v>0</v>
      </c>
      <c r="AR59" s="325">
        <f t="shared" si="58"/>
        <v>0</v>
      </c>
      <c r="AS59" s="325">
        <f t="shared" si="58"/>
        <v>0</v>
      </c>
      <c r="AT59" s="325">
        <f t="shared" si="58"/>
        <v>0</v>
      </c>
      <c r="AU59" s="325">
        <f t="shared" si="58"/>
        <v>0</v>
      </c>
      <c r="AV59" s="325">
        <f t="shared" si="58"/>
        <v>0</v>
      </c>
      <c r="AW59" s="325">
        <f t="shared" si="58"/>
        <v>1.712</v>
      </c>
      <c r="AX59" s="325">
        <f t="shared" si="58"/>
        <v>0</v>
      </c>
      <c r="AY59" s="325">
        <f t="shared" si="58"/>
        <v>607.9755</v>
      </c>
      <c r="AZ59" s="325">
        <f t="shared" si="58"/>
        <v>0</v>
      </c>
      <c r="BA59" s="325">
        <f t="shared" si="58"/>
        <v>0</v>
      </c>
      <c r="BB59" s="325">
        <f t="shared" si="58"/>
        <v>0</v>
      </c>
      <c r="BC59" s="325">
        <f t="shared" si="58"/>
        <v>0</v>
      </c>
      <c r="BD59" s="342"/>
      <c r="BE59" s="97"/>
    </row>
    <row r="60" ht="24" spans="1:57">
      <c r="A60" s="304" t="s">
        <v>195</v>
      </c>
      <c r="B60" s="304" t="s">
        <v>438</v>
      </c>
      <c r="C60" s="304" t="s">
        <v>439</v>
      </c>
      <c r="D60" s="304" t="s">
        <v>440</v>
      </c>
      <c r="E60" s="325">
        <f t="shared" si="55"/>
        <v>16.58</v>
      </c>
      <c r="F60" s="325"/>
      <c r="G60" s="325"/>
      <c r="H60" s="325"/>
      <c r="I60" s="325"/>
      <c r="J60" s="325"/>
      <c r="K60" s="325"/>
      <c r="L60" s="325"/>
      <c r="M60" s="325"/>
      <c r="N60" s="325"/>
      <c r="O60" s="325"/>
      <c r="P60" s="325">
        <v>16.46</v>
      </c>
      <c r="Q60" s="325">
        <v>0.12</v>
      </c>
      <c r="R60" s="325"/>
      <c r="S60" s="325"/>
      <c r="T60" s="325"/>
      <c r="U60" s="325"/>
      <c r="V60" s="325">
        <f t="shared" si="56"/>
        <v>16.99</v>
      </c>
      <c r="W60" s="325"/>
      <c r="X60" s="325"/>
      <c r="Y60" s="325"/>
      <c r="Z60" s="325"/>
      <c r="AA60" s="325"/>
      <c r="AB60" s="325"/>
      <c r="AC60" s="325"/>
      <c r="AD60" s="325"/>
      <c r="AE60" s="325"/>
      <c r="AF60" s="325"/>
      <c r="AG60" s="325">
        <v>1.28</v>
      </c>
      <c r="AH60" s="325"/>
      <c r="AI60" s="325"/>
      <c r="AJ60" s="325"/>
      <c r="AK60" s="325"/>
      <c r="AL60" s="325">
        <v>15.71</v>
      </c>
      <c r="AM60" s="325">
        <f t="shared" si="57"/>
        <v>33.57</v>
      </c>
      <c r="AN60" s="325">
        <f t="shared" ref="AN60:BC60" si="59">F60+W60</f>
        <v>0</v>
      </c>
      <c r="AO60" s="325">
        <f t="shared" si="59"/>
        <v>0</v>
      </c>
      <c r="AP60" s="325">
        <f t="shared" si="59"/>
        <v>0</v>
      </c>
      <c r="AQ60" s="325">
        <f t="shared" si="59"/>
        <v>0</v>
      </c>
      <c r="AR60" s="325">
        <f t="shared" si="59"/>
        <v>0</v>
      </c>
      <c r="AS60" s="325">
        <f t="shared" si="59"/>
        <v>0</v>
      </c>
      <c r="AT60" s="325">
        <f t="shared" si="59"/>
        <v>0</v>
      </c>
      <c r="AU60" s="325">
        <f t="shared" si="59"/>
        <v>0</v>
      </c>
      <c r="AV60" s="325">
        <f t="shared" si="59"/>
        <v>0</v>
      </c>
      <c r="AW60" s="325">
        <f t="shared" si="59"/>
        <v>0</v>
      </c>
      <c r="AX60" s="325">
        <f t="shared" si="59"/>
        <v>17.74</v>
      </c>
      <c r="AY60" s="325">
        <f t="shared" si="59"/>
        <v>0.12</v>
      </c>
      <c r="AZ60" s="325">
        <f t="shared" si="59"/>
        <v>0</v>
      </c>
      <c r="BA60" s="325">
        <f t="shared" si="59"/>
        <v>0</v>
      </c>
      <c r="BB60" s="325">
        <f t="shared" si="59"/>
        <v>0</v>
      </c>
      <c r="BC60" s="325">
        <f t="shared" si="59"/>
        <v>15.71</v>
      </c>
      <c r="BD60" s="342" t="s">
        <v>918</v>
      </c>
      <c r="BE60" s="97"/>
    </row>
    <row r="61" ht="24" spans="1:57">
      <c r="A61" s="304" t="s">
        <v>195</v>
      </c>
      <c r="B61" s="304" t="s">
        <v>438</v>
      </c>
      <c r="C61" s="304" t="s">
        <v>441</v>
      </c>
      <c r="D61" s="304" t="s">
        <v>440</v>
      </c>
      <c r="E61" s="325">
        <f t="shared" si="55"/>
        <v>10.08</v>
      </c>
      <c r="F61" s="325"/>
      <c r="G61" s="325"/>
      <c r="H61" s="325"/>
      <c r="I61" s="325"/>
      <c r="J61" s="325"/>
      <c r="K61" s="325"/>
      <c r="L61" s="325"/>
      <c r="M61" s="325"/>
      <c r="N61" s="325"/>
      <c r="O61" s="325"/>
      <c r="P61" s="325">
        <v>10.08</v>
      </c>
      <c r="Q61" s="325"/>
      <c r="R61" s="325"/>
      <c r="S61" s="325"/>
      <c r="T61" s="325"/>
      <c r="U61" s="325"/>
      <c r="V61" s="325">
        <f t="shared" si="56"/>
        <v>0.28</v>
      </c>
      <c r="W61" s="325"/>
      <c r="X61" s="325"/>
      <c r="Y61" s="325"/>
      <c r="Z61" s="325"/>
      <c r="AA61" s="325"/>
      <c r="AB61" s="325"/>
      <c r="AC61" s="325"/>
      <c r="AD61" s="325"/>
      <c r="AE61" s="325"/>
      <c r="AF61" s="325"/>
      <c r="AG61" s="325">
        <v>0.28</v>
      </c>
      <c r="AH61" s="325"/>
      <c r="AI61" s="325"/>
      <c r="AJ61" s="325"/>
      <c r="AK61" s="325"/>
      <c r="AL61" s="325"/>
      <c r="AM61" s="325">
        <f t="shared" si="57"/>
        <v>10.36</v>
      </c>
      <c r="AN61" s="325">
        <f t="shared" ref="AN61:BC61" si="60">F61+W61</f>
        <v>0</v>
      </c>
      <c r="AO61" s="325">
        <f t="shared" si="60"/>
        <v>0</v>
      </c>
      <c r="AP61" s="325">
        <f t="shared" si="60"/>
        <v>0</v>
      </c>
      <c r="AQ61" s="325">
        <f t="shared" si="60"/>
        <v>0</v>
      </c>
      <c r="AR61" s="325">
        <f t="shared" si="60"/>
        <v>0</v>
      </c>
      <c r="AS61" s="325">
        <f t="shared" si="60"/>
        <v>0</v>
      </c>
      <c r="AT61" s="325">
        <f t="shared" si="60"/>
        <v>0</v>
      </c>
      <c r="AU61" s="325">
        <f t="shared" si="60"/>
        <v>0</v>
      </c>
      <c r="AV61" s="325">
        <f t="shared" si="60"/>
        <v>0</v>
      </c>
      <c r="AW61" s="325">
        <f t="shared" si="60"/>
        <v>0</v>
      </c>
      <c r="AX61" s="325">
        <f t="shared" si="60"/>
        <v>10.36</v>
      </c>
      <c r="AY61" s="325">
        <f t="shared" si="60"/>
        <v>0</v>
      </c>
      <c r="AZ61" s="325">
        <f t="shared" si="60"/>
        <v>0</v>
      </c>
      <c r="BA61" s="325">
        <f t="shared" si="60"/>
        <v>0</v>
      </c>
      <c r="BB61" s="325">
        <f t="shared" si="60"/>
        <v>0</v>
      </c>
      <c r="BC61" s="325">
        <f t="shared" si="60"/>
        <v>0</v>
      </c>
      <c r="BD61" s="342"/>
      <c r="BE61" s="97"/>
    </row>
    <row r="62" ht="24" spans="1:57">
      <c r="A62" s="304" t="s">
        <v>195</v>
      </c>
      <c r="B62" s="304" t="s">
        <v>442</v>
      </c>
      <c r="C62" s="304" t="s">
        <v>443</v>
      </c>
      <c r="D62" s="304" t="s">
        <v>444</v>
      </c>
      <c r="E62" s="325">
        <f t="shared" si="55"/>
        <v>5.11</v>
      </c>
      <c r="F62" s="325"/>
      <c r="G62" s="325"/>
      <c r="H62" s="325"/>
      <c r="I62" s="325"/>
      <c r="J62" s="325"/>
      <c r="K62" s="325"/>
      <c r="L62" s="325"/>
      <c r="M62" s="325"/>
      <c r="N62" s="325"/>
      <c r="O62" s="325"/>
      <c r="P62" s="325">
        <v>5.11</v>
      </c>
      <c r="Q62" s="325"/>
      <c r="R62" s="325"/>
      <c r="S62" s="325"/>
      <c r="T62" s="325"/>
      <c r="U62" s="325"/>
      <c r="V62" s="325">
        <f t="shared" si="56"/>
        <v>-0.09</v>
      </c>
      <c r="W62" s="325"/>
      <c r="X62" s="325"/>
      <c r="Y62" s="325"/>
      <c r="Z62" s="325"/>
      <c r="AA62" s="325"/>
      <c r="AB62" s="325"/>
      <c r="AC62" s="325"/>
      <c r="AD62" s="325"/>
      <c r="AE62" s="325"/>
      <c r="AF62" s="325"/>
      <c r="AG62" s="325">
        <v>-0.09</v>
      </c>
      <c r="AH62" s="325"/>
      <c r="AI62" s="325"/>
      <c r="AJ62" s="325"/>
      <c r="AK62" s="325"/>
      <c r="AL62" s="325"/>
      <c r="AM62" s="325">
        <f t="shared" si="57"/>
        <v>5.02</v>
      </c>
      <c r="AN62" s="325">
        <f t="shared" ref="AN62:BC62" si="61">F62+W62</f>
        <v>0</v>
      </c>
      <c r="AO62" s="325">
        <f t="shared" si="61"/>
        <v>0</v>
      </c>
      <c r="AP62" s="325">
        <f t="shared" si="61"/>
        <v>0</v>
      </c>
      <c r="AQ62" s="325">
        <f t="shared" si="61"/>
        <v>0</v>
      </c>
      <c r="AR62" s="325">
        <f t="shared" si="61"/>
        <v>0</v>
      </c>
      <c r="AS62" s="325">
        <f t="shared" si="61"/>
        <v>0</v>
      </c>
      <c r="AT62" s="325">
        <f t="shared" si="61"/>
        <v>0</v>
      </c>
      <c r="AU62" s="325">
        <f t="shared" si="61"/>
        <v>0</v>
      </c>
      <c r="AV62" s="325">
        <f t="shared" si="61"/>
        <v>0</v>
      </c>
      <c r="AW62" s="325">
        <f t="shared" si="61"/>
        <v>0</v>
      </c>
      <c r="AX62" s="325">
        <f t="shared" si="61"/>
        <v>5.02</v>
      </c>
      <c r="AY62" s="325">
        <f t="shared" si="61"/>
        <v>0</v>
      </c>
      <c r="AZ62" s="325">
        <f t="shared" si="61"/>
        <v>0</v>
      </c>
      <c r="BA62" s="325">
        <f t="shared" si="61"/>
        <v>0</v>
      </c>
      <c r="BB62" s="325">
        <f t="shared" si="61"/>
        <v>0</v>
      </c>
      <c r="BC62" s="325">
        <f t="shared" si="61"/>
        <v>0</v>
      </c>
      <c r="BD62" s="342"/>
      <c r="BE62" s="97"/>
    </row>
    <row r="63" ht="24" spans="1:57">
      <c r="A63" s="304" t="s">
        <v>195</v>
      </c>
      <c r="B63" s="304" t="s">
        <v>199</v>
      </c>
      <c r="C63" s="304" t="s">
        <v>446</v>
      </c>
      <c r="D63" s="304" t="s">
        <v>447</v>
      </c>
      <c r="E63" s="325">
        <f t="shared" si="55"/>
        <v>7.67</v>
      </c>
      <c r="F63" s="325"/>
      <c r="G63" s="325"/>
      <c r="H63" s="325"/>
      <c r="I63" s="325"/>
      <c r="J63" s="325"/>
      <c r="K63" s="325"/>
      <c r="L63" s="325"/>
      <c r="M63" s="325"/>
      <c r="N63" s="325"/>
      <c r="O63" s="325"/>
      <c r="P63" s="325">
        <v>7.67</v>
      </c>
      <c r="Q63" s="325"/>
      <c r="R63" s="325"/>
      <c r="S63" s="325"/>
      <c r="T63" s="325"/>
      <c r="U63" s="325"/>
      <c r="V63" s="325">
        <f t="shared" si="56"/>
        <v>0.64</v>
      </c>
      <c r="W63" s="325"/>
      <c r="X63" s="325"/>
      <c r="Y63" s="325"/>
      <c r="Z63" s="325"/>
      <c r="AA63" s="325"/>
      <c r="AB63" s="325"/>
      <c r="AC63" s="325"/>
      <c r="AD63" s="325"/>
      <c r="AE63" s="325"/>
      <c r="AF63" s="325"/>
      <c r="AG63" s="325">
        <v>0.64</v>
      </c>
      <c r="AH63" s="325"/>
      <c r="AI63" s="325"/>
      <c r="AJ63" s="325"/>
      <c r="AK63" s="325"/>
      <c r="AL63" s="325"/>
      <c r="AM63" s="325">
        <f t="shared" si="57"/>
        <v>8.31</v>
      </c>
      <c r="AN63" s="325">
        <f t="shared" ref="AN63:BC63" si="62">F63+W63</f>
        <v>0</v>
      </c>
      <c r="AO63" s="325">
        <f t="shared" si="62"/>
        <v>0</v>
      </c>
      <c r="AP63" s="325">
        <f t="shared" si="62"/>
        <v>0</v>
      </c>
      <c r="AQ63" s="325">
        <f t="shared" si="62"/>
        <v>0</v>
      </c>
      <c r="AR63" s="325">
        <f t="shared" si="62"/>
        <v>0</v>
      </c>
      <c r="AS63" s="325">
        <f t="shared" si="62"/>
        <v>0</v>
      </c>
      <c r="AT63" s="325">
        <f t="shared" si="62"/>
        <v>0</v>
      </c>
      <c r="AU63" s="325">
        <f t="shared" si="62"/>
        <v>0</v>
      </c>
      <c r="AV63" s="325">
        <f t="shared" si="62"/>
        <v>0</v>
      </c>
      <c r="AW63" s="325">
        <f t="shared" si="62"/>
        <v>0</v>
      </c>
      <c r="AX63" s="325">
        <f t="shared" si="62"/>
        <v>8.31</v>
      </c>
      <c r="AY63" s="325">
        <f t="shared" si="62"/>
        <v>0</v>
      </c>
      <c r="AZ63" s="325">
        <f t="shared" si="62"/>
        <v>0</v>
      </c>
      <c r="BA63" s="325">
        <f t="shared" si="62"/>
        <v>0</v>
      </c>
      <c r="BB63" s="325">
        <f t="shared" si="62"/>
        <v>0</v>
      </c>
      <c r="BC63" s="325">
        <f t="shared" si="62"/>
        <v>0</v>
      </c>
      <c r="BD63" s="342"/>
      <c r="BE63" s="97"/>
    </row>
    <row r="64" ht="36" spans="1:57">
      <c r="A64" s="304" t="s">
        <v>195</v>
      </c>
      <c r="B64" s="304" t="s">
        <v>438</v>
      </c>
      <c r="C64" s="304" t="s">
        <v>448</v>
      </c>
      <c r="D64" s="304" t="s">
        <v>449</v>
      </c>
      <c r="E64" s="325">
        <f t="shared" si="55"/>
        <v>0.86</v>
      </c>
      <c r="F64" s="325"/>
      <c r="G64" s="325"/>
      <c r="H64" s="325"/>
      <c r="I64" s="325"/>
      <c r="J64" s="325"/>
      <c r="K64" s="325"/>
      <c r="L64" s="325"/>
      <c r="M64" s="325"/>
      <c r="N64" s="325"/>
      <c r="O64" s="325"/>
      <c r="P64" s="325">
        <v>0.86</v>
      </c>
      <c r="Q64" s="325"/>
      <c r="R64" s="325"/>
      <c r="S64" s="325"/>
      <c r="T64" s="325"/>
      <c r="U64" s="325"/>
      <c r="V64" s="325">
        <f t="shared" si="56"/>
        <v>0.1</v>
      </c>
      <c r="W64" s="325"/>
      <c r="X64" s="325"/>
      <c r="Y64" s="325"/>
      <c r="Z64" s="325"/>
      <c r="AA64" s="325"/>
      <c r="AB64" s="325"/>
      <c r="AC64" s="325"/>
      <c r="AD64" s="325"/>
      <c r="AE64" s="325"/>
      <c r="AF64" s="325"/>
      <c r="AG64" s="325">
        <v>0.1</v>
      </c>
      <c r="AH64" s="325"/>
      <c r="AI64" s="325"/>
      <c r="AJ64" s="325"/>
      <c r="AK64" s="325"/>
      <c r="AL64" s="325"/>
      <c r="AM64" s="325">
        <f t="shared" si="57"/>
        <v>0.96</v>
      </c>
      <c r="AN64" s="325">
        <f t="shared" ref="AN64:BC64" si="63">F64+W64</f>
        <v>0</v>
      </c>
      <c r="AO64" s="325">
        <f t="shared" si="63"/>
        <v>0</v>
      </c>
      <c r="AP64" s="325">
        <f t="shared" si="63"/>
        <v>0</v>
      </c>
      <c r="AQ64" s="325">
        <f t="shared" si="63"/>
        <v>0</v>
      </c>
      <c r="AR64" s="325">
        <f t="shared" si="63"/>
        <v>0</v>
      </c>
      <c r="AS64" s="325">
        <f t="shared" si="63"/>
        <v>0</v>
      </c>
      <c r="AT64" s="325">
        <f t="shared" si="63"/>
        <v>0</v>
      </c>
      <c r="AU64" s="325">
        <f t="shared" si="63"/>
        <v>0</v>
      </c>
      <c r="AV64" s="325">
        <f t="shared" si="63"/>
        <v>0</v>
      </c>
      <c r="AW64" s="325">
        <f t="shared" si="63"/>
        <v>0</v>
      </c>
      <c r="AX64" s="325">
        <f t="shared" si="63"/>
        <v>0.96</v>
      </c>
      <c r="AY64" s="325">
        <f t="shared" si="63"/>
        <v>0</v>
      </c>
      <c r="AZ64" s="325">
        <f t="shared" si="63"/>
        <v>0</v>
      </c>
      <c r="BA64" s="325">
        <f t="shared" si="63"/>
        <v>0</v>
      </c>
      <c r="BB64" s="325">
        <f t="shared" si="63"/>
        <v>0</v>
      </c>
      <c r="BC64" s="325">
        <f t="shared" si="63"/>
        <v>0</v>
      </c>
      <c r="BD64" s="342"/>
      <c r="BE64" s="97"/>
    </row>
    <row r="65" ht="24" spans="1:57">
      <c r="A65" s="304" t="s">
        <v>195</v>
      </c>
      <c r="B65" s="304" t="s">
        <v>442</v>
      </c>
      <c r="C65" s="304" t="s">
        <v>450</v>
      </c>
      <c r="D65" s="304" t="s">
        <v>444</v>
      </c>
      <c r="E65" s="325">
        <f t="shared" si="55"/>
        <v>14.9952</v>
      </c>
      <c r="F65" s="325"/>
      <c r="G65" s="325"/>
      <c r="H65" s="325"/>
      <c r="I65" s="325"/>
      <c r="J65" s="325"/>
      <c r="K65" s="325"/>
      <c r="L65" s="325"/>
      <c r="M65" s="325"/>
      <c r="N65" s="325"/>
      <c r="O65" s="325"/>
      <c r="P65" s="325">
        <v>14.9952</v>
      </c>
      <c r="Q65" s="325"/>
      <c r="R65" s="325"/>
      <c r="S65" s="325"/>
      <c r="T65" s="325"/>
      <c r="U65" s="325"/>
      <c r="V65" s="325">
        <f t="shared" si="56"/>
        <v>1.9</v>
      </c>
      <c r="W65" s="325"/>
      <c r="X65" s="325"/>
      <c r="Y65" s="325"/>
      <c r="Z65" s="325"/>
      <c r="AA65" s="325"/>
      <c r="AB65" s="325"/>
      <c r="AC65" s="325"/>
      <c r="AD65" s="325"/>
      <c r="AE65" s="325"/>
      <c r="AF65" s="325"/>
      <c r="AG65" s="325">
        <v>1.9</v>
      </c>
      <c r="AH65" s="325"/>
      <c r="AI65" s="325"/>
      <c r="AJ65" s="325"/>
      <c r="AK65" s="325"/>
      <c r="AL65" s="325"/>
      <c r="AM65" s="325">
        <f t="shared" si="57"/>
        <v>16.8952</v>
      </c>
      <c r="AN65" s="325">
        <f t="shared" ref="AN65:BC65" si="64">F65+W65</f>
        <v>0</v>
      </c>
      <c r="AO65" s="325">
        <f t="shared" si="64"/>
        <v>0</v>
      </c>
      <c r="AP65" s="325">
        <f t="shared" si="64"/>
        <v>0</v>
      </c>
      <c r="AQ65" s="325">
        <f t="shared" si="64"/>
        <v>0</v>
      </c>
      <c r="AR65" s="325">
        <f t="shared" si="64"/>
        <v>0</v>
      </c>
      <c r="AS65" s="325">
        <f t="shared" si="64"/>
        <v>0</v>
      </c>
      <c r="AT65" s="325">
        <f t="shared" si="64"/>
        <v>0</v>
      </c>
      <c r="AU65" s="325">
        <f t="shared" si="64"/>
        <v>0</v>
      </c>
      <c r="AV65" s="325">
        <f t="shared" si="64"/>
        <v>0</v>
      </c>
      <c r="AW65" s="325">
        <f t="shared" si="64"/>
        <v>0</v>
      </c>
      <c r="AX65" s="325">
        <f t="shared" si="64"/>
        <v>16.8952</v>
      </c>
      <c r="AY65" s="325">
        <f t="shared" si="64"/>
        <v>0</v>
      </c>
      <c r="AZ65" s="325">
        <f t="shared" si="64"/>
        <v>0</v>
      </c>
      <c r="BA65" s="325">
        <f t="shared" si="64"/>
        <v>0</v>
      </c>
      <c r="BB65" s="325">
        <f t="shared" si="64"/>
        <v>0</v>
      </c>
      <c r="BC65" s="325">
        <f t="shared" si="64"/>
        <v>0</v>
      </c>
      <c r="BD65" s="342"/>
      <c r="BE65" s="97"/>
    </row>
    <row r="66" ht="24" spans="1:57">
      <c r="A66" s="304" t="s">
        <v>195</v>
      </c>
      <c r="B66" s="304" t="s">
        <v>442</v>
      </c>
      <c r="C66" s="304" t="s">
        <v>789</v>
      </c>
      <c r="D66" s="304" t="s">
        <v>454</v>
      </c>
      <c r="E66" s="325">
        <f t="shared" si="55"/>
        <v>5.3256</v>
      </c>
      <c r="F66" s="325"/>
      <c r="G66" s="325"/>
      <c r="H66" s="325"/>
      <c r="I66" s="325"/>
      <c r="J66" s="325"/>
      <c r="K66" s="325"/>
      <c r="L66" s="325"/>
      <c r="M66" s="325"/>
      <c r="N66" s="325"/>
      <c r="O66" s="325"/>
      <c r="P66" s="325">
        <v>5.3256</v>
      </c>
      <c r="Q66" s="325"/>
      <c r="R66" s="325"/>
      <c r="S66" s="325"/>
      <c r="T66" s="325"/>
      <c r="U66" s="325"/>
      <c r="V66" s="325">
        <f t="shared" si="56"/>
        <v>-0.29</v>
      </c>
      <c r="W66" s="325"/>
      <c r="X66" s="325"/>
      <c r="Y66" s="325"/>
      <c r="Z66" s="325"/>
      <c r="AA66" s="325"/>
      <c r="AB66" s="325"/>
      <c r="AC66" s="325"/>
      <c r="AD66" s="325"/>
      <c r="AE66" s="325"/>
      <c r="AF66" s="325"/>
      <c r="AG66" s="325">
        <v>-0.29</v>
      </c>
      <c r="AH66" s="325"/>
      <c r="AI66" s="325"/>
      <c r="AJ66" s="325"/>
      <c r="AK66" s="325"/>
      <c r="AL66" s="325"/>
      <c r="AM66" s="325">
        <f t="shared" si="57"/>
        <v>5.0356</v>
      </c>
      <c r="AN66" s="325">
        <f t="shared" ref="AN66:BC66" si="65">F66+W66</f>
        <v>0</v>
      </c>
      <c r="AO66" s="325">
        <f t="shared" si="65"/>
        <v>0</v>
      </c>
      <c r="AP66" s="325">
        <f t="shared" si="65"/>
        <v>0</v>
      </c>
      <c r="AQ66" s="325">
        <f t="shared" si="65"/>
        <v>0</v>
      </c>
      <c r="AR66" s="325">
        <f t="shared" si="65"/>
        <v>0</v>
      </c>
      <c r="AS66" s="325">
        <f t="shared" si="65"/>
        <v>0</v>
      </c>
      <c r="AT66" s="325">
        <f t="shared" si="65"/>
        <v>0</v>
      </c>
      <c r="AU66" s="325">
        <f t="shared" si="65"/>
        <v>0</v>
      </c>
      <c r="AV66" s="325">
        <f t="shared" si="65"/>
        <v>0</v>
      </c>
      <c r="AW66" s="325">
        <f t="shared" si="65"/>
        <v>0</v>
      </c>
      <c r="AX66" s="325">
        <f t="shared" si="65"/>
        <v>5.0356</v>
      </c>
      <c r="AY66" s="325">
        <f t="shared" si="65"/>
        <v>0</v>
      </c>
      <c r="AZ66" s="325">
        <f t="shared" si="65"/>
        <v>0</v>
      </c>
      <c r="BA66" s="325">
        <f t="shared" si="65"/>
        <v>0</v>
      </c>
      <c r="BB66" s="325">
        <f t="shared" si="65"/>
        <v>0</v>
      </c>
      <c r="BC66" s="325">
        <f t="shared" si="65"/>
        <v>0</v>
      </c>
      <c r="BD66" s="342"/>
      <c r="BE66" s="97"/>
    </row>
    <row r="67" ht="24" spans="1:57">
      <c r="A67" s="304" t="s">
        <v>195</v>
      </c>
      <c r="B67" s="304" t="s">
        <v>442</v>
      </c>
      <c r="C67" s="304" t="s">
        <v>455</v>
      </c>
      <c r="D67" s="304" t="s">
        <v>444</v>
      </c>
      <c r="E67" s="325">
        <f t="shared" si="55"/>
        <v>11.076</v>
      </c>
      <c r="F67" s="325"/>
      <c r="G67" s="325"/>
      <c r="H67" s="325"/>
      <c r="I67" s="325"/>
      <c r="J67" s="325"/>
      <c r="K67" s="325"/>
      <c r="L67" s="325"/>
      <c r="M67" s="325"/>
      <c r="N67" s="325"/>
      <c r="O67" s="325"/>
      <c r="P67" s="325">
        <v>11.076</v>
      </c>
      <c r="Q67" s="325"/>
      <c r="R67" s="325"/>
      <c r="S67" s="325"/>
      <c r="T67" s="325"/>
      <c r="U67" s="325"/>
      <c r="V67" s="325">
        <f t="shared" si="56"/>
        <v>1.44</v>
      </c>
      <c r="W67" s="325"/>
      <c r="X67" s="325"/>
      <c r="Y67" s="325"/>
      <c r="Z67" s="325"/>
      <c r="AA67" s="325"/>
      <c r="AB67" s="325"/>
      <c r="AC67" s="325"/>
      <c r="AD67" s="325"/>
      <c r="AE67" s="325"/>
      <c r="AF67" s="325"/>
      <c r="AG67" s="325">
        <v>1.44</v>
      </c>
      <c r="AH67" s="325"/>
      <c r="AI67" s="325"/>
      <c r="AJ67" s="325"/>
      <c r="AK67" s="325"/>
      <c r="AL67" s="325"/>
      <c r="AM67" s="325">
        <f t="shared" si="57"/>
        <v>12.516</v>
      </c>
      <c r="AN67" s="325">
        <f t="shared" ref="AN67:BC67" si="66">F67+W67</f>
        <v>0</v>
      </c>
      <c r="AO67" s="325">
        <f t="shared" si="66"/>
        <v>0</v>
      </c>
      <c r="AP67" s="325">
        <f t="shared" si="66"/>
        <v>0</v>
      </c>
      <c r="AQ67" s="325">
        <f t="shared" si="66"/>
        <v>0</v>
      </c>
      <c r="AR67" s="325">
        <f t="shared" si="66"/>
        <v>0</v>
      </c>
      <c r="AS67" s="325">
        <f t="shared" si="66"/>
        <v>0</v>
      </c>
      <c r="AT67" s="325">
        <f t="shared" si="66"/>
        <v>0</v>
      </c>
      <c r="AU67" s="325">
        <f t="shared" si="66"/>
        <v>0</v>
      </c>
      <c r="AV67" s="325">
        <f t="shared" si="66"/>
        <v>0</v>
      </c>
      <c r="AW67" s="325">
        <f t="shared" si="66"/>
        <v>0</v>
      </c>
      <c r="AX67" s="325">
        <f t="shared" si="66"/>
        <v>12.516</v>
      </c>
      <c r="AY67" s="325">
        <f t="shared" si="66"/>
        <v>0</v>
      </c>
      <c r="AZ67" s="325">
        <f t="shared" si="66"/>
        <v>0</v>
      </c>
      <c r="BA67" s="325">
        <f t="shared" si="66"/>
        <v>0</v>
      </c>
      <c r="BB67" s="325">
        <f t="shared" si="66"/>
        <v>0</v>
      </c>
      <c r="BC67" s="325">
        <f t="shared" si="66"/>
        <v>0</v>
      </c>
      <c r="BD67" s="342"/>
      <c r="BE67" s="97"/>
    </row>
    <row r="68" ht="36" spans="1:57">
      <c r="A68" s="304" t="s">
        <v>195</v>
      </c>
      <c r="B68" s="304" t="s">
        <v>199</v>
      </c>
      <c r="C68" s="304" t="s">
        <v>456</v>
      </c>
      <c r="D68" s="304" t="s">
        <v>457</v>
      </c>
      <c r="E68" s="325">
        <f t="shared" si="55"/>
        <v>0.85</v>
      </c>
      <c r="F68" s="325"/>
      <c r="G68" s="325"/>
      <c r="H68" s="325"/>
      <c r="I68" s="325"/>
      <c r="J68" s="325"/>
      <c r="K68" s="325"/>
      <c r="L68" s="325"/>
      <c r="M68" s="325"/>
      <c r="N68" s="325"/>
      <c r="O68" s="325"/>
      <c r="P68" s="325">
        <v>0.85</v>
      </c>
      <c r="Q68" s="325"/>
      <c r="R68" s="325"/>
      <c r="S68" s="325"/>
      <c r="T68" s="325"/>
      <c r="U68" s="325"/>
      <c r="V68" s="325">
        <f t="shared" si="56"/>
        <v>0.22</v>
      </c>
      <c r="W68" s="325"/>
      <c r="X68" s="325"/>
      <c r="Y68" s="325"/>
      <c r="Z68" s="325"/>
      <c r="AA68" s="325"/>
      <c r="AB68" s="325"/>
      <c r="AC68" s="325"/>
      <c r="AD68" s="325"/>
      <c r="AE68" s="325"/>
      <c r="AF68" s="325"/>
      <c r="AG68" s="325">
        <v>0.22</v>
      </c>
      <c r="AH68" s="325"/>
      <c r="AI68" s="325"/>
      <c r="AJ68" s="325"/>
      <c r="AK68" s="325"/>
      <c r="AL68" s="325"/>
      <c r="AM68" s="325">
        <f t="shared" si="57"/>
        <v>1.07</v>
      </c>
      <c r="AN68" s="325">
        <f t="shared" ref="AN68:BC68" si="67">F68+W68</f>
        <v>0</v>
      </c>
      <c r="AO68" s="325">
        <f t="shared" si="67"/>
        <v>0</v>
      </c>
      <c r="AP68" s="325">
        <f t="shared" si="67"/>
        <v>0</v>
      </c>
      <c r="AQ68" s="325">
        <f t="shared" si="67"/>
        <v>0</v>
      </c>
      <c r="AR68" s="325">
        <f t="shared" si="67"/>
        <v>0</v>
      </c>
      <c r="AS68" s="325">
        <f t="shared" si="67"/>
        <v>0</v>
      </c>
      <c r="AT68" s="325">
        <f t="shared" si="67"/>
        <v>0</v>
      </c>
      <c r="AU68" s="325">
        <f t="shared" si="67"/>
        <v>0</v>
      </c>
      <c r="AV68" s="325">
        <f t="shared" si="67"/>
        <v>0</v>
      </c>
      <c r="AW68" s="325">
        <f t="shared" si="67"/>
        <v>0</v>
      </c>
      <c r="AX68" s="325">
        <f t="shared" si="67"/>
        <v>1.07</v>
      </c>
      <c r="AY68" s="325">
        <f t="shared" si="67"/>
        <v>0</v>
      </c>
      <c r="AZ68" s="325">
        <f t="shared" si="67"/>
        <v>0</v>
      </c>
      <c r="BA68" s="325">
        <f t="shared" si="67"/>
        <v>0</v>
      </c>
      <c r="BB68" s="325">
        <f t="shared" si="67"/>
        <v>0</v>
      </c>
      <c r="BC68" s="325">
        <f t="shared" si="67"/>
        <v>0</v>
      </c>
      <c r="BD68" s="342"/>
      <c r="BE68" s="97"/>
    </row>
    <row r="69" ht="24" spans="1:57">
      <c r="A69" s="304" t="s">
        <v>195</v>
      </c>
      <c r="B69" s="304" t="s">
        <v>442</v>
      </c>
      <c r="C69" s="304" t="s">
        <v>458</v>
      </c>
      <c r="D69" s="304" t="s">
        <v>454</v>
      </c>
      <c r="E69" s="325">
        <f t="shared" si="55"/>
        <v>2.556</v>
      </c>
      <c r="F69" s="325"/>
      <c r="G69" s="325"/>
      <c r="H69" s="325"/>
      <c r="I69" s="325"/>
      <c r="J69" s="325"/>
      <c r="K69" s="325"/>
      <c r="L69" s="325"/>
      <c r="M69" s="325"/>
      <c r="N69" s="325"/>
      <c r="O69" s="325"/>
      <c r="P69" s="325">
        <v>2.556</v>
      </c>
      <c r="Q69" s="325"/>
      <c r="R69" s="325"/>
      <c r="S69" s="325"/>
      <c r="T69" s="325"/>
      <c r="U69" s="325"/>
      <c r="V69" s="325">
        <f t="shared" si="56"/>
        <v>0.32</v>
      </c>
      <c r="W69" s="325"/>
      <c r="X69" s="325"/>
      <c r="Y69" s="325"/>
      <c r="Z69" s="325"/>
      <c r="AA69" s="325"/>
      <c r="AB69" s="325"/>
      <c r="AC69" s="325"/>
      <c r="AD69" s="325"/>
      <c r="AE69" s="325"/>
      <c r="AF69" s="325"/>
      <c r="AG69" s="325">
        <v>0.32</v>
      </c>
      <c r="AH69" s="325"/>
      <c r="AI69" s="325"/>
      <c r="AJ69" s="325"/>
      <c r="AK69" s="325"/>
      <c r="AL69" s="325"/>
      <c r="AM69" s="325">
        <f t="shared" si="57"/>
        <v>2.876</v>
      </c>
      <c r="AN69" s="325">
        <f t="shared" ref="AN69:BC69" si="68">F69+W69</f>
        <v>0</v>
      </c>
      <c r="AO69" s="325">
        <f t="shared" si="68"/>
        <v>0</v>
      </c>
      <c r="AP69" s="325">
        <f t="shared" si="68"/>
        <v>0</v>
      </c>
      <c r="AQ69" s="325">
        <f t="shared" si="68"/>
        <v>0</v>
      </c>
      <c r="AR69" s="325">
        <f t="shared" si="68"/>
        <v>0</v>
      </c>
      <c r="AS69" s="325">
        <f t="shared" si="68"/>
        <v>0</v>
      </c>
      <c r="AT69" s="325">
        <f t="shared" si="68"/>
        <v>0</v>
      </c>
      <c r="AU69" s="325">
        <f t="shared" si="68"/>
        <v>0</v>
      </c>
      <c r="AV69" s="325">
        <f t="shared" si="68"/>
        <v>0</v>
      </c>
      <c r="AW69" s="325">
        <f t="shared" si="68"/>
        <v>0</v>
      </c>
      <c r="AX69" s="325">
        <f t="shared" si="68"/>
        <v>2.876</v>
      </c>
      <c r="AY69" s="325">
        <f t="shared" si="68"/>
        <v>0</v>
      </c>
      <c r="AZ69" s="325">
        <f t="shared" si="68"/>
        <v>0</v>
      </c>
      <c r="BA69" s="325">
        <f t="shared" si="68"/>
        <v>0</v>
      </c>
      <c r="BB69" s="325">
        <f t="shared" si="68"/>
        <v>0</v>
      </c>
      <c r="BC69" s="325">
        <f t="shared" si="68"/>
        <v>0</v>
      </c>
      <c r="BD69" s="342"/>
      <c r="BE69" s="97"/>
    </row>
    <row r="70" ht="36" spans="1:57">
      <c r="A70" s="304" t="s">
        <v>195</v>
      </c>
      <c r="B70" s="304" t="s">
        <v>442</v>
      </c>
      <c r="C70" s="304" t="s">
        <v>459</v>
      </c>
      <c r="D70" s="304" t="s">
        <v>491</v>
      </c>
      <c r="E70" s="325">
        <f t="shared" si="55"/>
        <v>10.5084</v>
      </c>
      <c r="F70" s="325"/>
      <c r="G70" s="325"/>
      <c r="H70" s="325"/>
      <c r="I70" s="325"/>
      <c r="J70" s="325"/>
      <c r="K70" s="325"/>
      <c r="L70" s="325"/>
      <c r="M70" s="325"/>
      <c r="N70" s="325"/>
      <c r="O70" s="325"/>
      <c r="P70" s="325">
        <v>10.5084</v>
      </c>
      <c r="Q70" s="325"/>
      <c r="R70" s="325"/>
      <c r="S70" s="325"/>
      <c r="T70" s="325"/>
      <c r="U70" s="325"/>
      <c r="V70" s="325">
        <f t="shared" si="56"/>
        <v>0.75</v>
      </c>
      <c r="W70" s="325"/>
      <c r="X70" s="325"/>
      <c r="Y70" s="325"/>
      <c r="Z70" s="325"/>
      <c r="AA70" s="325"/>
      <c r="AB70" s="325"/>
      <c r="AC70" s="325"/>
      <c r="AD70" s="325"/>
      <c r="AE70" s="325"/>
      <c r="AF70" s="325"/>
      <c r="AG70" s="325">
        <v>0.75</v>
      </c>
      <c r="AH70" s="325"/>
      <c r="AI70" s="325"/>
      <c r="AJ70" s="325"/>
      <c r="AK70" s="325"/>
      <c r="AL70" s="325"/>
      <c r="AM70" s="325">
        <f t="shared" si="57"/>
        <v>11.2584</v>
      </c>
      <c r="AN70" s="325">
        <f t="shared" ref="AN70:BC70" si="69">F70+W70</f>
        <v>0</v>
      </c>
      <c r="AO70" s="325">
        <f t="shared" si="69"/>
        <v>0</v>
      </c>
      <c r="AP70" s="325">
        <f t="shared" si="69"/>
        <v>0</v>
      </c>
      <c r="AQ70" s="325">
        <f t="shared" si="69"/>
        <v>0</v>
      </c>
      <c r="AR70" s="325">
        <f t="shared" si="69"/>
        <v>0</v>
      </c>
      <c r="AS70" s="325">
        <f t="shared" si="69"/>
        <v>0</v>
      </c>
      <c r="AT70" s="325">
        <f t="shared" si="69"/>
        <v>0</v>
      </c>
      <c r="AU70" s="325">
        <f t="shared" si="69"/>
        <v>0</v>
      </c>
      <c r="AV70" s="325">
        <f t="shared" si="69"/>
        <v>0</v>
      </c>
      <c r="AW70" s="325">
        <f t="shared" si="69"/>
        <v>0</v>
      </c>
      <c r="AX70" s="325">
        <f t="shared" si="69"/>
        <v>11.2584</v>
      </c>
      <c r="AY70" s="325">
        <f t="shared" si="69"/>
        <v>0</v>
      </c>
      <c r="AZ70" s="325">
        <f t="shared" si="69"/>
        <v>0</v>
      </c>
      <c r="BA70" s="325">
        <f t="shared" si="69"/>
        <v>0</v>
      </c>
      <c r="BB70" s="325">
        <f t="shared" si="69"/>
        <v>0</v>
      </c>
      <c r="BC70" s="325">
        <f t="shared" si="69"/>
        <v>0</v>
      </c>
      <c r="BD70" s="342"/>
      <c r="BE70" s="97"/>
    </row>
    <row r="71" ht="24" spans="1:57">
      <c r="A71" s="304" t="s">
        <v>195</v>
      </c>
      <c r="B71" s="304" t="s">
        <v>442</v>
      </c>
      <c r="C71" s="304" t="s">
        <v>460</v>
      </c>
      <c r="D71" s="304" t="s">
        <v>454</v>
      </c>
      <c r="E71" s="325">
        <f t="shared" si="55"/>
        <v>24.7</v>
      </c>
      <c r="F71" s="325"/>
      <c r="G71" s="325"/>
      <c r="H71" s="325"/>
      <c r="I71" s="325"/>
      <c r="J71" s="325"/>
      <c r="K71" s="325"/>
      <c r="L71" s="325"/>
      <c r="M71" s="325"/>
      <c r="N71" s="325"/>
      <c r="O71" s="325"/>
      <c r="P71" s="325">
        <v>24.7</v>
      </c>
      <c r="Q71" s="325"/>
      <c r="R71" s="325"/>
      <c r="S71" s="325"/>
      <c r="T71" s="325"/>
      <c r="U71" s="325"/>
      <c r="V71" s="325">
        <f t="shared" si="56"/>
        <v>4.69</v>
      </c>
      <c r="W71" s="325"/>
      <c r="X71" s="325"/>
      <c r="Y71" s="325"/>
      <c r="Z71" s="325"/>
      <c r="AA71" s="325"/>
      <c r="AB71" s="325"/>
      <c r="AC71" s="325"/>
      <c r="AD71" s="325"/>
      <c r="AE71" s="325"/>
      <c r="AF71" s="325"/>
      <c r="AG71" s="325">
        <v>-9.02</v>
      </c>
      <c r="AH71" s="325"/>
      <c r="AI71" s="325"/>
      <c r="AJ71" s="325"/>
      <c r="AK71" s="325"/>
      <c r="AL71" s="325">
        <v>13.71</v>
      </c>
      <c r="AM71" s="325">
        <f t="shared" si="57"/>
        <v>29.39</v>
      </c>
      <c r="AN71" s="325">
        <f t="shared" ref="AN71:BC71" si="70">F71+W71</f>
        <v>0</v>
      </c>
      <c r="AO71" s="325">
        <f t="shared" si="70"/>
        <v>0</v>
      </c>
      <c r="AP71" s="325">
        <f t="shared" si="70"/>
        <v>0</v>
      </c>
      <c r="AQ71" s="325">
        <f t="shared" si="70"/>
        <v>0</v>
      </c>
      <c r="AR71" s="325">
        <f t="shared" si="70"/>
        <v>0</v>
      </c>
      <c r="AS71" s="325">
        <f t="shared" si="70"/>
        <v>0</v>
      </c>
      <c r="AT71" s="325">
        <f t="shared" si="70"/>
        <v>0</v>
      </c>
      <c r="AU71" s="325">
        <f t="shared" si="70"/>
        <v>0</v>
      </c>
      <c r="AV71" s="325">
        <f t="shared" si="70"/>
        <v>0</v>
      </c>
      <c r="AW71" s="325">
        <f t="shared" si="70"/>
        <v>0</v>
      </c>
      <c r="AX71" s="325">
        <f t="shared" si="70"/>
        <v>15.68</v>
      </c>
      <c r="AY71" s="325">
        <f t="shared" si="70"/>
        <v>0</v>
      </c>
      <c r="AZ71" s="325">
        <f t="shared" si="70"/>
        <v>0</v>
      </c>
      <c r="BA71" s="325">
        <f t="shared" si="70"/>
        <v>0</v>
      </c>
      <c r="BB71" s="325">
        <f t="shared" si="70"/>
        <v>0</v>
      </c>
      <c r="BC71" s="325">
        <f t="shared" si="70"/>
        <v>13.71</v>
      </c>
      <c r="BD71" s="342" t="s">
        <v>919</v>
      </c>
      <c r="BE71" s="97"/>
    </row>
    <row r="72" ht="24" spans="1:57">
      <c r="A72" s="304" t="s">
        <v>195</v>
      </c>
      <c r="B72" s="304" t="s">
        <v>442</v>
      </c>
      <c r="C72" s="304" t="s">
        <v>461</v>
      </c>
      <c r="D72" s="304" t="s">
        <v>454</v>
      </c>
      <c r="E72" s="325">
        <f t="shared" si="55"/>
        <v>4.26</v>
      </c>
      <c r="F72" s="325"/>
      <c r="G72" s="325"/>
      <c r="H72" s="325"/>
      <c r="I72" s="325"/>
      <c r="J72" s="325"/>
      <c r="K72" s="325"/>
      <c r="L72" s="325"/>
      <c r="M72" s="325"/>
      <c r="N72" s="325"/>
      <c r="O72" s="325"/>
      <c r="P72" s="325">
        <v>4.26</v>
      </c>
      <c r="Q72" s="325"/>
      <c r="R72" s="325"/>
      <c r="S72" s="325"/>
      <c r="T72" s="325"/>
      <c r="U72" s="325"/>
      <c r="V72" s="325">
        <f t="shared" si="56"/>
        <v>-1.17</v>
      </c>
      <c r="W72" s="325"/>
      <c r="X72" s="325"/>
      <c r="Y72" s="325"/>
      <c r="Z72" s="325"/>
      <c r="AA72" s="325"/>
      <c r="AB72" s="325"/>
      <c r="AC72" s="325"/>
      <c r="AD72" s="325"/>
      <c r="AE72" s="325"/>
      <c r="AF72" s="325"/>
      <c r="AG72" s="325">
        <v>-1.17</v>
      </c>
      <c r="AH72" s="325"/>
      <c r="AI72" s="325"/>
      <c r="AJ72" s="325"/>
      <c r="AK72" s="325"/>
      <c r="AL72" s="325"/>
      <c r="AM72" s="325">
        <f t="shared" si="57"/>
        <v>3.09</v>
      </c>
      <c r="AN72" s="325">
        <f t="shared" ref="AN72:BC72" si="71">F72+W72</f>
        <v>0</v>
      </c>
      <c r="AO72" s="325">
        <f t="shared" si="71"/>
        <v>0</v>
      </c>
      <c r="AP72" s="325">
        <f t="shared" si="71"/>
        <v>0</v>
      </c>
      <c r="AQ72" s="325">
        <f t="shared" si="71"/>
        <v>0</v>
      </c>
      <c r="AR72" s="325">
        <f t="shared" si="71"/>
        <v>0</v>
      </c>
      <c r="AS72" s="325">
        <f t="shared" si="71"/>
        <v>0</v>
      </c>
      <c r="AT72" s="325">
        <f t="shared" si="71"/>
        <v>0</v>
      </c>
      <c r="AU72" s="325">
        <f t="shared" si="71"/>
        <v>0</v>
      </c>
      <c r="AV72" s="325">
        <f t="shared" si="71"/>
        <v>0</v>
      </c>
      <c r="AW72" s="325">
        <f t="shared" si="71"/>
        <v>0</v>
      </c>
      <c r="AX72" s="325">
        <f t="shared" si="71"/>
        <v>3.09</v>
      </c>
      <c r="AY72" s="325">
        <f t="shared" si="71"/>
        <v>0</v>
      </c>
      <c r="AZ72" s="325">
        <f t="shared" si="71"/>
        <v>0</v>
      </c>
      <c r="BA72" s="325">
        <f t="shared" si="71"/>
        <v>0</v>
      </c>
      <c r="BB72" s="325">
        <f t="shared" si="71"/>
        <v>0</v>
      </c>
      <c r="BC72" s="325">
        <f t="shared" si="71"/>
        <v>0</v>
      </c>
      <c r="BD72" s="342"/>
      <c r="BE72" s="97"/>
    </row>
    <row r="73" ht="36" spans="1:57">
      <c r="A73" s="304" t="s">
        <v>195</v>
      </c>
      <c r="B73" s="304" t="s">
        <v>442</v>
      </c>
      <c r="C73" s="304" t="s">
        <v>462</v>
      </c>
      <c r="D73" s="304" t="s">
        <v>491</v>
      </c>
      <c r="E73" s="325">
        <f t="shared" si="55"/>
        <v>2.8404</v>
      </c>
      <c r="F73" s="325"/>
      <c r="G73" s="325"/>
      <c r="H73" s="325"/>
      <c r="I73" s="325"/>
      <c r="J73" s="325"/>
      <c r="K73" s="325"/>
      <c r="L73" s="325"/>
      <c r="M73" s="325"/>
      <c r="N73" s="325"/>
      <c r="O73" s="325"/>
      <c r="P73" s="325">
        <v>2.8404</v>
      </c>
      <c r="Q73" s="325"/>
      <c r="R73" s="325"/>
      <c r="S73" s="325"/>
      <c r="T73" s="325"/>
      <c r="U73" s="325"/>
      <c r="V73" s="325">
        <f t="shared" si="56"/>
        <v>0.36</v>
      </c>
      <c r="W73" s="325"/>
      <c r="X73" s="325"/>
      <c r="Y73" s="325"/>
      <c r="Z73" s="325"/>
      <c r="AA73" s="325"/>
      <c r="AB73" s="325"/>
      <c r="AC73" s="325"/>
      <c r="AD73" s="325"/>
      <c r="AE73" s="325"/>
      <c r="AF73" s="325"/>
      <c r="AG73" s="325">
        <v>0.36</v>
      </c>
      <c r="AH73" s="325"/>
      <c r="AI73" s="325"/>
      <c r="AJ73" s="325"/>
      <c r="AK73" s="325"/>
      <c r="AL73" s="325"/>
      <c r="AM73" s="325">
        <f t="shared" si="57"/>
        <v>3.2004</v>
      </c>
      <c r="AN73" s="325">
        <f t="shared" ref="AN73:BC73" si="72">F73+W73</f>
        <v>0</v>
      </c>
      <c r="AO73" s="325">
        <f t="shared" si="72"/>
        <v>0</v>
      </c>
      <c r="AP73" s="325">
        <f t="shared" si="72"/>
        <v>0</v>
      </c>
      <c r="AQ73" s="325">
        <f t="shared" si="72"/>
        <v>0</v>
      </c>
      <c r="AR73" s="325">
        <f t="shared" si="72"/>
        <v>0</v>
      </c>
      <c r="AS73" s="325">
        <f t="shared" si="72"/>
        <v>0</v>
      </c>
      <c r="AT73" s="325">
        <f t="shared" si="72"/>
        <v>0</v>
      </c>
      <c r="AU73" s="325">
        <f t="shared" si="72"/>
        <v>0</v>
      </c>
      <c r="AV73" s="325">
        <f t="shared" si="72"/>
        <v>0</v>
      </c>
      <c r="AW73" s="325">
        <f t="shared" si="72"/>
        <v>0</v>
      </c>
      <c r="AX73" s="325">
        <f t="shared" si="72"/>
        <v>3.2004</v>
      </c>
      <c r="AY73" s="325">
        <f t="shared" si="72"/>
        <v>0</v>
      </c>
      <c r="AZ73" s="325">
        <f t="shared" si="72"/>
        <v>0</v>
      </c>
      <c r="BA73" s="325">
        <f t="shared" si="72"/>
        <v>0</v>
      </c>
      <c r="BB73" s="325">
        <f t="shared" si="72"/>
        <v>0</v>
      </c>
      <c r="BC73" s="325">
        <f t="shared" si="72"/>
        <v>0</v>
      </c>
      <c r="BD73" s="342"/>
      <c r="BE73" s="97"/>
    </row>
    <row r="74" ht="24" spans="1:57">
      <c r="A74" s="304" t="s">
        <v>195</v>
      </c>
      <c r="B74" s="304" t="s">
        <v>442</v>
      </c>
      <c r="C74" s="304" t="s">
        <v>463</v>
      </c>
      <c r="D74" s="304" t="s">
        <v>444</v>
      </c>
      <c r="E74" s="325">
        <f t="shared" si="55"/>
        <v>30.39</v>
      </c>
      <c r="F74" s="325"/>
      <c r="G74" s="325"/>
      <c r="H74" s="325"/>
      <c r="I74" s="325"/>
      <c r="J74" s="325"/>
      <c r="K74" s="325"/>
      <c r="L74" s="325"/>
      <c r="M74" s="325"/>
      <c r="N74" s="325"/>
      <c r="O74" s="325"/>
      <c r="P74" s="325">
        <v>30.39</v>
      </c>
      <c r="Q74" s="325"/>
      <c r="R74" s="325"/>
      <c r="S74" s="325"/>
      <c r="T74" s="325"/>
      <c r="U74" s="325"/>
      <c r="V74" s="325">
        <f t="shared" si="56"/>
        <v>2.91</v>
      </c>
      <c r="W74" s="325"/>
      <c r="X74" s="325"/>
      <c r="Y74" s="325"/>
      <c r="Z74" s="325"/>
      <c r="AA74" s="325"/>
      <c r="AB74" s="325"/>
      <c r="AC74" s="325"/>
      <c r="AD74" s="325"/>
      <c r="AE74" s="325"/>
      <c r="AF74" s="325"/>
      <c r="AG74" s="325">
        <v>2.91</v>
      </c>
      <c r="AH74" s="325"/>
      <c r="AI74" s="325"/>
      <c r="AJ74" s="325"/>
      <c r="AK74" s="325"/>
      <c r="AL74" s="325"/>
      <c r="AM74" s="325">
        <f t="shared" si="57"/>
        <v>33.3</v>
      </c>
      <c r="AN74" s="325">
        <f t="shared" ref="AN74:BC74" si="73">F74+W74</f>
        <v>0</v>
      </c>
      <c r="AO74" s="325">
        <f t="shared" si="73"/>
        <v>0</v>
      </c>
      <c r="AP74" s="325">
        <f t="shared" si="73"/>
        <v>0</v>
      </c>
      <c r="AQ74" s="325">
        <f t="shared" si="73"/>
        <v>0</v>
      </c>
      <c r="AR74" s="325">
        <f t="shared" si="73"/>
        <v>0</v>
      </c>
      <c r="AS74" s="325">
        <f t="shared" si="73"/>
        <v>0</v>
      </c>
      <c r="AT74" s="325">
        <f t="shared" si="73"/>
        <v>0</v>
      </c>
      <c r="AU74" s="325">
        <f t="shared" si="73"/>
        <v>0</v>
      </c>
      <c r="AV74" s="325">
        <f t="shared" si="73"/>
        <v>0</v>
      </c>
      <c r="AW74" s="325">
        <f t="shared" si="73"/>
        <v>0</v>
      </c>
      <c r="AX74" s="325">
        <f t="shared" si="73"/>
        <v>33.3</v>
      </c>
      <c r="AY74" s="325">
        <f t="shared" si="73"/>
        <v>0</v>
      </c>
      <c r="AZ74" s="325">
        <f t="shared" si="73"/>
        <v>0</v>
      </c>
      <c r="BA74" s="325">
        <f t="shared" si="73"/>
        <v>0</v>
      </c>
      <c r="BB74" s="325">
        <f t="shared" si="73"/>
        <v>0</v>
      </c>
      <c r="BC74" s="325">
        <f t="shared" si="73"/>
        <v>0</v>
      </c>
      <c r="BD74" s="342"/>
      <c r="BE74" s="97"/>
    </row>
    <row r="75" ht="24" spans="1:57">
      <c r="A75" s="304" t="s">
        <v>195</v>
      </c>
      <c r="B75" s="304" t="s">
        <v>442</v>
      </c>
      <c r="C75" s="304" t="s">
        <v>464</v>
      </c>
      <c r="D75" s="304" t="s">
        <v>444</v>
      </c>
      <c r="E75" s="325">
        <f t="shared" si="55"/>
        <v>67.6068</v>
      </c>
      <c r="F75" s="325"/>
      <c r="G75" s="325"/>
      <c r="H75" s="325"/>
      <c r="I75" s="325"/>
      <c r="J75" s="325"/>
      <c r="K75" s="325"/>
      <c r="L75" s="325"/>
      <c r="M75" s="325"/>
      <c r="N75" s="325"/>
      <c r="O75" s="325"/>
      <c r="P75" s="325">
        <v>67.6068</v>
      </c>
      <c r="Q75" s="325"/>
      <c r="R75" s="325"/>
      <c r="S75" s="325"/>
      <c r="T75" s="325"/>
      <c r="U75" s="325"/>
      <c r="V75" s="325">
        <f t="shared" si="56"/>
        <v>25.15</v>
      </c>
      <c r="W75" s="325"/>
      <c r="X75" s="325"/>
      <c r="Y75" s="325"/>
      <c r="Z75" s="325"/>
      <c r="AA75" s="325"/>
      <c r="AB75" s="325"/>
      <c r="AC75" s="325"/>
      <c r="AD75" s="325"/>
      <c r="AE75" s="325"/>
      <c r="AF75" s="325"/>
      <c r="AG75" s="325">
        <v>10.88</v>
      </c>
      <c r="AH75" s="325"/>
      <c r="AI75" s="325"/>
      <c r="AJ75" s="325"/>
      <c r="AK75" s="325"/>
      <c r="AL75" s="325">
        <v>14.27</v>
      </c>
      <c r="AM75" s="325">
        <f t="shared" si="57"/>
        <v>92.7568</v>
      </c>
      <c r="AN75" s="325">
        <f t="shared" ref="AN75:BC75" si="74">F75+W75</f>
        <v>0</v>
      </c>
      <c r="AO75" s="325">
        <f t="shared" si="74"/>
        <v>0</v>
      </c>
      <c r="AP75" s="325">
        <f t="shared" si="74"/>
        <v>0</v>
      </c>
      <c r="AQ75" s="325">
        <f t="shared" si="74"/>
        <v>0</v>
      </c>
      <c r="AR75" s="325">
        <f t="shared" si="74"/>
        <v>0</v>
      </c>
      <c r="AS75" s="325">
        <f t="shared" si="74"/>
        <v>0</v>
      </c>
      <c r="AT75" s="325">
        <f t="shared" si="74"/>
        <v>0</v>
      </c>
      <c r="AU75" s="325">
        <f t="shared" si="74"/>
        <v>0</v>
      </c>
      <c r="AV75" s="325">
        <f t="shared" si="74"/>
        <v>0</v>
      </c>
      <c r="AW75" s="325">
        <f t="shared" si="74"/>
        <v>0</v>
      </c>
      <c r="AX75" s="325">
        <f t="shared" si="74"/>
        <v>78.4868</v>
      </c>
      <c r="AY75" s="325">
        <f t="shared" si="74"/>
        <v>0</v>
      </c>
      <c r="AZ75" s="325">
        <f t="shared" si="74"/>
        <v>0</v>
      </c>
      <c r="BA75" s="325">
        <f t="shared" si="74"/>
        <v>0</v>
      </c>
      <c r="BB75" s="325">
        <f t="shared" si="74"/>
        <v>0</v>
      </c>
      <c r="BC75" s="325">
        <f t="shared" si="74"/>
        <v>14.27</v>
      </c>
      <c r="BD75" s="342" t="s">
        <v>919</v>
      </c>
      <c r="BE75" s="97"/>
    </row>
    <row r="76" ht="24" spans="1:57">
      <c r="A76" s="304" t="s">
        <v>195</v>
      </c>
      <c r="B76" s="304" t="s">
        <v>442</v>
      </c>
      <c r="C76" s="304" t="s">
        <v>465</v>
      </c>
      <c r="D76" s="304" t="s">
        <v>454</v>
      </c>
      <c r="E76" s="325">
        <f t="shared" si="55"/>
        <v>33.2292</v>
      </c>
      <c r="F76" s="325"/>
      <c r="G76" s="325"/>
      <c r="H76" s="325"/>
      <c r="I76" s="325"/>
      <c r="J76" s="325"/>
      <c r="K76" s="325"/>
      <c r="L76" s="325"/>
      <c r="M76" s="325"/>
      <c r="N76" s="325"/>
      <c r="O76" s="325"/>
      <c r="P76" s="325">
        <v>33.2292</v>
      </c>
      <c r="Q76" s="325"/>
      <c r="R76" s="325"/>
      <c r="S76" s="325"/>
      <c r="T76" s="325"/>
      <c r="U76" s="325"/>
      <c r="V76" s="325">
        <f t="shared" si="56"/>
        <v>17.05</v>
      </c>
      <c r="W76" s="325"/>
      <c r="X76" s="325"/>
      <c r="Y76" s="325"/>
      <c r="Z76" s="325"/>
      <c r="AA76" s="325"/>
      <c r="AB76" s="325"/>
      <c r="AC76" s="325"/>
      <c r="AD76" s="325"/>
      <c r="AE76" s="325"/>
      <c r="AF76" s="325"/>
      <c r="AG76" s="325">
        <v>6.57</v>
      </c>
      <c r="AH76" s="325"/>
      <c r="AI76" s="325"/>
      <c r="AJ76" s="325"/>
      <c r="AK76" s="325"/>
      <c r="AL76" s="325">
        <v>10.48</v>
      </c>
      <c r="AM76" s="325">
        <f t="shared" si="57"/>
        <v>50.2792</v>
      </c>
      <c r="AN76" s="325">
        <f t="shared" ref="AN76:BC76" si="75">F76+W76</f>
        <v>0</v>
      </c>
      <c r="AO76" s="325">
        <f t="shared" si="75"/>
        <v>0</v>
      </c>
      <c r="AP76" s="325">
        <f t="shared" si="75"/>
        <v>0</v>
      </c>
      <c r="AQ76" s="325">
        <f t="shared" si="75"/>
        <v>0</v>
      </c>
      <c r="AR76" s="325">
        <f t="shared" si="75"/>
        <v>0</v>
      </c>
      <c r="AS76" s="325">
        <f t="shared" si="75"/>
        <v>0</v>
      </c>
      <c r="AT76" s="325">
        <f t="shared" si="75"/>
        <v>0</v>
      </c>
      <c r="AU76" s="325">
        <f t="shared" si="75"/>
        <v>0</v>
      </c>
      <c r="AV76" s="325">
        <f t="shared" si="75"/>
        <v>0</v>
      </c>
      <c r="AW76" s="325">
        <f t="shared" si="75"/>
        <v>0</v>
      </c>
      <c r="AX76" s="325">
        <f t="shared" si="75"/>
        <v>39.7992</v>
      </c>
      <c r="AY76" s="325">
        <f t="shared" si="75"/>
        <v>0</v>
      </c>
      <c r="AZ76" s="325">
        <f t="shared" si="75"/>
        <v>0</v>
      </c>
      <c r="BA76" s="325">
        <f t="shared" si="75"/>
        <v>0</v>
      </c>
      <c r="BB76" s="325">
        <f t="shared" si="75"/>
        <v>0</v>
      </c>
      <c r="BC76" s="325">
        <f t="shared" si="75"/>
        <v>10.48</v>
      </c>
      <c r="BD76" s="342" t="s">
        <v>919</v>
      </c>
      <c r="BE76" s="97"/>
    </row>
    <row r="77" ht="24" spans="1:57">
      <c r="A77" s="304" t="s">
        <v>195</v>
      </c>
      <c r="B77" s="304" t="s">
        <v>442</v>
      </c>
      <c r="C77" s="304" t="s">
        <v>466</v>
      </c>
      <c r="D77" s="304" t="s">
        <v>454</v>
      </c>
      <c r="E77" s="325">
        <f t="shared" si="55"/>
        <v>3.6924</v>
      </c>
      <c r="F77" s="325"/>
      <c r="G77" s="325"/>
      <c r="H77" s="325"/>
      <c r="I77" s="325"/>
      <c r="J77" s="325"/>
      <c r="K77" s="325"/>
      <c r="L77" s="325"/>
      <c r="M77" s="325"/>
      <c r="N77" s="325"/>
      <c r="O77" s="325"/>
      <c r="P77" s="325">
        <v>3.6924</v>
      </c>
      <c r="Q77" s="325"/>
      <c r="R77" s="325"/>
      <c r="S77" s="325"/>
      <c r="T77" s="325"/>
      <c r="U77" s="325"/>
      <c r="V77" s="325">
        <f t="shared" si="56"/>
        <v>0.42</v>
      </c>
      <c r="W77" s="325"/>
      <c r="X77" s="325"/>
      <c r="Y77" s="325"/>
      <c r="Z77" s="325"/>
      <c r="AA77" s="325"/>
      <c r="AB77" s="325"/>
      <c r="AC77" s="325"/>
      <c r="AD77" s="325"/>
      <c r="AE77" s="325"/>
      <c r="AF77" s="325"/>
      <c r="AG77" s="325">
        <v>0.42</v>
      </c>
      <c r="AH77" s="325"/>
      <c r="AI77" s="325"/>
      <c r="AJ77" s="325"/>
      <c r="AK77" s="325"/>
      <c r="AL77" s="325"/>
      <c r="AM77" s="325">
        <f t="shared" si="57"/>
        <v>4.1124</v>
      </c>
      <c r="AN77" s="325">
        <f t="shared" ref="AN77:BC77" si="76">F77+W77</f>
        <v>0</v>
      </c>
      <c r="AO77" s="325">
        <f t="shared" si="76"/>
        <v>0</v>
      </c>
      <c r="AP77" s="325">
        <f t="shared" si="76"/>
        <v>0</v>
      </c>
      <c r="AQ77" s="325">
        <f t="shared" si="76"/>
        <v>0</v>
      </c>
      <c r="AR77" s="325">
        <f t="shared" si="76"/>
        <v>0</v>
      </c>
      <c r="AS77" s="325">
        <f t="shared" si="76"/>
        <v>0</v>
      </c>
      <c r="AT77" s="325">
        <f t="shared" si="76"/>
        <v>0</v>
      </c>
      <c r="AU77" s="325">
        <f t="shared" si="76"/>
        <v>0</v>
      </c>
      <c r="AV77" s="325">
        <f t="shared" si="76"/>
        <v>0</v>
      </c>
      <c r="AW77" s="325">
        <f t="shared" si="76"/>
        <v>0</v>
      </c>
      <c r="AX77" s="325">
        <f t="shared" si="76"/>
        <v>4.1124</v>
      </c>
      <c r="AY77" s="325">
        <f t="shared" si="76"/>
        <v>0</v>
      </c>
      <c r="AZ77" s="325">
        <f t="shared" si="76"/>
        <v>0</v>
      </c>
      <c r="BA77" s="325">
        <f t="shared" si="76"/>
        <v>0</v>
      </c>
      <c r="BB77" s="325">
        <f t="shared" si="76"/>
        <v>0</v>
      </c>
      <c r="BC77" s="325">
        <f t="shared" si="76"/>
        <v>0</v>
      </c>
      <c r="BD77" s="342"/>
      <c r="BE77" s="97"/>
    </row>
    <row r="78" ht="24" spans="1:57">
      <c r="A78" s="304" t="s">
        <v>195</v>
      </c>
      <c r="B78" s="304" t="s">
        <v>442</v>
      </c>
      <c r="C78" s="304" t="s">
        <v>467</v>
      </c>
      <c r="D78" s="304" t="s">
        <v>454</v>
      </c>
      <c r="E78" s="325">
        <f t="shared" si="55"/>
        <v>1.278</v>
      </c>
      <c r="F78" s="325"/>
      <c r="G78" s="325"/>
      <c r="H78" s="325"/>
      <c r="I78" s="325"/>
      <c r="J78" s="325"/>
      <c r="K78" s="325"/>
      <c r="L78" s="325"/>
      <c r="M78" s="325"/>
      <c r="N78" s="325"/>
      <c r="O78" s="325"/>
      <c r="P78" s="325">
        <v>1.278</v>
      </c>
      <c r="Q78" s="325"/>
      <c r="R78" s="325"/>
      <c r="S78" s="325"/>
      <c r="T78" s="325"/>
      <c r="U78" s="325"/>
      <c r="V78" s="325">
        <f t="shared" si="56"/>
        <v>0.16</v>
      </c>
      <c r="W78" s="325"/>
      <c r="X78" s="325"/>
      <c r="Y78" s="325"/>
      <c r="Z78" s="325"/>
      <c r="AA78" s="325"/>
      <c r="AB78" s="325"/>
      <c r="AC78" s="325"/>
      <c r="AD78" s="325"/>
      <c r="AE78" s="325"/>
      <c r="AF78" s="325"/>
      <c r="AG78" s="325">
        <v>0.16</v>
      </c>
      <c r="AH78" s="325"/>
      <c r="AI78" s="325"/>
      <c r="AJ78" s="325"/>
      <c r="AK78" s="325"/>
      <c r="AL78" s="325"/>
      <c r="AM78" s="325">
        <f t="shared" si="57"/>
        <v>1.438</v>
      </c>
      <c r="AN78" s="325">
        <f t="shared" ref="AN78:BC78" si="77">F78+W78</f>
        <v>0</v>
      </c>
      <c r="AO78" s="325">
        <f t="shared" si="77"/>
        <v>0</v>
      </c>
      <c r="AP78" s="325">
        <f t="shared" si="77"/>
        <v>0</v>
      </c>
      <c r="AQ78" s="325">
        <f t="shared" si="77"/>
        <v>0</v>
      </c>
      <c r="AR78" s="325">
        <f t="shared" si="77"/>
        <v>0</v>
      </c>
      <c r="AS78" s="325">
        <f t="shared" si="77"/>
        <v>0</v>
      </c>
      <c r="AT78" s="325">
        <f t="shared" si="77"/>
        <v>0</v>
      </c>
      <c r="AU78" s="325">
        <f t="shared" si="77"/>
        <v>0</v>
      </c>
      <c r="AV78" s="325">
        <f t="shared" si="77"/>
        <v>0</v>
      </c>
      <c r="AW78" s="325">
        <f t="shared" si="77"/>
        <v>0</v>
      </c>
      <c r="AX78" s="325">
        <f t="shared" si="77"/>
        <v>1.438</v>
      </c>
      <c r="AY78" s="325">
        <f t="shared" si="77"/>
        <v>0</v>
      </c>
      <c r="AZ78" s="325">
        <f t="shared" si="77"/>
        <v>0</v>
      </c>
      <c r="BA78" s="325">
        <f t="shared" si="77"/>
        <v>0</v>
      </c>
      <c r="BB78" s="325">
        <f t="shared" si="77"/>
        <v>0</v>
      </c>
      <c r="BC78" s="325">
        <f t="shared" si="77"/>
        <v>0</v>
      </c>
      <c r="BD78" s="342"/>
      <c r="BE78" s="97"/>
    </row>
    <row r="79" ht="24" spans="1:57">
      <c r="A79" s="304" t="s">
        <v>195</v>
      </c>
      <c r="B79" s="304" t="s">
        <v>442</v>
      </c>
      <c r="C79" s="304" t="s">
        <v>468</v>
      </c>
      <c r="D79" s="304" t="s">
        <v>444</v>
      </c>
      <c r="E79" s="325">
        <f t="shared" si="55"/>
        <v>0</v>
      </c>
      <c r="F79" s="325"/>
      <c r="G79" s="325"/>
      <c r="H79" s="325"/>
      <c r="I79" s="325"/>
      <c r="J79" s="325"/>
      <c r="K79" s="325"/>
      <c r="L79" s="325"/>
      <c r="M79" s="325"/>
      <c r="N79" s="325"/>
      <c r="O79" s="325"/>
      <c r="P79" s="325"/>
      <c r="Q79" s="325"/>
      <c r="R79" s="325"/>
      <c r="S79" s="325"/>
      <c r="T79" s="325"/>
      <c r="U79" s="325"/>
      <c r="V79" s="325">
        <f t="shared" si="56"/>
        <v>11.32</v>
      </c>
      <c r="W79" s="325"/>
      <c r="X79" s="325"/>
      <c r="Y79" s="325"/>
      <c r="Z79" s="325"/>
      <c r="AA79" s="325"/>
      <c r="AB79" s="325"/>
      <c r="AC79" s="325"/>
      <c r="AD79" s="325"/>
      <c r="AE79" s="325"/>
      <c r="AF79" s="325"/>
      <c r="AG79" s="325">
        <v>11.32</v>
      </c>
      <c r="AH79" s="325"/>
      <c r="AI79" s="325"/>
      <c r="AJ79" s="325"/>
      <c r="AK79" s="325"/>
      <c r="AL79" s="325"/>
      <c r="AM79" s="325">
        <f t="shared" si="57"/>
        <v>11.32</v>
      </c>
      <c r="AN79" s="325">
        <f t="shared" ref="AN79:BC79" si="78">F79+W79</f>
        <v>0</v>
      </c>
      <c r="AO79" s="325">
        <f t="shared" si="78"/>
        <v>0</v>
      </c>
      <c r="AP79" s="325">
        <f t="shared" si="78"/>
        <v>0</v>
      </c>
      <c r="AQ79" s="325">
        <f t="shared" si="78"/>
        <v>0</v>
      </c>
      <c r="AR79" s="325">
        <f t="shared" si="78"/>
        <v>0</v>
      </c>
      <c r="AS79" s="325">
        <f t="shared" si="78"/>
        <v>0</v>
      </c>
      <c r="AT79" s="325">
        <f t="shared" si="78"/>
        <v>0</v>
      </c>
      <c r="AU79" s="325">
        <f t="shared" si="78"/>
        <v>0</v>
      </c>
      <c r="AV79" s="325">
        <f t="shared" si="78"/>
        <v>0</v>
      </c>
      <c r="AW79" s="325">
        <f t="shared" si="78"/>
        <v>0</v>
      </c>
      <c r="AX79" s="325">
        <f t="shared" si="78"/>
        <v>11.32</v>
      </c>
      <c r="AY79" s="325">
        <f t="shared" si="78"/>
        <v>0</v>
      </c>
      <c r="AZ79" s="325">
        <f t="shared" si="78"/>
        <v>0</v>
      </c>
      <c r="BA79" s="325">
        <f t="shared" si="78"/>
        <v>0</v>
      </c>
      <c r="BB79" s="325">
        <f t="shared" si="78"/>
        <v>0</v>
      </c>
      <c r="BC79" s="325">
        <f t="shared" si="78"/>
        <v>0</v>
      </c>
      <c r="BD79" s="342"/>
      <c r="BE79" s="97"/>
    </row>
    <row r="80" ht="24" spans="1:57">
      <c r="A80" s="304" t="s">
        <v>195</v>
      </c>
      <c r="B80" s="304" t="s">
        <v>442</v>
      </c>
      <c r="C80" s="304" t="s">
        <v>469</v>
      </c>
      <c r="D80" s="304" t="s">
        <v>454</v>
      </c>
      <c r="E80" s="325">
        <f t="shared" si="55"/>
        <v>0</v>
      </c>
      <c r="F80" s="325"/>
      <c r="G80" s="325"/>
      <c r="H80" s="325"/>
      <c r="I80" s="325"/>
      <c r="J80" s="325"/>
      <c r="K80" s="325"/>
      <c r="L80" s="325"/>
      <c r="M80" s="325"/>
      <c r="N80" s="325"/>
      <c r="O80" s="325"/>
      <c r="P80" s="325"/>
      <c r="Q80" s="325"/>
      <c r="R80" s="325"/>
      <c r="S80" s="325"/>
      <c r="T80" s="325"/>
      <c r="U80" s="325"/>
      <c r="V80" s="325">
        <f t="shared" si="56"/>
        <v>0.67</v>
      </c>
      <c r="W80" s="325"/>
      <c r="X80" s="325"/>
      <c r="Y80" s="325"/>
      <c r="Z80" s="325"/>
      <c r="AA80" s="325"/>
      <c r="AB80" s="325"/>
      <c r="AC80" s="325"/>
      <c r="AD80" s="325"/>
      <c r="AE80" s="325"/>
      <c r="AF80" s="325"/>
      <c r="AG80" s="325">
        <v>0.67</v>
      </c>
      <c r="AH80" s="325"/>
      <c r="AI80" s="325"/>
      <c r="AJ80" s="325"/>
      <c r="AK80" s="325"/>
      <c r="AL80" s="325"/>
      <c r="AM80" s="325">
        <f t="shared" si="57"/>
        <v>0.67</v>
      </c>
      <c r="AN80" s="325">
        <f t="shared" ref="AN80:BC80" si="79">F80+W80</f>
        <v>0</v>
      </c>
      <c r="AO80" s="325">
        <f t="shared" si="79"/>
        <v>0</v>
      </c>
      <c r="AP80" s="325">
        <f t="shared" si="79"/>
        <v>0</v>
      </c>
      <c r="AQ80" s="325">
        <f t="shared" si="79"/>
        <v>0</v>
      </c>
      <c r="AR80" s="325">
        <f t="shared" si="79"/>
        <v>0</v>
      </c>
      <c r="AS80" s="325">
        <f t="shared" si="79"/>
        <v>0</v>
      </c>
      <c r="AT80" s="325">
        <f t="shared" si="79"/>
        <v>0</v>
      </c>
      <c r="AU80" s="325">
        <f t="shared" si="79"/>
        <v>0</v>
      </c>
      <c r="AV80" s="325">
        <f t="shared" si="79"/>
        <v>0</v>
      </c>
      <c r="AW80" s="325">
        <f t="shared" si="79"/>
        <v>0</v>
      </c>
      <c r="AX80" s="325">
        <f t="shared" si="79"/>
        <v>0.67</v>
      </c>
      <c r="AY80" s="325">
        <f t="shared" si="79"/>
        <v>0</v>
      </c>
      <c r="AZ80" s="325">
        <f t="shared" si="79"/>
        <v>0</v>
      </c>
      <c r="BA80" s="325">
        <f t="shared" si="79"/>
        <v>0</v>
      </c>
      <c r="BB80" s="325">
        <f t="shared" si="79"/>
        <v>0</v>
      </c>
      <c r="BC80" s="325">
        <f t="shared" si="79"/>
        <v>0</v>
      </c>
      <c r="BD80" s="342"/>
      <c r="BE80" s="97"/>
    </row>
    <row r="81" ht="24" spans="1:57">
      <c r="A81" s="304" t="s">
        <v>195</v>
      </c>
      <c r="B81" s="304" t="s">
        <v>442</v>
      </c>
      <c r="C81" s="304" t="s">
        <v>470</v>
      </c>
      <c r="D81" s="304" t="s">
        <v>454</v>
      </c>
      <c r="E81" s="325">
        <f t="shared" si="55"/>
        <v>17.466</v>
      </c>
      <c r="F81" s="325"/>
      <c r="G81" s="325"/>
      <c r="H81" s="325"/>
      <c r="I81" s="325"/>
      <c r="J81" s="325"/>
      <c r="K81" s="325"/>
      <c r="L81" s="325"/>
      <c r="M81" s="325"/>
      <c r="N81" s="325"/>
      <c r="O81" s="325"/>
      <c r="P81" s="325">
        <v>17.466</v>
      </c>
      <c r="Q81" s="325"/>
      <c r="R81" s="325"/>
      <c r="S81" s="325"/>
      <c r="T81" s="325"/>
      <c r="U81" s="325"/>
      <c r="V81" s="325">
        <f t="shared" si="56"/>
        <v>1.72</v>
      </c>
      <c r="W81" s="325"/>
      <c r="X81" s="325"/>
      <c r="Y81" s="325"/>
      <c r="Z81" s="325"/>
      <c r="AA81" s="325"/>
      <c r="AB81" s="325"/>
      <c r="AC81" s="325"/>
      <c r="AD81" s="325"/>
      <c r="AE81" s="325"/>
      <c r="AF81" s="325"/>
      <c r="AG81" s="325">
        <v>1.72</v>
      </c>
      <c r="AH81" s="325"/>
      <c r="AI81" s="325"/>
      <c r="AJ81" s="325"/>
      <c r="AK81" s="325"/>
      <c r="AL81" s="325"/>
      <c r="AM81" s="325">
        <f t="shared" si="57"/>
        <v>19.186</v>
      </c>
      <c r="AN81" s="325">
        <f t="shared" ref="AN81:BC81" si="80">F81+W81</f>
        <v>0</v>
      </c>
      <c r="AO81" s="325">
        <f t="shared" si="80"/>
        <v>0</v>
      </c>
      <c r="AP81" s="325">
        <f t="shared" si="80"/>
        <v>0</v>
      </c>
      <c r="AQ81" s="325">
        <f t="shared" si="80"/>
        <v>0</v>
      </c>
      <c r="AR81" s="325">
        <f t="shared" si="80"/>
        <v>0</v>
      </c>
      <c r="AS81" s="325">
        <f t="shared" si="80"/>
        <v>0</v>
      </c>
      <c r="AT81" s="325">
        <f t="shared" si="80"/>
        <v>0</v>
      </c>
      <c r="AU81" s="325">
        <f t="shared" si="80"/>
        <v>0</v>
      </c>
      <c r="AV81" s="325">
        <f t="shared" si="80"/>
        <v>0</v>
      </c>
      <c r="AW81" s="325">
        <f t="shared" si="80"/>
        <v>0</v>
      </c>
      <c r="AX81" s="325">
        <f t="shared" si="80"/>
        <v>19.186</v>
      </c>
      <c r="AY81" s="325">
        <f t="shared" si="80"/>
        <v>0</v>
      </c>
      <c r="AZ81" s="325">
        <f t="shared" si="80"/>
        <v>0</v>
      </c>
      <c r="BA81" s="325">
        <f t="shared" si="80"/>
        <v>0</v>
      </c>
      <c r="BB81" s="325">
        <f t="shared" si="80"/>
        <v>0</v>
      </c>
      <c r="BC81" s="325">
        <f t="shared" si="80"/>
        <v>0</v>
      </c>
      <c r="BD81" s="342"/>
      <c r="BE81" s="97"/>
    </row>
    <row r="82" ht="24" spans="1:57">
      <c r="A82" s="304" t="s">
        <v>195</v>
      </c>
      <c r="B82" s="304" t="s">
        <v>442</v>
      </c>
      <c r="C82" s="304" t="s">
        <v>471</v>
      </c>
      <c r="D82" s="304" t="s">
        <v>444</v>
      </c>
      <c r="E82" s="325">
        <f t="shared" si="55"/>
        <v>51.76</v>
      </c>
      <c r="F82" s="325"/>
      <c r="G82" s="325"/>
      <c r="H82" s="325"/>
      <c r="I82" s="325"/>
      <c r="J82" s="325"/>
      <c r="K82" s="325"/>
      <c r="L82" s="325"/>
      <c r="M82" s="325"/>
      <c r="N82" s="325"/>
      <c r="O82" s="325"/>
      <c r="P82" s="325">
        <v>51.76</v>
      </c>
      <c r="Q82" s="325"/>
      <c r="R82" s="325"/>
      <c r="S82" s="325"/>
      <c r="T82" s="325"/>
      <c r="U82" s="325"/>
      <c r="V82" s="325">
        <f t="shared" si="56"/>
        <v>5.71</v>
      </c>
      <c r="W82" s="325"/>
      <c r="X82" s="325"/>
      <c r="Y82" s="325"/>
      <c r="Z82" s="325"/>
      <c r="AA82" s="325"/>
      <c r="AB82" s="325"/>
      <c r="AC82" s="325"/>
      <c r="AD82" s="325"/>
      <c r="AE82" s="325"/>
      <c r="AF82" s="325"/>
      <c r="AG82" s="325">
        <v>5.71</v>
      </c>
      <c r="AH82" s="325"/>
      <c r="AI82" s="325"/>
      <c r="AJ82" s="325"/>
      <c r="AK82" s="325"/>
      <c r="AL82" s="325"/>
      <c r="AM82" s="325">
        <f t="shared" si="57"/>
        <v>57.47</v>
      </c>
      <c r="AN82" s="325">
        <f t="shared" ref="AN82:BC82" si="81">F82+W82</f>
        <v>0</v>
      </c>
      <c r="AO82" s="325">
        <f t="shared" si="81"/>
        <v>0</v>
      </c>
      <c r="AP82" s="325">
        <f t="shared" si="81"/>
        <v>0</v>
      </c>
      <c r="AQ82" s="325">
        <f t="shared" si="81"/>
        <v>0</v>
      </c>
      <c r="AR82" s="325">
        <f t="shared" si="81"/>
        <v>0</v>
      </c>
      <c r="AS82" s="325">
        <f t="shared" si="81"/>
        <v>0</v>
      </c>
      <c r="AT82" s="325">
        <f t="shared" si="81"/>
        <v>0</v>
      </c>
      <c r="AU82" s="325">
        <f t="shared" si="81"/>
        <v>0</v>
      </c>
      <c r="AV82" s="325">
        <f t="shared" si="81"/>
        <v>0</v>
      </c>
      <c r="AW82" s="325">
        <f t="shared" si="81"/>
        <v>0</v>
      </c>
      <c r="AX82" s="325">
        <f t="shared" si="81"/>
        <v>57.47</v>
      </c>
      <c r="AY82" s="325">
        <f t="shared" si="81"/>
        <v>0</v>
      </c>
      <c r="AZ82" s="325">
        <f t="shared" si="81"/>
        <v>0</v>
      </c>
      <c r="BA82" s="325">
        <f t="shared" si="81"/>
        <v>0</v>
      </c>
      <c r="BB82" s="325">
        <f t="shared" si="81"/>
        <v>0</v>
      </c>
      <c r="BC82" s="325">
        <f t="shared" si="81"/>
        <v>0</v>
      </c>
      <c r="BD82" s="342"/>
      <c r="BE82" s="97"/>
    </row>
    <row r="83" ht="24" spans="1:57">
      <c r="A83" s="304" t="s">
        <v>195</v>
      </c>
      <c r="B83" s="304" t="s">
        <v>442</v>
      </c>
      <c r="C83" s="304" t="s">
        <v>472</v>
      </c>
      <c r="D83" s="304" t="s">
        <v>444</v>
      </c>
      <c r="E83" s="325">
        <f t="shared" si="55"/>
        <v>36.5664</v>
      </c>
      <c r="F83" s="325"/>
      <c r="G83" s="325"/>
      <c r="H83" s="325"/>
      <c r="I83" s="325"/>
      <c r="J83" s="325"/>
      <c r="K83" s="325"/>
      <c r="L83" s="325"/>
      <c r="M83" s="325"/>
      <c r="N83" s="325"/>
      <c r="O83" s="325"/>
      <c r="P83" s="325">
        <v>36.5664</v>
      </c>
      <c r="Q83" s="325"/>
      <c r="R83" s="325"/>
      <c r="S83" s="325"/>
      <c r="T83" s="325"/>
      <c r="U83" s="325"/>
      <c r="V83" s="325">
        <f t="shared" si="56"/>
        <v>7.77</v>
      </c>
      <c r="W83" s="325"/>
      <c r="X83" s="325"/>
      <c r="Y83" s="325"/>
      <c r="Z83" s="325"/>
      <c r="AA83" s="325"/>
      <c r="AB83" s="325"/>
      <c r="AC83" s="325"/>
      <c r="AD83" s="325"/>
      <c r="AE83" s="325"/>
      <c r="AF83" s="325"/>
      <c r="AG83" s="325">
        <v>7.77</v>
      </c>
      <c r="AH83" s="325"/>
      <c r="AI83" s="325"/>
      <c r="AJ83" s="325"/>
      <c r="AK83" s="325"/>
      <c r="AL83" s="325"/>
      <c r="AM83" s="325">
        <f t="shared" si="57"/>
        <v>44.3364</v>
      </c>
      <c r="AN83" s="325">
        <f t="shared" ref="AN83:BC83" si="82">F83+W83</f>
        <v>0</v>
      </c>
      <c r="AO83" s="325">
        <f t="shared" si="82"/>
        <v>0</v>
      </c>
      <c r="AP83" s="325">
        <f t="shared" si="82"/>
        <v>0</v>
      </c>
      <c r="AQ83" s="325">
        <f t="shared" si="82"/>
        <v>0</v>
      </c>
      <c r="AR83" s="325">
        <f t="shared" si="82"/>
        <v>0</v>
      </c>
      <c r="AS83" s="325">
        <f t="shared" si="82"/>
        <v>0</v>
      </c>
      <c r="AT83" s="325">
        <f t="shared" si="82"/>
        <v>0</v>
      </c>
      <c r="AU83" s="325">
        <f t="shared" si="82"/>
        <v>0</v>
      </c>
      <c r="AV83" s="325">
        <f t="shared" si="82"/>
        <v>0</v>
      </c>
      <c r="AW83" s="325">
        <f t="shared" si="82"/>
        <v>0</v>
      </c>
      <c r="AX83" s="325">
        <f t="shared" si="82"/>
        <v>44.3364</v>
      </c>
      <c r="AY83" s="325">
        <f t="shared" si="82"/>
        <v>0</v>
      </c>
      <c r="AZ83" s="325">
        <f t="shared" si="82"/>
        <v>0</v>
      </c>
      <c r="BA83" s="325">
        <f t="shared" si="82"/>
        <v>0</v>
      </c>
      <c r="BB83" s="325">
        <f t="shared" si="82"/>
        <v>0</v>
      </c>
      <c r="BC83" s="325">
        <f t="shared" si="82"/>
        <v>0</v>
      </c>
      <c r="BD83" s="342"/>
      <c r="BE83" s="97"/>
    </row>
    <row r="84" ht="24" spans="1:57">
      <c r="A84" s="304" t="s">
        <v>195</v>
      </c>
      <c r="B84" s="304" t="s">
        <v>442</v>
      </c>
      <c r="C84" s="304" t="s">
        <v>473</v>
      </c>
      <c r="D84" s="304" t="s">
        <v>444</v>
      </c>
      <c r="E84" s="325">
        <f t="shared" si="55"/>
        <v>11.5</v>
      </c>
      <c r="F84" s="325"/>
      <c r="G84" s="325"/>
      <c r="H84" s="325"/>
      <c r="I84" s="325"/>
      <c r="J84" s="325"/>
      <c r="K84" s="325"/>
      <c r="L84" s="325"/>
      <c r="M84" s="325"/>
      <c r="N84" s="325"/>
      <c r="O84" s="325"/>
      <c r="P84" s="325">
        <v>11.5</v>
      </c>
      <c r="Q84" s="325"/>
      <c r="R84" s="325"/>
      <c r="S84" s="325"/>
      <c r="T84" s="325"/>
      <c r="U84" s="325"/>
      <c r="V84" s="325">
        <f t="shared" si="56"/>
        <v>0.66</v>
      </c>
      <c r="W84" s="325"/>
      <c r="X84" s="325"/>
      <c r="Y84" s="325"/>
      <c r="Z84" s="325"/>
      <c r="AA84" s="325"/>
      <c r="AB84" s="325"/>
      <c r="AC84" s="325"/>
      <c r="AD84" s="325"/>
      <c r="AE84" s="325"/>
      <c r="AF84" s="325"/>
      <c r="AG84" s="325">
        <v>0.66</v>
      </c>
      <c r="AH84" s="325"/>
      <c r="AI84" s="325"/>
      <c r="AJ84" s="325"/>
      <c r="AK84" s="325"/>
      <c r="AL84" s="325"/>
      <c r="AM84" s="325">
        <f t="shared" si="57"/>
        <v>12.16</v>
      </c>
      <c r="AN84" s="325">
        <f t="shared" ref="AN84:BC84" si="83">F84+W84</f>
        <v>0</v>
      </c>
      <c r="AO84" s="325">
        <f t="shared" si="83"/>
        <v>0</v>
      </c>
      <c r="AP84" s="325">
        <f t="shared" si="83"/>
        <v>0</v>
      </c>
      <c r="AQ84" s="325">
        <f t="shared" si="83"/>
        <v>0</v>
      </c>
      <c r="AR84" s="325">
        <f t="shared" si="83"/>
        <v>0</v>
      </c>
      <c r="AS84" s="325">
        <f t="shared" si="83"/>
        <v>0</v>
      </c>
      <c r="AT84" s="325">
        <f t="shared" si="83"/>
        <v>0</v>
      </c>
      <c r="AU84" s="325">
        <f t="shared" si="83"/>
        <v>0</v>
      </c>
      <c r="AV84" s="325">
        <f t="shared" si="83"/>
        <v>0</v>
      </c>
      <c r="AW84" s="325">
        <f t="shared" si="83"/>
        <v>0</v>
      </c>
      <c r="AX84" s="325">
        <f t="shared" si="83"/>
        <v>12.16</v>
      </c>
      <c r="AY84" s="325">
        <f t="shared" si="83"/>
        <v>0</v>
      </c>
      <c r="AZ84" s="325">
        <f t="shared" si="83"/>
        <v>0</v>
      </c>
      <c r="BA84" s="325">
        <f t="shared" si="83"/>
        <v>0</v>
      </c>
      <c r="BB84" s="325">
        <f t="shared" si="83"/>
        <v>0</v>
      </c>
      <c r="BC84" s="325">
        <f t="shared" si="83"/>
        <v>0</v>
      </c>
      <c r="BD84" s="342"/>
      <c r="BE84" s="97"/>
    </row>
    <row r="85" ht="24" spans="1:57">
      <c r="A85" s="304" t="s">
        <v>195</v>
      </c>
      <c r="B85" s="304" t="s">
        <v>442</v>
      </c>
      <c r="C85" s="304" t="s">
        <v>474</v>
      </c>
      <c r="D85" s="304" t="s">
        <v>454</v>
      </c>
      <c r="E85" s="325">
        <f t="shared" si="55"/>
        <v>6.816</v>
      </c>
      <c r="F85" s="325"/>
      <c r="G85" s="325"/>
      <c r="H85" s="325"/>
      <c r="I85" s="325"/>
      <c r="J85" s="325"/>
      <c r="K85" s="325"/>
      <c r="L85" s="325"/>
      <c r="M85" s="325"/>
      <c r="N85" s="325"/>
      <c r="O85" s="325"/>
      <c r="P85" s="325">
        <v>6.816</v>
      </c>
      <c r="Q85" s="325"/>
      <c r="R85" s="325"/>
      <c r="S85" s="325"/>
      <c r="T85" s="325"/>
      <c r="U85" s="325"/>
      <c r="V85" s="325">
        <f t="shared" si="56"/>
        <v>-0.84</v>
      </c>
      <c r="W85" s="325"/>
      <c r="X85" s="325"/>
      <c r="Y85" s="325"/>
      <c r="Z85" s="325"/>
      <c r="AA85" s="325"/>
      <c r="AB85" s="325"/>
      <c r="AC85" s="325"/>
      <c r="AD85" s="325"/>
      <c r="AE85" s="325"/>
      <c r="AF85" s="325"/>
      <c r="AG85" s="325">
        <v>-0.84</v>
      </c>
      <c r="AH85" s="325"/>
      <c r="AI85" s="325"/>
      <c r="AJ85" s="325"/>
      <c r="AK85" s="325"/>
      <c r="AL85" s="325"/>
      <c r="AM85" s="325">
        <f t="shared" si="57"/>
        <v>5.976</v>
      </c>
      <c r="AN85" s="325">
        <f t="shared" ref="AN85:BC85" si="84">F85+W85</f>
        <v>0</v>
      </c>
      <c r="AO85" s="325">
        <f t="shared" si="84"/>
        <v>0</v>
      </c>
      <c r="AP85" s="325">
        <f t="shared" si="84"/>
        <v>0</v>
      </c>
      <c r="AQ85" s="325">
        <f t="shared" si="84"/>
        <v>0</v>
      </c>
      <c r="AR85" s="325">
        <f t="shared" si="84"/>
        <v>0</v>
      </c>
      <c r="AS85" s="325">
        <f t="shared" si="84"/>
        <v>0</v>
      </c>
      <c r="AT85" s="325">
        <f t="shared" si="84"/>
        <v>0</v>
      </c>
      <c r="AU85" s="325">
        <f t="shared" si="84"/>
        <v>0</v>
      </c>
      <c r="AV85" s="325">
        <f t="shared" si="84"/>
        <v>0</v>
      </c>
      <c r="AW85" s="325">
        <f t="shared" si="84"/>
        <v>0</v>
      </c>
      <c r="AX85" s="325">
        <f t="shared" si="84"/>
        <v>5.976</v>
      </c>
      <c r="AY85" s="325">
        <f t="shared" si="84"/>
        <v>0</v>
      </c>
      <c r="AZ85" s="325">
        <f t="shared" si="84"/>
        <v>0</v>
      </c>
      <c r="BA85" s="325">
        <f t="shared" si="84"/>
        <v>0</v>
      </c>
      <c r="BB85" s="325">
        <f t="shared" si="84"/>
        <v>0</v>
      </c>
      <c r="BC85" s="325">
        <f t="shared" si="84"/>
        <v>0</v>
      </c>
      <c r="BD85" s="342"/>
      <c r="BE85" s="97"/>
    </row>
    <row r="86" ht="24" spans="1:57">
      <c r="A86" s="304" t="s">
        <v>195</v>
      </c>
      <c r="B86" s="304" t="s">
        <v>442</v>
      </c>
      <c r="C86" s="304" t="s">
        <v>475</v>
      </c>
      <c r="D86" s="304" t="s">
        <v>444</v>
      </c>
      <c r="E86" s="325">
        <f t="shared" si="55"/>
        <v>18.744</v>
      </c>
      <c r="F86" s="325"/>
      <c r="G86" s="325"/>
      <c r="H86" s="325"/>
      <c r="I86" s="325"/>
      <c r="J86" s="325"/>
      <c r="K86" s="325"/>
      <c r="L86" s="325"/>
      <c r="M86" s="325"/>
      <c r="N86" s="325"/>
      <c r="O86" s="325"/>
      <c r="P86" s="325">
        <v>18.744</v>
      </c>
      <c r="Q86" s="325"/>
      <c r="R86" s="325"/>
      <c r="S86" s="325"/>
      <c r="T86" s="325"/>
      <c r="U86" s="325"/>
      <c r="V86" s="325">
        <f t="shared" si="56"/>
        <v>2.48</v>
      </c>
      <c r="W86" s="325"/>
      <c r="X86" s="325"/>
      <c r="Y86" s="325"/>
      <c r="Z86" s="325"/>
      <c r="AA86" s="325"/>
      <c r="AB86" s="325"/>
      <c r="AC86" s="325"/>
      <c r="AD86" s="325"/>
      <c r="AE86" s="325"/>
      <c r="AF86" s="325"/>
      <c r="AG86" s="325">
        <v>2.48</v>
      </c>
      <c r="AH86" s="325"/>
      <c r="AI86" s="325"/>
      <c r="AJ86" s="325"/>
      <c r="AK86" s="325"/>
      <c r="AL86" s="325"/>
      <c r="AM86" s="325">
        <f t="shared" si="57"/>
        <v>21.224</v>
      </c>
      <c r="AN86" s="325">
        <f t="shared" ref="AN86:BC86" si="85">F86+W86</f>
        <v>0</v>
      </c>
      <c r="AO86" s="325">
        <f t="shared" si="85"/>
        <v>0</v>
      </c>
      <c r="AP86" s="325">
        <f t="shared" si="85"/>
        <v>0</v>
      </c>
      <c r="AQ86" s="325">
        <f t="shared" si="85"/>
        <v>0</v>
      </c>
      <c r="AR86" s="325">
        <f t="shared" si="85"/>
        <v>0</v>
      </c>
      <c r="AS86" s="325">
        <f t="shared" si="85"/>
        <v>0</v>
      </c>
      <c r="AT86" s="325">
        <f t="shared" si="85"/>
        <v>0</v>
      </c>
      <c r="AU86" s="325">
        <f t="shared" si="85"/>
        <v>0</v>
      </c>
      <c r="AV86" s="325">
        <f t="shared" si="85"/>
        <v>0</v>
      </c>
      <c r="AW86" s="325">
        <f t="shared" si="85"/>
        <v>0</v>
      </c>
      <c r="AX86" s="325">
        <f t="shared" si="85"/>
        <v>21.224</v>
      </c>
      <c r="AY86" s="325">
        <f t="shared" si="85"/>
        <v>0</v>
      </c>
      <c r="AZ86" s="325">
        <f t="shared" si="85"/>
        <v>0</v>
      </c>
      <c r="BA86" s="325">
        <f t="shared" si="85"/>
        <v>0</v>
      </c>
      <c r="BB86" s="325">
        <f t="shared" si="85"/>
        <v>0</v>
      </c>
      <c r="BC86" s="325">
        <f t="shared" si="85"/>
        <v>0</v>
      </c>
      <c r="BD86" s="342"/>
      <c r="BE86" s="97"/>
    </row>
    <row r="87" ht="24" spans="1:57">
      <c r="A87" s="304" t="s">
        <v>195</v>
      </c>
      <c r="B87" s="304" t="s">
        <v>442</v>
      </c>
      <c r="C87" s="304" t="s">
        <v>476</v>
      </c>
      <c r="D87" s="304" t="s">
        <v>454</v>
      </c>
      <c r="E87" s="325">
        <f t="shared" si="55"/>
        <v>6.99</v>
      </c>
      <c r="F87" s="325"/>
      <c r="G87" s="325"/>
      <c r="H87" s="325"/>
      <c r="I87" s="325"/>
      <c r="J87" s="325"/>
      <c r="K87" s="325"/>
      <c r="L87" s="325"/>
      <c r="M87" s="325"/>
      <c r="N87" s="325"/>
      <c r="O87" s="325"/>
      <c r="P87" s="325">
        <v>6.99</v>
      </c>
      <c r="Q87" s="325"/>
      <c r="R87" s="325"/>
      <c r="S87" s="325"/>
      <c r="T87" s="325"/>
      <c r="U87" s="325"/>
      <c r="V87" s="325">
        <f t="shared" si="56"/>
        <v>1.99</v>
      </c>
      <c r="W87" s="325"/>
      <c r="X87" s="325"/>
      <c r="Y87" s="325"/>
      <c r="Z87" s="325"/>
      <c r="AA87" s="325"/>
      <c r="AB87" s="325"/>
      <c r="AC87" s="325"/>
      <c r="AD87" s="325"/>
      <c r="AE87" s="325"/>
      <c r="AF87" s="325"/>
      <c r="AG87" s="325">
        <v>1.99</v>
      </c>
      <c r="AH87" s="325"/>
      <c r="AI87" s="325"/>
      <c r="AJ87" s="325"/>
      <c r="AK87" s="325"/>
      <c r="AL87" s="325"/>
      <c r="AM87" s="325">
        <f t="shared" si="57"/>
        <v>8.98</v>
      </c>
      <c r="AN87" s="325">
        <f t="shared" ref="AN87:BC87" si="86">F87+W87</f>
        <v>0</v>
      </c>
      <c r="AO87" s="325">
        <f t="shared" si="86"/>
        <v>0</v>
      </c>
      <c r="AP87" s="325">
        <f t="shared" si="86"/>
        <v>0</v>
      </c>
      <c r="AQ87" s="325">
        <f t="shared" si="86"/>
        <v>0</v>
      </c>
      <c r="AR87" s="325">
        <f t="shared" si="86"/>
        <v>0</v>
      </c>
      <c r="AS87" s="325">
        <f t="shared" si="86"/>
        <v>0</v>
      </c>
      <c r="AT87" s="325">
        <f t="shared" si="86"/>
        <v>0</v>
      </c>
      <c r="AU87" s="325">
        <f t="shared" si="86"/>
        <v>0</v>
      </c>
      <c r="AV87" s="325">
        <f t="shared" si="86"/>
        <v>0</v>
      </c>
      <c r="AW87" s="325">
        <f t="shared" si="86"/>
        <v>0</v>
      </c>
      <c r="AX87" s="325">
        <f t="shared" si="86"/>
        <v>8.98</v>
      </c>
      <c r="AY87" s="325">
        <f t="shared" si="86"/>
        <v>0</v>
      </c>
      <c r="AZ87" s="325">
        <f t="shared" si="86"/>
        <v>0</v>
      </c>
      <c r="BA87" s="325">
        <f t="shared" si="86"/>
        <v>0</v>
      </c>
      <c r="BB87" s="325">
        <f t="shared" si="86"/>
        <v>0</v>
      </c>
      <c r="BC87" s="325">
        <f t="shared" si="86"/>
        <v>0</v>
      </c>
      <c r="BD87" s="342"/>
      <c r="BE87" s="97"/>
    </row>
    <row r="88" ht="24" spans="1:57">
      <c r="A88" s="304" t="s">
        <v>195</v>
      </c>
      <c r="B88" s="304" t="s">
        <v>442</v>
      </c>
      <c r="C88" s="304" t="s">
        <v>477</v>
      </c>
      <c r="D88" s="304" t="s">
        <v>444</v>
      </c>
      <c r="E88" s="325">
        <f t="shared" si="55"/>
        <v>18.74</v>
      </c>
      <c r="F88" s="325"/>
      <c r="G88" s="325"/>
      <c r="H88" s="325"/>
      <c r="I88" s="325"/>
      <c r="J88" s="325"/>
      <c r="K88" s="325"/>
      <c r="L88" s="325"/>
      <c r="M88" s="325"/>
      <c r="N88" s="325"/>
      <c r="O88" s="325"/>
      <c r="P88" s="325">
        <v>18.74</v>
      </c>
      <c r="Q88" s="325"/>
      <c r="R88" s="325"/>
      <c r="S88" s="325"/>
      <c r="T88" s="325"/>
      <c r="U88" s="325"/>
      <c r="V88" s="325">
        <f t="shared" si="56"/>
        <v>3.48</v>
      </c>
      <c r="W88" s="325"/>
      <c r="X88" s="325"/>
      <c r="Y88" s="325"/>
      <c r="Z88" s="325"/>
      <c r="AA88" s="325"/>
      <c r="AB88" s="325"/>
      <c r="AC88" s="325"/>
      <c r="AD88" s="325"/>
      <c r="AE88" s="325"/>
      <c r="AF88" s="325"/>
      <c r="AG88" s="325">
        <v>3.48</v>
      </c>
      <c r="AH88" s="325"/>
      <c r="AI88" s="325"/>
      <c r="AJ88" s="325"/>
      <c r="AK88" s="325"/>
      <c r="AL88" s="325"/>
      <c r="AM88" s="325">
        <f t="shared" si="57"/>
        <v>22.22</v>
      </c>
      <c r="AN88" s="325">
        <f t="shared" ref="AN88:BC88" si="87">F88+W88</f>
        <v>0</v>
      </c>
      <c r="AO88" s="325">
        <f t="shared" si="87"/>
        <v>0</v>
      </c>
      <c r="AP88" s="325">
        <f t="shared" si="87"/>
        <v>0</v>
      </c>
      <c r="AQ88" s="325">
        <f t="shared" si="87"/>
        <v>0</v>
      </c>
      <c r="AR88" s="325">
        <f t="shared" si="87"/>
        <v>0</v>
      </c>
      <c r="AS88" s="325">
        <f t="shared" si="87"/>
        <v>0</v>
      </c>
      <c r="AT88" s="325">
        <f t="shared" si="87"/>
        <v>0</v>
      </c>
      <c r="AU88" s="325">
        <f t="shared" si="87"/>
        <v>0</v>
      </c>
      <c r="AV88" s="325">
        <f t="shared" si="87"/>
        <v>0</v>
      </c>
      <c r="AW88" s="325">
        <f t="shared" si="87"/>
        <v>0</v>
      </c>
      <c r="AX88" s="325">
        <f t="shared" si="87"/>
        <v>22.22</v>
      </c>
      <c r="AY88" s="325">
        <f t="shared" si="87"/>
        <v>0</v>
      </c>
      <c r="AZ88" s="325">
        <f t="shared" si="87"/>
        <v>0</v>
      </c>
      <c r="BA88" s="325">
        <f t="shared" si="87"/>
        <v>0</v>
      </c>
      <c r="BB88" s="325">
        <f t="shared" si="87"/>
        <v>0</v>
      </c>
      <c r="BC88" s="325">
        <f t="shared" si="87"/>
        <v>0</v>
      </c>
      <c r="BD88" s="342"/>
      <c r="BE88" s="97"/>
    </row>
    <row r="89" ht="24" spans="1:57">
      <c r="A89" s="304" t="s">
        <v>195</v>
      </c>
      <c r="B89" s="304" t="s">
        <v>442</v>
      </c>
      <c r="C89" s="304" t="s">
        <v>480</v>
      </c>
      <c r="D89" s="304" t="s">
        <v>454</v>
      </c>
      <c r="E89" s="325">
        <f t="shared" si="55"/>
        <v>1.6188</v>
      </c>
      <c r="F89" s="325"/>
      <c r="G89" s="325"/>
      <c r="H89" s="325"/>
      <c r="I89" s="325"/>
      <c r="J89" s="325"/>
      <c r="K89" s="325"/>
      <c r="L89" s="325"/>
      <c r="M89" s="325"/>
      <c r="N89" s="325"/>
      <c r="O89" s="325"/>
      <c r="P89" s="325">
        <v>1.6188</v>
      </c>
      <c r="Q89" s="325"/>
      <c r="R89" s="325"/>
      <c r="S89" s="325"/>
      <c r="T89" s="325"/>
      <c r="U89" s="325"/>
      <c r="V89" s="325">
        <f t="shared" si="56"/>
        <v>0.21</v>
      </c>
      <c r="W89" s="325"/>
      <c r="X89" s="325"/>
      <c r="Y89" s="325"/>
      <c r="Z89" s="325"/>
      <c r="AA89" s="325"/>
      <c r="AB89" s="325"/>
      <c r="AC89" s="325"/>
      <c r="AD89" s="325"/>
      <c r="AE89" s="325"/>
      <c r="AF89" s="325"/>
      <c r="AG89" s="325">
        <v>0.21</v>
      </c>
      <c r="AH89" s="325"/>
      <c r="AI89" s="325"/>
      <c r="AJ89" s="325"/>
      <c r="AK89" s="325"/>
      <c r="AL89" s="325"/>
      <c r="AM89" s="325">
        <f t="shared" si="57"/>
        <v>1.8288</v>
      </c>
      <c r="AN89" s="325">
        <f t="shared" ref="AN89:BC89" si="88">F89+W89</f>
        <v>0</v>
      </c>
      <c r="AO89" s="325">
        <f t="shared" si="88"/>
        <v>0</v>
      </c>
      <c r="AP89" s="325">
        <f t="shared" si="88"/>
        <v>0</v>
      </c>
      <c r="AQ89" s="325">
        <f t="shared" si="88"/>
        <v>0</v>
      </c>
      <c r="AR89" s="325">
        <f t="shared" si="88"/>
        <v>0</v>
      </c>
      <c r="AS89" s="325">
        <f t="shared" si="88"/>
        <v>0</v>
      </c>
      <c r="AT89" s="325">
        <f t="shared" si="88"/>
        <v>0</v>
      </c>
      <c r="AU89" s="325">
        <f t="shared" si="88"/>
        <v>0</v>
      </c>
      <c r="AV89" s="325">
        <f t="shared" si="88"/>
        <v>0</v>
      </c>
      <c r="AW89" s="325">
        <f t="shared" si="88"/>
        <v>0</v>
      </c>
      <c r="AX89" s="325">
        <f t="shared" si="88"/>
        <v>1.8288</v>
      </c>
      <c r="AY89" s="325">
        <f t="shared" si="88"/>
        <v>0</v>
      </c>
      <c r="AZ89" s="325">
        <f t="shared" si="88"/>
        <v>0</v>
      </c>
      <c r="BA89" s="325">
        <f t="shared" si="88"/>
        <v>0</v>
      </c>
      <c r="BB89" s="325">
        <f t="shared" si="88"/>
        <v>0</v>
      </c>
      <c r="BC89" s="325">
        <f t="shared" si="88"/>
        <v>0</v>
      </c>
      <c r="BD89" s="342"/>
      <c r="BE89" s="97"/>
    </row>
    <row r="90" ht="24" spans="1:57">
      <c r="A90" s="304" t="s">
        <v>195</v>
      </c>
      <c r="B90" s="304" t="s">
        <v>442</v>
      </c>
      <c r="C90" s="304" t="s">
        <v>481</v>
      </c>
      <c r="D90" s="304" t="s">
        <v>444</v>
      </c>
      <c r="E90" s="325">
        <f t="shared" si="55"/>
        <v>11.5</v>
      </c>
      <c r="F90" s="325"/>
      <c r="G90" s="325"/>
      <c r="H90" s="325"/>
      <c r="I90" s="325"/>
      <c r="J90" s="325"/>
      <c r="K90" s="325"/>
      <c r="L90" s="325"/>
      <c r="M90" s="325"/>
      <c r="N90" s="325"/>
      <c r="O90" s="325"/>
      <c r="P90" s="325">
        <v>11.5</v>
      </c>
      <c r="Q90" s="325"/>
      <c r="R90" s="325"/>
      <c r="S90" s="325"/>
      <c r="T90" s="325"/>
      <c r="U90" s="325"/>
      <c r="V90" s="325">
        <f t="shared" si="56"/>
        <v>-0.91</v>
      </c>
      <c r="W90" s="325"/>
      <c r="X90" s="325"/>
      <c r="Y90" s="325"/>
      <c r="Z90" s="325"/>
      <c r="AA90" s="325"/>
      <c r="AB90" s="325"/>
      <c r="AC90" s="325"/>
      <c r="AD90" s="325"/>
      <c r="AE90" s="325"/>
      <c r="AF90" s="325"/>
      <c r="AG90" s="325">
        <v>-0.91</v>
      </c>
      <c r="AH90" s="325"/>
      <c r="AI90" s="325"/>
      <c r="AJ90" s="325"/>
      <c r="AK90" s="325"/>
      <c r="AL90" s="325"/>
      <c r="AM90" s="325">
        <f t="shared" si="57"/>
        <v>10.59</v>
      </c>
      <c r="AN90" s="325">
        <f t="shared" ref="AN90:BC90" si="89">F90+W90</f>
        <v>0</v>
      </c>
      <c r="AO90" s="325">
        <f t="shared" si="89"/>
        <v>0</v>
      </c>
      <c r="AP90" s="325">
        <f t="shared" si="89"/>
        <v>0</v>
      </c>
      <c r="AQ90" s="325">
        <f t="shared" si="89"/>
        <v>0</v>
      </c>
      <c r="AR90" s="325">
        <f t="shared" si="89"/>
        <v>0</v>
      </c>
      <c r="AS90" s="325">
        <f t="shared" si="89"/>
        <v>0</v>
      </c>
      <c r="AT90" s="325">
        <f t="shared" si="89"/>
        <v>0</v>
      </c>
      <c r="AU90" s="325">
        <f t="shared" si="89"/>
        <v>0</v>
      </c>
      <c r="AV90" s="325">
        <f t="shared" si="89"/>
        <v>0</v>
      </c>
      <c r="AW90" s="325">
        <f t="shared" si="89"/>
        <v>0</v>
      </c>
      <c r="AX90" s="325">
        <f t="shared" si="89"/>
        <v>10.59</v>
      </c>
      <c r="AY90" s="325">
        <f t="shared" si="89"/>
        <v>0</v>
      </c>
      <c r="AZ90" s="325">
        <f t="shared" si="89"/>
        <v>0</v>
      </c>
      <c r="BA90" s="325">
        <f t="shared" si="89"/>
        <v>0</v>
      </c>
      <c r="BB90" s="325">
        <f t="shared" si="89"/>
        <v>0</v>
      </c>
      <c r="BC90" s="325">
        <f t="shared" si="89"/>
        <v>0</v>
      </c>
      <c r="BD90" s="342"/>
      <c r="BE90" s="97"/>
    </row>
    <row r="91" ht="24" spans="1:57">
      <c r="A91" s="304" t="s">
        <v>195</v>
      </c>
      <c r="B91" s="304" t="s">
        <v>442</v>
      </c>
      <c r="C91" s="304" t="s">
        <v>482</v>
      </c>
      <c r="D91" s="304" t="s">
        <v>444</v>
      </c>
      <c r="E91" s="325">
        <f t="shared" si="55"/>
        <v>17.89</v>
      </c>
      <c r="F91" s="325"/>
      <c r="G91" s="325"/>
      <c r="H91" s="325"/>
      <c r="I91" s="325"/>
      <c r="J91" s="325"/>
      <c r="K91" s="325"/>
      <c r="L91" s="325"/>
      <c r="M91" s="325"/>
      <c r="N91" s="325"/>
      <c r="O91" s="325"/>
      <c r="P91" s="325">
        <v>17.89</v>
      </c>
      <c r="Q91" s="325"/>
      <c r="R91" s="325"/>
      <c r="S91" s="325"/>
      <c r="T91" s="325"/>
      <c r="U91" s="325"/>
      <c r="V91" s="325">
        <f t="shared" si="56"/>
        <v>3.09</v>
      </c>
      <c r="W91" s="325"/>
      <c r="X91" s="325"/>
      <c r="Y91" s="325"/>
      <c r="Z91" s="325"/>
      <c r="AA91" s="325"/>
      <c r="AB91" s="325"/>
      <c r="AC91" s="325"/>
      <c r="AD91" s="325"/>
      <c r="AE91" s="325"/>
      <c r="AF91" s="325"/>
      <c r="AG91" s="325">
        <v>3.09</v>
      </c>
      <c r="AH91" s="325"/>
      <c r="AI91" s="325"/>
      <c r="AJ91" s="325"/>
      <c r="AK91" s="325"/>
      <c r="AL91" s="325"/>
      <c r="AM91" s="325">
        <f t="shared" si="57"/>
        <v>20.98</v>
      </c>
      <c r="AN91" s="325">
        <f t="shared" ref="AN91:BC91" si="90">F91+W91</f>
        <v>0</v>
      </c>
      <c r="AO91" s="325">
        <f t="shared" si="90"/>
        <v>0</v>
      </c>
      <c r="AP91" s="325">
        <f t="shared" si="90"/>
        <v>0</v>
      </c>
      <c r="AQ91" s="325">
        <f t="shared" si="90"/>
        <v>0</v>
      </c>
      <c r="AR91" s="325">
        <f t="shared" si="90"/>
        <v>0</v>
      </c>
      <c r="AS91" s="325">
        <f t="shared" si="90"/>
        <v>0</v>
      </c>
      <c r="AT91" s="325">
        <f t="shared" si="90"/>
        <v>0</v>
      </c>
      <c r="AU91" s="325">
        <f t="shared" si="90"/>
        <v>0</v>
      </c>
      <c r="AV91" s="325">
        <f t="shared" si="90"/>
        <v>0</v>
      </c>
      <c r="AW91" s="325">
        <f t="shared" si="90"/>
        <v>0</v>
      </c>
      <c r="AX91" s="325">
        <f t="shared" si="90"/>
        <v>20.98</v>
      </c>
      <c r="AY91" s="325">
        <f t="shared" si="90"/>
        <v>0</v>
      </c>
      <c r="AZ91" s="325">
        <f t="shared" si="90"/>
        <v>0</v>
      </c>
      <c r="BA91" s="325">
        <f t="shared" si="90"/>
        <v>0</v>
      </c>
      <c r="BB91" s="325">
        <f t="shared" si="90"/>
        <v>0</v>
      </c>
      <c r="BC91" s="325">
        <f t="shared" si="90"/>
        <v>0</v>
      </c>
      <c r="BD91" s="342"/>
      <c r="BE91" s="97"/>
    </row>
    <row r="92" ht="24" spans="1:57">
      <c r="A92" s="304" t="s">
        <v>195</v>
      </c>
      <c r="B92" s="304" t="s">
        <v>442</v>
      </c>
      <c r="C92" s="304" t="s">
        <v>483</v>
      </c>
      <c r="D92" s="304" t="s">
        <v>454</v>
      </c>
      <c r="E92" s="325">
        <f t="shared" si="55"/>
        <v>5.45</v>
      </c>
      <c r="F92" s="325"/>
      <c r="G92" s="325"/>
      <c r="H92" s="325"/>
      <c r="I92" s="325"/>
      <c r="J92" s="325"/>
      <c r="K92" s="325"/>
      <c r="L92" s="325"/>
      <c r="M92" s="325"/>
      <c r="N92" s="325"/>
      <c r="O92" s="325"/>
      <c r="P92" s="325">
        <v>5.45</v>
      </c>
      <c r="Q92" s="325"/>
      <c r="R92" s="325"/>
      <c r="S92" s="325"/>
      <c r="T92" s="325"/>
      <c r="U92" s="325"/>
      <c r="V92" s="325">
        <f t="shared" si="56"/>
        <v>-0.05</v>
      </c>
      <c r="W92" s="325"/>
      <c r="X92" s="325"/>
      <c r="Y92" s="325"/>
      <c r="Z92" s="325"/>
      <c r="AA92" s="325"/>
      <c r="AB92" s="325"/>
      <c r="AC92" s="325"/>
      <c r="AD92" s="325"/>
      <c r="AE92" s="325"/>
      <c r="AF92" s="325"/>
      <c r="AG92" s="325">
        <v>-0.05</v>
      </c>
      <c r="AH92" s="325"/>
      <c r="AI92" s="325"/>
      <c r="AJ92" s="325"/>
      <c r="AK92" s="325"/>
      <c r="AL92" s="325"/>
      <c r="AM92" s="325">
        <f t="shared" si="57"/>
        <v>5.4</v>
      </c>
      <c r="AN92" s="325">
        <f t="shared" ref="AN92:BC92" si="91">F92+W92</f>
        <v>0</v>
      </c>
      <c r="AO92" s="325">
        <f t="shared" si="91"/>
        <v>0</v>
      </c>
      <c r="AP92" s="325">
        <f t="shared" si="91"/>
        <v>0</v>
      </c>
      <c r="AQ92" s="325">
        <f t="shared" si="91"/>
        <v>0</v>
      </c>
      <c r="AR92" s="325">
        <f t="shared" si="91"/>
        <v>0</v>
      </c>
      <c r="AS92" s="325">
        <f t="shared" si="91"/>
        <v>0</v>
      </c>
      <c r="AT92" s="325">
        <f t="shared" si="91"/>
        <v>0</v>
      </c>
      <c r="AU92" s="325">
        <f t="shared" si="91"/>
        <v>0</v>
      </c>
      <c r="AV92" s="325">
        <f t="shared" si="91"/>
        <v>0</v>
      </c>
      <c r="AW92" s="325">
        <f t="shared" si="91"/>
        <v>0</v>
      </c>
      <c r="AX92" s="325">
        <f t="shared" si="91"/>
        <v>5.4</v>
      </c>
      <c r="AY92" s="325">
        <f t="shared" si="91"/>
        <v>0</v>
      </c>
      <c r="AZ92" s="325">
        <f t="shared" si="91"/>
        <v>0</v>
      </c>
      <c r="BA92" s="325">
        <f t="shared" si="91"/>
        <v>0</v>
      </c>
      <c r="BB92" s="325">
        <f t="shared" si="91"/>
        <v>0</v>
      </c>
      <c r="BC92" s="325">
        <f t="shared" si="91"/>
        <v>0</v>
      </c>
      <c r="BD92" s="342"/>
      <c r="BE92" s="97"/>
    </row>
    <row r="93" ht="24" spans="1:57">
      <c r="A93" s="304" t="s">
        <v>195</v>
      </c>
      <c r="B93" s="304" t="s">
        <v>442</v>
      </c>
      <c r="C93" s="304" t="s">
        <v>790</v>
      </c>
      <c r="D93" s="304" t="s">
        <v>454</v>
      </c>
      <c r="E93" s="325">
        <f t="shared" si="55"/>
        <v>12.5256</v>
      </c>
      <c r="F93" s="325"/>
      <c r="G93" s="325"/>
      <c r="H93" s="325"/>
      <c r="I93" s="325"/>
      <c r="J93" s="325"/>
      <c r="K93" s="325"/>
      <c r="L93" s="325"/>
      <c r="M93" s="325"/>
      <c r="N93" s="325"/>
      <c r="O93" s="325"/>
      <c r="P93" s="325">
        <v>12.5256</v>
      </c>
      <c r="Q93" s="325"/>
      <c r="R93" s="325"/>
      <c r="S93" s="325"/>
      <c r="T93" s="325"/>
      <c r="U93" s="325"/>
      <c r="V93" s="325">
        <f t="shared" si="56"/>
        <v>0.69</v>
      </c>
      <c r="W93" s="325"/>
      <c r="X93" s="325"/>
      <c r="Y93" s="325"/>
      <c r="Z93" s="325"/>
      <c r="AA93" s="325"/>
      <c r="AB93" s="325"/>
      <c r="AC93" s="325"/>
      <c r="AD93" s="325"/>
      <c r="AE93" s="325"/>
      <c r="AF93" s="325"/>
      <c r="AG93" s="325">
        <v>0.69</v>
      </c>
      <c r="AH93" s="325"/>
      <c r="AI93" s="325"/>
      <c r="AJ93" s="325"/>
      <c r="AK93" s="325"/>
      <c r="AL93" s="325"/>
      <c r="AM93" s="325">
        <f t="shared" si="57"/>
        <v>13.2156</v>
      </c>
      <c r="AN93" s="325">
        <f t="shared" ref="AN93:BC93" si="92">F93+W93</f>
        <v>0</v>
      </c>
      <c r="AO93" s="325">
        <f t="shared" si="92"/>
        <v>0</v>
      </c>
      <c r="AP93" s="325">
        <f t="shared" si="92"/>
        <v>0</v>
      </c>
      <c r="AQ93" s="325">
        <f t="shared" si="92"/>
        <v>0</v>
      </c>
      <c r="AR93" s="325">
        <f t="shared" si="92"/>
        <v>0</v>
      </c>
      <c r="AS93" s="325">
        <f t="shared" si="92"/>
        <v>0</v>
      </c>
      <c r="AT93" s="325">
        <f t="shared" si="92"/>
        <v>0</v>
      </c>
      <c r="AU93" s="325">
        <f t="shared" si="92"/>
        <v>0</v>
      </c>
      <c r="AV93" s="325">
        <f t="shared" si="92"/>
        <v>0</v>
      </c>
      <c r="AW93" s="325">
        <f t="shared" si="92"/>
        <v>0</v>
      </c>
      <c r="AX93" s="325">
        <f t="shared" si="92"/>
        <v>13.2156</v>
      </c>
      <c r="AY93" s="325">
        <f t="shared" si="92"/>
        <v>0</v>
      </c>
      <c r="AZ93" s="325">
        <f t="shared" si="92"/>
        <v>0</v>
      </c>
      <c r="BA93" s="325">
        <f t="shared" si="92"/>
        <v>0</v>
      </c>
      <c r="BB93" s="325">
        <f t="shared" si="92"/>
        <v>0</v>
      </c>
      <c r="BC93" s="325">
        <f t="shared" si="92"/>
        <v>0</v>
      </c>
      <c r="BD93" s="342"/>
      <c r="BE93" s="97"/>
    </row>
    <row r="94" ht="36" spans="1:57">
      <c r="A94" s="304" t="s">
        <v>195</v>
      </c>
      <c r="B94" s="304" t="s">
        <v>442</v>
      </c>
      <c r="C94" s="304" t="s">
        <v>485</v>
      </c>
      <c r="D94" s="304" t="s">
        <v>491</v>
      </c>
      <c r="E94" s="325">
        <f t="shared" si="55"/>
        <v>12.78</v>
      </c>
      <c r="F94" s="325"/>
      <c r="G94" s="325"/>
      <c r="H94" s="325"/>
      <c r="I94" s="325"/>
      <c r="J94" s="325"/>
      <c r="K94" s="325"/>
      <c r="L94" s="325"/>
      <c r="M94" s="325"/>
      <c r="N94" s="325"/>
      <c r="O94" s="325"/>
      <c r="P94" s="325">
        <v>12.78</v>
      </c>
      <c r="Q94" s="325"/>
      <c r="R94" s="325"/>
      <c r="S94" s="325"/>
      <c r="T94" s="325"/>
      <c r="U94" s="325"/>
      <c r="V94" s="325">
        <f t="shared" si="56"/>
        <v>1.3</v>
      </c>
      <c r="W94" s="325"/>
      <c r="X94" s="325"/>
      <c r="Y94" s="325"/>
      <c r="Z94" s="325"/>
      <c r="AA94" s="325"/>
      <c r="AB94" s="325"/>
      <c r="AC94" s="325"/>
      <c r="AD94" s="325"/>
      <c r="AE94" s="325"/>
      <c r="AF94" s="325"/>
      <c r="AG94" s="325">
        <v>1.3</v>
      </c>
      <c r="AH94" s="325"/>
      <c r="AI94" s="325"/>
      <c r="AJ94" s="325"/>
      <c r="AK94" s="325"/>
      <c r="AL94" s="325"/>
      <c r="AM94" s="325">
        <f t="shared" si="57"/>
        <v>14.08</v>
      </c>
      <c r="AN94" s="325">
        <f t="shared" ref="AN94:BC94" si="93">F94+W94</f>
        <v>0</v>
      </c>
      <c r="AO94" s="325">
        <f t="shared" si="93"/>
        <v>0</v>
      </c>
      <c r="AP94" s="325">
        <f t="shared" si="93"/>
        <v>0</v>
      </c>
      <c r="AQ94" s="325">
        <f t="shared" si="93"/>
        <v>0</v>
      </c>
      <c r="AR94" s="325">
        <f t="shared" si="93"/>
        <v>0</v>
      </c>
      <c r="AS94" s="325">
        <f t="shared" si="93"/>
        <v>0</v>
      </c>
      <c r="AT94" s="325">
        <f t="shared" si="93"/>
        <v>0</v>
      </c>
      <c r="AU94" s="325">
        <f t="shared" si="93"/>
        <v>0</v>
      </c>
      <c r="AV94" s="325">
        <f t="shared" si="93"/>
        <v>0</v>
      </c>
      <c r="AW94" s="325">
        <f t="shared" si="93"/>
        <v>0</v>
      </c>
      <c r="AX94" s="325">
        <f t="shared" si="93"/>
        <v>14.08</v>
      </c>
      <c r="AY94" s="325">
        <f t="shared" si="93"/>
        <v>0</v>
      </c>
      <c r="AZ94" s="325">
        <f t="shared" si="93"/>
        <v>0</v>
      </c>
      <c r="BA94" s="325">
        <f t="shared" si="93"/>
        <v>0</v>
      </c>
      <c r="BB94" s="325">
        <f t="shared" si="93"/>
        <v>0</v>
      </c>
      <c r="BC94" s="325">
        <f t="shared" si="93"/>
        <v>0</v>
      </c>
      <c r="BD94" s="342"/>
      <c r="BE94" s="97"/>
    </row>
    <row r="95" ht="24" spans="1:57">
      <c r="A95" s="304" t="s">
        <v>195</v>
      </c>
      <c r="B95" s="304" t="s">
        <v>442</v>
      </c>
      <c r="C95" s="304" t="s">
        <v>486</v>
      </c>
      <c r="D95" s="304" t="s">
        <v>454</v>
      </c>
      <c r="E95" s="325">
        <f t="shared" si="55"/>
        <v>4.97</v>
      </c>
      <c r="F95" s="325"/>
      <c r="G95" s="325"/>
      <c r="H95" s="325"/>
      <c r="I95" s="325"/>
      <c r="J95" s="325"/>
      <c r="K95" s="325"/>
      <c r="L95" s="325"/>
      <c r="M95" s="325"/>
      <c r="N95" s="325"/>
      <c r="O95" s="325"/>
      <c r="P95" s="325">
        <v>4.97</v>
      </c>
      <c r="Q95" s="325"/>
      <c r="R95" s="325"/>
      <c r="S95" s="325"/>
      <c r="T95" s="325"/>
      <c r="U95" s="325"/>
      <c r="V95" s="325">
        <f t="shared" si="56"/>
        <v>0.56</v>
      </c>
      <c r="W95" s="325"/>
      <c r="X95" s="325"/>
      <c r="Y95" s="325"/>
      <c r="Z95" s="325"/>
      <c r="AA95" s="325"/>
      <c r="AB95" s="325"/>
      <c r="AC95" s="325"/>
      <c r="AD95" s="325"/>
      <c r="AE95" s="325"/>
      <c r="AF95" s="325"/>
      <c r="AG95" s="325">
        <v>0.56</v>
      </c>
      <c r="AH95" s="325"/>
      <c r="AI95" s="325"/>
      <c r="AJ95" s="325"/>
      <c r="AK95" s="325"/>
      <c r="AL95" s="325"/>
      <c r="AM95" s="325">
        <f t="shared" si="57"/>
        <v>5.53</v>
      </c>
      <c r="AN95" s="325">
        <f t="shared" ref="AN95:BC95" si="94">F95+W95</f>
        <v>0</v>
      </c>
      <c r="AO95" s="325">
        <f t="shared" si="94"/>
        <v>0</v>
      </c>
      <c r="AP95" s="325">
        <f t="shared" si="94"/>
        <v>0</v>
      </c>
      <c r="AQ95" s="325">
        <f t="shared" si="94"/>
        <v>0</v>
      </c>
      <c r="AR95" s="325">
        <f t="shared" si="94"/>
        <v>0</v>
      </c>
      <c r="AS95" s="325">
        <f t="shared" si="94"/>
        <v>0</v>
      </c>
      <c r="AT95" s="325">
        <f t="shared" si="94"/>
        <v>0</v>
      </c>
      <c r="AU95" s="325">
        <f t="shared" si="94"/>
        <v>0</v>
      </c>
      <c r="AV95" s="325">
        <f t="shared" si="94"/>
        <v>0</v>
      </c>
      <c r="AW95" s="325">
        <f t="shared" si="94"/>
        <v>0</v>
      </c>
      <c r="AX95" s="325">
        <f t="shared" si="94"/>
        <v>5.53</v>
      </c>
      <c r="AY95" s="325">
        <f t="shared" si="94"/>
        <v>0</v>
      </c>
      <c r="AZ95" s="325">
        <f t="shared" si="94"/>
        <v>0</v>
      </c>
      <c r="BA95" s="325">
        <f t="shared" si="94"/>
        <v>0</v>
      </c>
      <c r="BB95" s="325">
        <f t="shared" si="94"/>
        <v>0</v>
      </c>
      <c r="BC95" s="325">
        <f t="shared" si="94"/>
        <v>0</v>
      </c>
      <c r="BD95" s="342"/>
      <c r="BE95" s="97"/>
    </row>
    <row r="96" ht="24" spans="1:57">
      <c r="A96" s="304" t="s">
        <v>195</v>
      </c>
      <c r="B96" s="304" t="s">
        <v>442</v>
      </c>
      <c r="C96" s="304" t="s">
        <v>487</v>
      </c>
      <c r="D96" s="304" t="s">
        <v>444</v>
      </c>
      <c r="E96" s="325">
        <f t="shared" si="55"/>
        <v>23.856</v>
      </c>
      <c r="F96" s="325"/>
      <c r="G96" s="325"/>
      <c r="H96" s="325"/>
      <c r="I96" s="325"/>
      <c r="J96" s="325"/>
      <c r="K96" s="325"/>
      <c r="L96" s="325"/>
      <c r="M96" s="325"/>
      <c r="N96" s="325"/>
      <c r="O96" s="325"/>
      <c r="P96" s="325">
        <v>23.856</v>
      </c>
      <c r="Q96" s="325"/>
      <c r="R96" s="325"/>
      <c r="S96" s="325"/>
      <c r="T96" s="325"/>
      <c r="U96" s="325"/>
      <c r="V96" s="325">
        <f t="shared" si="56"/>
        <v>5.12</v>
      </c>
      <c r="W96" s="325"/>
      <c r="X96" s="325"/>
      <c r="Y96" s="325"/>
      <c r="Z96" s="325"/>
      <c r="AA96" s="325"/>
      <c r="AB96" s="325"/>
      <c r="AC96" s="325"/>
      <c r="AD96" s="325"/>
      <c r="AE96" s="325"/>
      <c r="AF96" s="325"/>
      <c r="AG96" s="325">
        <v>5.12</v>
      </c>
      <c r="AH96" s="325"/>
      <c r="AI96" s="325"/>
      <c r="AJ96" s="325"/>
      <c r="AK96" s="325"/>
      <c r="AL96" s="325"/>
      <c r="AM96" s="325">
        <f t="shared" si="57"/>
        <v>28.976</v>
      </c>
      <c r="AN96" s="325">
        <f t="shared" ref="AN96:BC96" si="95">F96+W96</f>
        <v>0</v>
      </c>
      <c r="AO96" s="325">
        <f t="shared" si="95"/>
        <v>0</v>
      </c>
      <c r="AP96" s="325">
        <f t="shared" si="95"/>
        <v>0</v>
      </c>
      <c r="AQ96" s="325">
        <f t="shared" si="95"/>
        <v>0</v>
      </c>
      <c r="AR96" s="325">
        <f t="shared" si="95"/>
        <v>0</v>
      </c>
      <c r="AS96" s="325">
        <f t="shared" si="95"/>
        <v>0</v>
      </c>
      <c r="AT96" s="325">
        <f t="shared" si="95"/>
        <v>0</v>
      </c>
      <c r="AU96" s="325">
        <f t="shared" si="95"/>
        <v>0</v>
      </c>
      <c r="AV96" s="325">
        <f t="shared" si="95"/>
        <v>0</v>
      </c>
      <c r="AW96" s="325">
        <f t="shared" si="95"/>
        <v>0</v>
      </c>
      <c r="AX96" s="325">
        <f t="shared" si="95"/>
        <v>28.976</v>
      </c>
      <c r="AY96" s="325">
        <f t="shared" si="95"/>
        <v>0</v>
      </c>
      <c r="AZ96" s="325">
        <f t="shared" si="95"/>
        <v>0</v>
      </c>
      <c r="BA96" s="325">
        <f t="shared" si="95"/>
        <v>0</v>
      </c>
      <c r="BB96" s="325">
        <f t="shared" si="95"/>
        <v>0</v>
      </c>
      <c r="BC96" s="325">
        <f t="shared" si="95"/>
        <v>0</v>
      </c>
      <c r="BD96" s="342"/>
      <c r="BE96" s="97"/>
    </row>
    <row r="97" ht="24" spans="1:57">
      <c r="A97" s="304" t="s">
        <v>195</v>
      </c>
      <c r="B97" s="304" t="s">
        <v>442</v>
      </c>
      <c r="C97" s="304" t="s">
        <v>488</v>
      </c>
      <c r="D97" s="304" t="s">
        <v>454</v>
      </c>
      <c r="E97" s="325">
        <f t="shared" si="55"/>
        <v>0</v>
      </c>
      <c r="F97" s="325"/>
      <c r="G97" s="325"/>
      <c r="H97" s="325"/>
      <c r="I97" s="325"/>
      <c r="J97" s="325"/>
      <c r="K97" s="325"/>
      <c r="L97" s="325"/>
      <c r="M97" s="325"/>
      <c r="N97" s="325"/>
      <c r="O97" s="325"/>
      <c r="P97" s="325"/>
      <c r="Q97" s="325"/>
      <c r="R97" s="325"/>
      <c r="S97" s="325"/>
      <c r="T97" s="325"/>
      <c r="U97" s="325"/>
      <c r="V97" s="325">
        <f t="shared" si="56"/>
        <v>0.63</v>
      </c>
      <c r="W97" s="325"/>
      <c r="X97" s="325"/>
      <c r="Y97" s="325"/>
      <c r="Z97" s="325"/>
      <c r="AA97" s="325"/>
      <c r="AB97" s="325"/>
      <c r="AC97" s="325"/>
      <c r="AD97" s="325"/>
      <c r="AE97" s="325"/>
      <c r="AF97" s="325"/>
      <c r="AG97" s="325">
        <v>0.63</v>
      </c>
      <c r="AH97" s="325"/>
      <c r="AI97" s="325"/>
      <c r="AJ97" s="325"/>
      <c r="AK97" s="325"/>
      <c r="AL97" s="325"/>
      <c r="AM97" s="325">
        <f t="shared" si="57"/>
        <v>0.63</v>
      </c>
      <c r="AN97" s="325">
        <f t="shared" ref="AN97:BC97" si="96">F97+W97</f>
        <v>0</v>
      </c>
      <c r="AO97" s="325">
        <f t="shared" si="96"/>
        <v>0</v>
      </c>
      <c r="AP97" s="325">
        <f t="shared" si="96"/>
        <v>0</v>
      </c>
      <c r="AQ97" s="325">
        <f t="shared" si="96"/>
        <v>0</v>
      </c>
      <c r="AR97" s="325">
        <f t="shared" si="96"/>
        <v>0</v>
      </c>
      <c r="AS97" s="325">
        <f t="shared" si="96"/>
        <v>0</v>
      </c>
      <c r="AT97" s="325">
        <f t="shared" si="96"/>
        <v>0</v>
      </c>
      <c r="AU97" s="325">
        <f t="shared" si="96"/>
        <v>0</v>
      </c>
      <c r="AV97" s="325">
        <f t="shared" si="96"/>
        <v>0</v>
      </c>
      <c r="AW97" s="325">
        <f t="shared" si="96"/>
        <v>0</v>
      </c>
      <c r="AX97" s="325">
        <f t="shared" si="96"/>
        <v>0.63</v>
      </c>
      <c r="AY97" s="325">
        <f t="shared" si="96"/>
        <v>0</v>
      </c>
      <c r="AZ97" s="325">
        <f t="shared" si="96"/>
        <v>0</v>
      </c>
      <c r="BA97" s="325">
        <f t="shared" si="96"/>
        <v>0</v>
      </c>
      <c r="BB97" s="325">
        <f t="shared" si="96"/>
        <v>0</v>
      </c>
      <c r="BC97" s="325">
        <f t="shared" si="96"/>
        <v>0</v>
      </c>
      <c r="BD97" s="342"/>
      <c r="BE97" s="97"/>
    </row>
    <row r="98" ht="24" spans="1:57">
      <c r="A98" s="304" t="s">
        <v>195</v>
      </c>
      <c r="B98" s="304" t="s">
        <v>442</v>
      </c>
      <c r="C98" s="304" t="s">
        <v>489</v>
      </c>
      <c r="D98" s="304" t="s">
        <v>444</v>
      </c>
      <c r="E98" s="325">
        <f t="shared" si="55"/>
        <v>47.65</v>
      </c>
      <c r="F98" s="325"/>
      <c r="G98" s="325"/>
      <c r="H98" s="325"/>
      <c r="I98" s="325"/>
      <c r="J98" s="325"/>
      <c r="K98" s="325"/>
      <c r="L98" s="325"/>
      <c r="M98" s="325"/>
      <c r="N98" s="325"/>
      <c r="O98" s="325"/>
      <c r="P98" s="325">
        <v>47.65</v>
      </c>
      <c r="Q98" s="325"/>
      <c r="R98" s="325"/>
      <c r="S98" s="325"/>
      <c r="T98" s="325"/>
      <c r="U98" s="325"/>
      <c r="V98" s="325">
        <f t="shared" si="56"/>
        <v>14.06</v>
      </c>
      <c r="W98" s="325"/>
      <c r="X98" s="325"/>
      <c r="Y98" s="325"/>
      <c r="Z98" s="325"/>
      <c r="AA98" s="325"/>
      <c r="AB98" s="325"/>
      <c r="AC98" s="325"/>
      <c r="AD98" s="325"/>
      <c r="AE98" s="325"/>
      <c r="AF98" s="325"/>
      <c r="AG98" s="325">
        <v>5.07</v>
      </c>
      <c r="AH98" s="325"/>
      <c r="AI98" s="325"/>
      <c r="AJ98" s="325"/>
      <c r="AK98" s="325"/>
      <c r="AL98" s="325">
        <v>8.99</v>
      </c>
      <c r="AM98" s="325">
        <f t="shared" si="57"/>
        <v>61.71</v>
      </c>
      <c r="AN98" s="325">
        <f t="shared" ref="AN98:BC98" si="97">F98+W98</f>
        <v>0</v>
      </c>
      <c r="AO98" s="325">
        <f t="shared" si="97"/>
        <v>0</v>
      </c>
      <c r="AP98" s="325">
        <f t="shared" si="97"/>
        <v>0</v>
      </c>
      <c r="AQ98" s="325">
        <f t="shared" si="97"/>
        <v>0</v>
      </c>
      <c r="AR98" s="325">
        <f t="shared" si="97"/>
        <v>0</v>
      </c>
      <c r="AS98" s="325">
        <f t="shared" si="97"/>
        <v>0</v>
      </c>
      <c r="AT98" s="325">
        <f t="shared" si="97"/>
        <v>0</v>
      </c>
      <c r="AU98" s="325">
        <f t="shared" si="97"/>
        <v>0</v>
      </c>
      <c r="AV98" s="325">
        <f t="shared" si="97"/>
        <v>0</v>
      </c>
      <c r="AW98" s="325">
        <f t="shared" si="97"/>
        <v>0</v>
      </c>
      <c r="AX98" s="325">
        <f t="shared" si="97"/>
        <v>52.72</v>
      </c>
      <c r="AY98" s="325">
        <f t="shared" si="97"/>
        <v>0</v>
      </c>
      <c r="AZ98" s="325">
        <f t="shared" si="97"/>
        <v>0</v>
      </c>
      <c r="BA98" s="325">
        <f t="shared" si="97"/>
        <v>0</v>
      </c>
      <c r="BB98" s="325">
        <f t="shared" si="97"/>
        <v>0</v>
      </c>
      <c r="BC98" s="325">
        <f t="shared" si="97"/>
        <v>8.99</v>
      </c>
      <c r="BD98" s="342" t="s">
        <v>919</v>
      </c>
      <c r="BE98" s="97"/>
    </row>
    <row r="99" ht="24" spans="1:57">
      <c r="A99" s="304" t="s">
        <v>195</v>
      </c>
      <c r="B99" s="304" t="s">
        <v>196</v>
      </c>
      <c r="C99" s="304" t="s">
        <v>507</v>
      </c>
      <c r="D99" s="304" t="s">
        <v>508</v>
      </c>
      <c r="E99" s="325">
        <f t="shared" si="55"/>
        <v>0.852</v>
      </c>
      <c r="F99" s="325"/>
      <c r="G99" s="325"/>
      <c r="H99" s="325"/>
      <c r="I99" s="325"/>
      <c r="J99" s="325"/>
      <c r="K99" s="325"/>
      <c r="L99" s="325"/>
      <c r="M99" s="325"/>
      <c r="N99" s="325"/>
      <c r="O99" s="325">
        <v>0.852</v>
      </c>
      <c r="P99" s="325"/>
      <c r="Q99" s="325"/>
      <c r="R99" s="325"/>
      <c r="S99" s="325"/>
      <c r="T99" s="325"/>
      <c r="U99" s="325"/>
      <c r="V99" s="325">
        <f t="shared" si="56"/>
        <v>0.11</v>
      </c>
      <c r="W99" s="325"/>
      <c r="X99" s="325"/>
      <c r="Y99" s="325"/>
      <c r="Z99" s="325"/>
      <c r="AA99" s="325"/>
      <c r="AB99" s="325"/>
      <c r="AC99" s="325"/>
      <c r="AD99" s="325"/>
      <c r="AE99" s="325"/>
      <c r="AF99" s="325">
        <v>0.11</v>
      </c>
      <c r="AG99" s="325"/>
      <c r="AH99" s="325"/>
      <c r="AI99" s="325"/>
      <c r="AJ99" s="325"/>
      <c r="AK99" s="325"/>
      <c r="AL99" s="325"/>
      <c r="AM99" s="325">
        <f t="shared" si="57"/>
        <v>0.962</v>
      </c>
      <c r="AN99" s="325">
        <f t="shared" ref="AN99:BC99" si="98">F99+W99</f>
        <v>0</v>
      </c>
      <c r="AO99" s="325">
        <f t="shared" si="98"/>
        <v>0</v>
      </c>
      <c r="AP99" s="325">
        <f t="shared" si="98"/>
        <v>0</v>
      </c>
      <c r="AQ99" s="325">
        <f t="shared" si="98"/>
        <v>0</v>
      </c>
      <c r="AR99" s="325">
        <f t="shared" si="98"/>
        <v>0</v>
      </c>
      <c r="AS99" s="325">
        <f t="shared" si="98"/>
        <v>0</v>
      </c>
      <c r="AT99" s="325">
        <f t="shared" si="98"/>
        <v>0</v>
      </c>
      <c r="AU99" s="325">
        <f t="shared" si="98"/>
        <v>0</v>
      </c>
      <c r="AV99" s="325">
        <f t="shared" si="98"/>
        <v>0</v>
      </c>
      <c r="AW99" s="325">
        <f t="shared" si="98"/>
        <v>0.962</v>
      </c>
      <c r="AX99" s="325">
        <f t="shared" si="98"/>
        <v>0</v>
      </c>
      <c r="AY99" s="325">
        <f t="shared" si="98"/>
        <v>0</v>
      </c>
      <c r="AZ99" s="325">
        <f t="shared" si="98"/>
        <v>0</v>
      </c>
      <c r="BA99" s="325">
        <f t="shared" si="98"/>
        <v>0</v>
      </c>
      <c r="BB99" s="325">
        <f t="shared" si="98"/>
        <v>0</v>
      </c>
      <c r="BC99" s="325">
        <f t="shared" si="98"/>
        <v>0</v>
      </c>
      <c r="BD99" s="342"/>
      <c r="BE99" s="97"/>
    </row>
    <row r="100" s="311" customFormat="1" ht="20.15" customHeight="1" spans="1:57">
      <c r="A100" s="326"/>
      <c r="B100" s="327"/>
      <c r="C100" s="328" t="s">
        <v>135</v>
      </c>
      <c r="D100" s="329">
        <v>206</v>
      </c>
      <c r="E100" s="330">
        <f>SUM(E101)</f>
        <v>0.85</v>
      </c>
      <c r="F100" s="330">
        <f t="shared" ref="F100:BC100" si="99">SUM(F101)</f>
        <v>0</v>
      </c>
      <c r="G100" s="330">
        <f t="shared" si="99"/>
        <v>0</v>
      </c>
      <c r="H100" s="330">
        <f t="shared" si="99"/>
        <v>0</v>
      </c>
      <c r="I100" s="330">
        <f t="shared" si="99"/>
        <v>0</v>
      </c>
      <c r="J100" s="330">
        <f t="shared" si="99"/>
        <v>0</v>
      </c>
      <c r="K100" s="330">
        <f t="shared" si="99"/>
        <v>0</v>
      </c>
      <c r="L100" s="330">
        <f t="shared" si="99"/>
        <v>0</v>
      </c>
      <c r="M100" s="330">
        <f t="shared" si="99"/>
        <v>0</v>
      </c>
      <c r="N100" s="330">
        <f t="shared" si="99"/>
        <v>0</v>
      </c>
      <c r="O100" s="330">
        <f t="shared" si="99"/>
        <v>0.85</v>
      </c>
      <c r="P100" s="330">
        <f t="shared" si="99"/>
        <v>0</v>
      </c>
      <c r="Q100" s="330">
        <f t="shared" si="99"/>
        <v>0</v>
      </c>
      <c r="R100" s="330">
        <f t="shared" si="99"/>
        <v>0</v>
      </c>
      <c r="S100" s="330">
        <f t="shared" si="99"/>
        <v>0</v>
      </c>
      <c r="T100" s="330">
        <f t="shared" si="99"/>
        <v>0</v>
      </c>
      <c r="U100" s="330">
        <f t="shared" si="99"/>
        <v>0</v>
      </c>
      <c r="V100" s="330">
        <f t="shared" si="99"/>
        <v>0.14</v>
      </c>
      <c r="W100" s="330">
        <f t="shared" si="99"/>
        <v>0</v>
      </c>
      <c r="X100" s="330">
        <f t="shared" si="99"/>
        <v>0</v>
      </c>
      <c r="Y100" s="330">
        <f t="shared" si="99"/>
        <v>0</v>
      </c>
      <c r="Z100" s="330">
        <f t="shared" si="99"/>
        <v>0</v>
      </c>
      <c r="AA100" s="330">
        <f t="shared" si="99"/>
        <v>0</v>
      </c>
      <c r="AB100" s="330">
        <f t="shared" si="99"/>
        <v>0</v>
      </c>
      <c r="AC100" s="330">
        <f t="shared" si="99"/>
        <v>0</v>
      </c>
      <c r="AD100" s="330">
        <f t="shared" si="99"/>
        <v>0</v>
      </c>
      <c r="AE100" s="330">
        <f t="shared" si="99"/>
        <v>0</v>
      </c>
      <c r="AF100" s="330">
        <f t="shared" si="99"/>
        <v>0.14</v>
      </c>
      <c r="AG100" s="330">
        <f t="shared" si="99"/>
        <v>0</v>
      </c>
      <c r="AH100" s="330">
        <f t="shared" si="99"/>
        <v>0</v>
      </c>
      <c r="AI100" s="330">
        <f t="shared" si="99"/>
        <v>0</v>
      </c>
      <c r="AJ100" s="330">
        <f t="shared" si="99"/>
        <v>0</v>
      </c>
      <c r="AK100" s="330">
        <f t="shared" si="99"/>
        <v>0</v>
      </c>
      <c r="AL100" s="330">
        <f t="shared" si="99"/>
        <v>0</v>
      </c>
      <c r="AM100" s="330">
        <f t="shared" si="99"/>
        <v>0.99</v>
      </c>
      <c r="AN100" s="330">
        <f t="shared" si="99"/>
        <v>0</v>
      </c>
      <c r="AO100" s="330">
        <f t="shared" si="99"/>
        <v>0</v>
      </c>
      <c r="AP100" s="330">
        <f t="shared" si="99"/>
        <v>0</v>
      </c>
      <c r="AQ100" s="330">
        <f t="shared" si="99"/>
        <v>0</v>
      </c>
      <c r="AR100" s="330">
        <f t="shared" si="99"/>
        <v>0</v>
      </c>
      <c r="AS100" s="330">
        <f t="shared" si="99"/>
        <v>0</v>
      </c>
      <c r="AT100" s="330">
        <f t="shared" si="99"/>
        <v>0</v>
      </c>
      <c r="AU100" s="330">
        <f t="shared" si="99"/>
        <v>0</v>
      </c>
      <c r="AV100" s="330">
        <f t="shared" si="99"/>
        <v>0</v>
      </c>
      <c r="AW100" s="330">
        <f t="shared" si="99"/>
        <v>0.99</v>
      </c>
      <c r="AX100" s="330">
        <f t="shared" si="99"/>
        <v>0</v>
      </c>
      <c r="AY100" s="330">
        <f t="shared" si="99"/>
        <v>0</v>
      </c>
      <c r="AZ100" s="330">
        <f t="shared" si="99"/>
        <v>0</v>
      </c>
      <c r="BA100" s="330">
        <f t="shared" si="99"/>
        <v>0</v>
      </c>
      <c r="BB100" s="330">
        <f t="shared" si="99"/>
        <v>0</v>
      </c>
      <c r="BC100" s="330">
        <f t="shared" si="99"/>
        <v>0</v>
      </c>
      <c r="BD100" s="341"/>
      <c r="BE100" s="346"/>
    </row>
    <row r="101" ht="24" spans="1:57">
      <c r="A101" s="304" t="s">
        <v>195</v>
      </c>
      <c r="B101" s="304" t="s">
        <v>196</v>
      </c>
      <c r="C101" s="304" t="s">
        <v>791</v>
      </c>
      <c r="D101" s="304" t="s">
        <v>512</v>
      </c>
      <c r="E101" s="325">
        <f>SUM(F101:U101)</f>
        <v>0.85</v>
      </c>
      <c r="F101" s="325"/>
      <c r="G101" s="325"/>
      <c r="H101" s="325"/>
      <c r="I101" s="325"/>
      <c r="J101" s="325"/>
      <c r="K101" s="325"/>
      <c r="L101" s="325"/>
      <c r="M101" s="325"/>
      <c r="N101" s="325"/>
      <c r="O101" s="325">
        <v>0.85</v>
      </c>
      <c r="P101" s="325"/>
      <c r="Q101" s="325"/>
      <c r="R101" s="325"/>
      <c r="S101" s="325"/>
      <c r="T101" s="325"/>
      <c r="U101" s="325"/>
      <c r="V101" s="325">
        <f t="shared" ref="V101:V108" si="100">SUM(W101:AL101)</f>
        <v>0.14</v>
      </c>
      <c r="W101" s="325"/>
      <c r="X101" s="325"/>
      <c r="Y101" s="325"/>
      <c r="Z101" s="325"/>
      <c r="AA101" s="325"/>
      <c r="AB101" s="325"/>
      <c r="AC101" s="325"/>
      <c r="AD101" s="325"/>
      <c r="AE101" s="325"/>
      <c r="AF101" s="325">
        <v>0.14</v>
      </c>
      <c r="AG101" s="325"/>
      <c r="AH101" s="325"/>
      <c r="AI101" s="325"/>
      <c r="AJ101" s="325"/>
      <c r="AK101" s="325"/>
      <c r="AL101" s="325"/>
      <c r="AM101" s="325">
        <f t="shared" ref="AM101:AM108" si="101">SUM(AN101:BC101)</f>
        <v>0.99</v>
      </c>
      <c r="AN101" s="325">
        <f t="shared" ref="AN101:BC101" si="102">F101+W101</f>
        <v>0</v>
      </c>
      <c r="AO101" s="325">
        <f t="shared" si="102"/>
        <v>0</v>
      </c>
      <c r="AP101" s="325">
        <f t="shared" si="102"/>
        <v>0</v>
      </c>
      <c r="AQ101" s="325">
        <f t="shared" si="102"/>
        <v>0</v>
      </c>
      <c r="AR101" s="325">
        <f t="shared" si="102"/>
        <v>0</v>
      </c>
      <c r="AS101" s="325">
        <f t="shared" si="102"/>
        <v>0</v>
      </c>
      <c r="AT101" s="325">
        <f t="shared" si="102"/>
        <v>0</v>
      </c>
      <c r="AU101" s="325">
        <f t="shared" si="102"/>
        <v>0</v>
      </c>
      <c r="AV101" s="325">
        <f t="shared" si="102"/>
        <v>0</v>
      </c>
      <c r="AW101" s="325">
        <f t="shared" si="102"/>
        <v>0.99</v>
      </c>
      <c r="AX101" s="325">
        <f t="shared" si="102"/>
        <v>0</v>
      </c>
      <c r="AY101" s="325">
        <f t="shared" si="102"/>
        <v>0</v>
      </c>
      <c r="AZ101" s="325">
        <f t="shared" si="102"/>
        <v>0</v>
      </c>
      <c r="BA101" s="325">
        <f t="shared" si="102"/>
        <v>0</v>
      </c>
      <c r="BB101" s="325">
        <f t="shared" si="102"/>
        <v>0</v>
      </c>
      <c r="BC101" s="325">
        <f t="shared" si="102"/>
        <v>0</v>
      </c>
      <c r="BD101" s="342"/>
      <c r="BE101" s="97"/>
    </row>
    <row r="102" s="311" customFormat="1" ht="20.15" customHeight="1" spans="1:57">
      <c r="A102" s="326"/>
      <c r="B102" s="327"/>
      <c r="C102" s="328" t="s">
        <v>136</v>
      </c>
      <c r="D102" s="329">
        <v>207</v>
      </c>
      <c r="E102" s="330">
        <f>SUM(E103:E108)</f>
        <v>11.94</v>
      </c>
      <c r="F102" s="330">
        <f t="shared" ref="F102:BC102" si="103">SUM(F103:F108)</f>
        <v>0</v>
      </c>
      <c r="G102" s="330">
        <f t="shared" si="103"/>
        <v>0</v>
      </c>
      <c r="H102" s="330">
        <f t="shared" si="103"/>
        <v>0</v>
      </c>
      <c r="I102" s="330">
        <f t="shared" si="103"/>
        <v>0</v>
      </c>
      <c r="J102" s="330">
        <f t="shared" si="103"/>
        <v>0</v>
      </c>
      <c r="K102" s="330">
        <f t="shared" si="103"/>
        <v>0</v>
      </c>
      <c r="L102" s="330">
        <f t="shared" si="103"/>
        <v>0</v>
      </c>
      <c r="M102" s="330">
        <f t="shared" si="103"/>
        <v>0</v>
      </c>
      <c r="N102" s="330">
        <f t="shared" si="103"/>
        <v>0</v>
      </c>
      <c r="O102" s="330">
        <f t="shared" si="103"/>
        <v>5.12</v>
      </c>
      <c r="P102" s="330">
        <f t="shared" si="103"/>
        <v>6.82</v>
      </c>
      <c r="Q102" s="330">
        <f t="shared" si="103"/>
        <v>0</v>
      </c>
      <c r="R102" s="330">
        <f t="shared" si="103"/>
        <v>0</v>
      </c>
      <c r="S102" s="330">
        <f t="shared" si="103"/>
        <v>0</v>
      </c>
      <c r="T102" s="330">
        <f t="shared" si="103"/>
        <v>0</v>
      </c>
      <c r="U102" s="330">
        <f t="shared" si="103"/>
        <v>0</v>
      </c>
      <c r="V102" s="330">
        <f t="shared" si="103"/>
        <v>1.6</v>
      </c>
      <c r="W102" s="330">
        <f t="shared" si="103"/>
        <v>0</v>
      </c>
      <c r="X102" s="330">
        <f t="shared" si="103"/>
        <v>0</v>
      </c>
      <c r="Y102" s="330">
        <f t="shared" si="103"/>
        <v>0</v>
      </c>
      <c r="Z102" s="330">
        <f t="shared" si="103"/>
        <v>0</v>
      </c>
      <c r="AA102" s="330">
        <f t="shared" si="103"/>
        <v>0</v>
      </c>
      <c r="AB102" s="330">
        <f t="shared" si="103"/>
        <v>0</v>
      </c>
      <c r="AC102" s="330">
        <f t="shared" si="103"/>
        <v>0</v>
      </c>
      <c r="AD102" s="330">
        <f t="shared" si="103"/>
        <v>0</v>
      </c>
      <c r="AE102" s="330">
        <f t="shared" si="103"/>
        <v>0</v>
      </c>
      <c r="AF102" s="330">
        <f t="shared" si="103"/>
        <v>-0.38</v>
      </c>
      <c r="AG102" s="330">
        <f t="shared" si="103"/>
        <v>1.98</v>
      </c>
      <c r="AH102" s="330">
        <f t="shared" si="103"/>
        <v>0</v>
      </c>
      <c r="AI102" s="330">
        <f t="shared" si="103"/>
        <v>0</v>
      </c>
      <c r="AJ102" s="330">
        <f t="shared" si="103"/>
        <v>0</v>
      </c>
      <c r="AK102" s="330">
        <f t="shared" si="103"/>
        <v>0</v>
      </c>
      <c r="AL102" s="330">
        <f t="shared" si="103"/>
        <v>0</v>
      </c>
      <c r="AM102" s="330">
        <f t="shared" si="103"/>
        <v>13.54</v>
      </c>
      <c r="AN102" s="330">
        <f t="shared" si="103"/>
        <v>0</v>
      </c>
      <c r="AO102" s="330">
        <f t="shared" si="103"/>
        <v>0</v>
      </c>
      <c r="AP102" s="330">
        <f t="shared" si="103"/>
        <v>0</v>
      </c>
      <c r="AQ102" s="330">
        <f t="shared" si="103"/>
        <v>0</v>
      </c>
      <c r="AR102" s="330">
        <f t="shared" si="103"/>
        <v>0</v>
      </c>
      <c r="AS102" s="330">
        <f t="shared" si="103"/>
        <v>0</v>
      </c>
      <c r="AT102" s="330">
        <f t="shared" si="103"/>
        <v>0</v>
      </c>
      <c r="AU102" s="330">
        <f t="shared" si="103"/>
        <v>0</v>
      </c>
      <c r="AV102" s="330">
        <f t="shared" si="103"/>
        <v>0</v>
      </c>
      <c r="AW102" s="330">
        <f t="shared" si="103"/>
        <v>4.74</v>
      </c>
      <c r="AX102" s="330">
        <f t="shared" si="103"/>
        <v>8.8</v>
      </c>
      <c r="AY102" s="330">
        <f t="shared" si="103"/>
        <v>0</v>
      </c>
      <c r="AZ102" s="330">
        <f t="shared" si="103"/>
        <v>0</v>
      </c>
      <c r="BA102" s="330">
        <f t="shared" si="103"/>
        <v>0</v>
      </c>
      <c r="BB102" s="330">
        <f t="shared" si="103"/>
        <v>0</v>
      </c>
      <c r="BC102" s="330">
        <f t="shared" si="103"/>
        <v>0</v>
      </c>
      <c r="BD102" s="341"/>
      <c r="BE102" s="346"/>
    </row>
    <row r="103" ht="24" spans="1:57">
      <c r="A103" s="304" t="s">
        <v>195</v>
      </c>
      <c r="B103" s="304" t="s">
        <v>196</v>
      </c>
      <c r="C103" s="304" t="s">
        <v>514</v>
      </c>
      <c r="D103" s="304" t="s">
        <v>515</v>
      </c>
      <c r="E103" s="325">
        <f t="shared" ref="E103:E108" si="104">SUM(F103:U103)</f>
        <v>3.41</v>
      </c>
      <c r="F103" s="325"/>
      <c r="G103" s="325"/>
      <c r="H103" s="325"/>
      <c r="I103" s="325"/>
      <c r="J103" s="325"/>
      <c r="K103" s="325"/>
      <c r="L103" s="325"/>
      <c r="M103" s="325"/>
      <c r="N103" s="325"/>
      <c r="O103" s="325">
        <v>3.41</v>
      </c>
      <c r="P103" s="325"/>
      <c r="Q103" s="325"/>
      <c r="R103" s="325"/>
      <c r="S103" s="325"/>
      <c r="T103" s="325"/>
      <c r="U103" s="325"/>
      <c r="V103" s="325">
        <f t="shared" si="100"/>
        <v>-0.38</v>
      </c>
      <c r="W103" s="325"/>
      <c r="X103" s="325"/>
      <c r="Y103" s="325"/>
      <c r="Z103" s="325"/>
      <c r="AA103" s="325"/>
      <c r="AB103" s="325"/>
      <c r="AC103" s="325"/>
      <c r="AD103" s="325"/>
      <c r="AE103" s="325"/>
      <c r="AF103" s="325">
        <v>-0.38</v>
      </c>
      <c r="AG103" s="325"/>
      <c r="AH103" s="325"/>
      <c r="AI103" s="325"/>
      <c r="AJ103" s="325"/>
      <c r="AK103" s="325"/>
      <c r="AL103" s="325"/>
      <c r="AM103" s="325">
        <f t="shared" si="101"/>
        <v>3.03</v>
      </c>
      <c r="AN103" s="325">
        <f t="shared" ref="AN103:AN108" si="105">F103+W103</f>
        <v>0</v>
      </c>
      <c r="AO103" s="325">
        <f t="shared" ref="AO103:AO108" si="106">G103+X103</f>
        <v>0</v>
      </c>
      <c r="AP103" s="325">
        <f t="shared" ref="AP103:AP108" si="107">H103+Y103</f>
        <v>0</v>
      </c>
      <c r="AQ103" s="325">
        <f t="shared" ref="AQ103:AQ108" si="108">I103+Z103</f>
        <v>0</v>
      </c>
      <c r="AR103" s="325">
        <f t="shared" ref="AR103:AR108" si="109">J103+AA103</f>
        <v>0</v>
      </c>
      <c r="AS103" s="325">
        <f t="shared" ref="AS103:AS108" si="110">K103+AB103</f>
        <v>0</v>
      </c>
      <c r="AT103" s="325">
        <f t="shared" ref="AT103:AT108" si="111">L103+AC103</f>
        <v>0</v>
      </c>
      <c r="AU103" s="325">
        <f t="shared" ref="AU103:AU108" si="112">M103+AD103</f>
        <v>0</v>
      </c>
      <c r="AV103" s="325">
        <f t="shared" ref="AV103:AV108" si="113">N103+AE103</f>
        <v>0</v>
      </c>
      <c r="AW103" s="325">
        <f t="shared" ref="AW103:AW108" si="114">O103+AF103</f>
        <v>3.03</v>
      </c>
      <c r="AX103" s="325">
        <f t="shared" ref="AX103:AX108" si="115">P103+AG103</f>
        <v>0</v>
      </c>
      <c r="AY103" s="325">
        <f t="shared" ref="AY103:AY108" si="116">Q103+AH103</f>
        <v>0</v>
      </c>
      <c r="AZ103" s="325">
        <f t="shared" ref="AZ103:AZ108" si="117">R103+AI103</f>
        <v>0</v>
      </c>
      <c r="BA103" s="325">
        <f t="shared" ref="BA103:BA108" si="118">S103+AJ103</f>
        <v>0</v>
      </c>
      <c r="BB103" s="325">
        <f t="shared" ref="BB103:BB108" si="119">T103+AK103</f>
        <v>0</v>
      </c>
      <c r="BC103" s="325">
        <f t="shared" ref="BC103:BC108" si="120">U103+AL103</f>
        <v>0</v>
      </c>
      <c r="BD103" s="342"/>
      <c r="BE103" s="97"/>
    </row>
    <row r="104" ht="24" spans="1:57">
      <c r="A104" s="304" t="s">
        <v>195</v>
      </c>
      <c r="B104" s="304" t="s">
        <v>199</v>
      </c>
      <c r="C104" s="304" t="s">
        <v>516</v>
      </c>
      <c r="D104" s="304" t="s">
        <v>517</v>
      </c>
      <c r="E104" s="325">
        <f t="shared" si="104"/>
        <v>0.85</v>
      </c>
      <c r="F104" s="325"/>
      <c r="G104" s="325"/>
      <c r="H104" s="325"/>
      <c r="I104" s="325"/>
      <c r="J104" s="325"/>
      <c r="K104" s="325"/>
      <c r="L104" s="325"/>
      <c r="M104" s="325"/>
      <c r="N104" s="325"/>
      <c r="O104" s="325"/>
      <c r="P104" s="325">
        <v>0.85</v>
      </c>
      <c r="Q104" s="325"/>
      <c r="R104" s="325"/>
      <c r="S104" s="325"/>
      <c r="T104" s="325"/>
      <c r="U104" s="325"/>
      <c r="V104" s="325">
        <f t="shared" si="100"/>
        <v>0.11</v>
      </c>
      <c r="W104" s="325"/>
      <c r="X104" s="325"/>
      <c r="Y104" s="325"/>
      <c r="Z104" s="325"/>
      <c r="AA104" s="325"/>
      <c r="AB104" s="325"/>
      <c r="AC104" s="325"/>
      <c r="AD104" s="325"/>
      <c r="AE104" s="325"/>
      <c r="AF104" s="325"/>
      <c r="AG104" s="325">
        <v>0.11</v>
      </c>
      <c r="AH104" s="325"/>
      <c r="AI104" s="325"/>
      <c r="AJ104" s="325"/>
      <c r="AK104" s="325"/>
      <c r="AL104" s="325"/>
      <c r="AM104" s="325">
        <f t="shared" si="101"/>
        <v>0.96</v>
      </c>
      <c r="AN104" s="325">
        <f t="shared" si="105"/>
        <v>0</v>
      </c>
      <c r="AO104" s="325">
        <f t="shared" si="106"/>
        <v>0</v>
      </c>
      <c r="AP104" s="325">
        <f t="shared" si="107"/>
        <v>0</v>
      </c>
      <c r="AQ104" s="325">
        <f t="shared" si="108"/>
        <v>0</v>
      </c>
      <c r="AR104" s="325">
        <f t="shared" si="109"/>
        <v>0</v>
      </c>
      <c r="AS104" s="325">
        <f t="shared" si="110"/>
        <v>0</v>
      </c>
      <c r="AT104" s="325">
        <f t="shared" si="111"/>
        <v>0</v>
      </c>
      <c r="AU104" s="325">
        <f t="shared" si="112"/>
        <v>0</v>
      </c>
      <c r="AV104" s="325">
        <f t="shared" si="113"/>
        <v>0</v>
      </c>
      <c r="AW104" s="325">
        <f t="shared" si="114"/>
        <v>0</v>
      </c>
      <c r="AX104" s="325">
        <f t="shared" si="115"/>
        <v>0.96</v>
      </c>
      <c r="AY104" s="325">
        <f t="shared" si="116"/>
        <v>0</v>
      </c>
      <c r="AZ104" s="325">
        <f t="shared" si="117"/>
        <v>0</v>
      </c>
      <c r="BA104" s="325">
        <f t="shared" si="118"/>
        <v>0</v>
      </c>
      <c r="BB104" s="325">
        <f t="shared" si="119"/>
        <v>0</v>
      </c>
      <c r="BC104" s="325">
        <f t="shared" si="120"/>
        <v>0</v>
      </c>
      <c r="BD104" s="342"/>
      <c r="BE104" s="97"/>
    </row>
    <row r="105" ht="36" spans="1:57">
      <c r="A105" s="304" t="s">
        <v>195</v>
      </c>
      <c r="B105" s="304" t="s">
        <v>518</v>
      </c>
      <c r="C105" s="304" t="s">
        <v>519</v>
      </c>
      <c r="D105" s="304" t="s">
        <v>520</v>
      </c>
      <c r="E105" s="325">
        <f t="shared" si="104"/>
        <v>0</v>
      </c>
      <c r="F105" s="325"/>
      <c r="G105" s="325"/>
      <c r="H105" s="325"/>
      <c r="I105" s="325"/>
      <c r="J105" s="325"/>
      <c r="K105" s="325"/>
      <c r="L105" s="325"/>
      <c r="M105" s="325"/>
      <c r="N105" s="325"/>
      <c r="O105" s="325"/>
      <c r="P105" s="325"/>
      <c r="Q105" s="325"/>
      <c r="R105" s="325"/>
      <c r="S105" s="325"/>
      <c r="T105" s="325"/>
      <c r="U105" s="325"/>
      <c r="V105" s="325">
        <f t="shared" si="100"/>
        <v>0</v>
      </c>
      <c r="W105" s="325"/>
      <c r="X105" s="325"/>
      <c r="Y105" s="325"/>
      <c r="Z105" s="325"/>
      <c r="AA105" s="325"/>
      <c r="AB105" s="325"/>
      <c r="AC105" s="325"/>
      <c r="AD105" s="325"/>
      <c r="AE105" s="325"/>
      <c r="AF105" s="325"/>
      <c r="AG105" s="325"/>
      <c r="AH105" s="325"/>
      <c r="AI105" s="325"/>
      <c r="AJ105" s="325"/>
      <c r="AK105" s="325"/>
      <c r="AL105" s="325"/>
      <c r="AM105" s="325">
        <f t="shared" si="101"/>
        <v>0</v>
      </c>
      <c r="AN105" s="325">
        <f t="shared" si="105"/>
        <v>0</v>
      </c>
      <c r="AO105" s="325">
        <f t="shared" si="106"/>
        <v>0</v>
      </c>
      <c r="AP105" s="325">
        <f t="shared" si="107"/>
        <v>0</v>
      </c>
      <c r="AQ105" s="325">
        <f t="shared" si="108"/>
        <v>0</v>
      </c>
      <c r="AR105" s="325">
        <f t="shared" si="109"/>
        <v>0</v>
      </c>
      <c r="AS105" s="325">
        <f t="shared" si="110"/>
        <v>0</v>
      </c>
      <c r="AT105" s="325">
        <f t="shared" si="111"/>
        <v>0</v>
      </c>
      <c r="AU105" s="325">
        <f t="shared" si="112"/>
        <v>0</v>
      </c>
      <c r="AV105" s="325">
        <f t="shared" si="113"/>
        <v>0</v>
      </c>
      <c r="AW105" s="325">
        <f t="shared" si="114"/>
        <v>0</v>
      </c>
      <c r="AX105" s="325">
        <f t="shared" si="115"/>
        <v>0</v>
      </c>
      <c r="AY105" s="325">
        <f t="shared" si="116"/>
        <v>0</v>
      </c>
      <c r="AZ105" s="325">
        <f t="shared" si="117"/>
        <v>0</v>
      </c>
      <c r="BA105" s="325">
        <f t="shared" si="118"/>
        <v>0</v>
      </c>
      <c r="BB105" s="325">
        <f t="shared" si="119"/>
        <v>0</v>
      </c>
      <c r="BC105" s="325">
        <f t="shared" si="120"/>
        <v>0</v>
      </c>
      <c r="BD105" s="342"/>
      <c r="BE105" s="97"/>
    </row>
    <row r="106" ht="24" spans="1:57">
      <c r="A106" s="304" t="s">
        <v>195</v>
      </c>
      <c r="B106" s="304" t="s">
        <v>199</v>
      </c>
      <c r="C106" s="304" t="s">
        <v>793</v>
      </c>
      <c r="D106" s="304" t="s">
        <v>522</v>
      </c>
      <c r="E106" s="325">
        <f t="shared" si="104"/>
        <v>4.26</v>
      </c>
      <c r="F106" s="325"/>
      <c r="G106" s="325"/>
      <c r="H106" s="325"/>
      <c r="I106" s="325"/>
      <c r="J106" s="325"/>
      <c r="K106" s="325"/>
      <c r="L106" s="325"/>
      <c r="M106" s="325"/>
      <c r="N106" s="325"/>
      <c r="O106" s="325"/>
      <c r="P106" s="325">
        <v>4.26</v>
      </c>
      <c r="Q106" s="325"/>
      <c r="R106" s="325"/>
      <c r="S106" s="325"/>
      <c r="T106" s="325"/>
      <c r="U106" s="325"/>
      <c r="V106" s="325">
        <f t="shared" si="100"/>
        <v>0.54</v>
      </c>
      <c r="W106" s="325"/>
      <c r="X106" s="325"/>
      <c r="Y106" s="325"/>
      <c r="Z106" s="325"/>
      <c r="AA106" s="325"/>
      <c r="AB106" s="325"/>
      <c r="AC106" s="325"/>
      <c r="AD106" s="325"/>
      <c r="AE106" s="325"/>
      <c r="AF106" s="325"/>
      <c r="AG106" s="325">
        <v>0.54</v>
      </c>
      <c r="AH106" s="325"/>
      <c r="AI106" s="325"/>
      <c r="AJ106" s="325"/>
      <c r="AK106" s="325"/>
      <c r="AL106" s="325"/>
      <c r="AM106" s="325">
        <f t="shared" si="101"/>
        <v>4.8</v>
      </c>
      <c r="AN106" s="325">
        <f t="shared" si="105"/>
        <v>0</v>
      </c>
      <c r="AO106" s="325">
        <f t="shared" si="106"/>
        <v>0</v>
      </c>
      <c r="AP106" s="325">
        <f t="shared" si="107"/>
        <v>0</v>
      </c>
      <c r="AQ106" s="325">
        <f t="shared" si="108"/>
        <v>0</v>
      </c>
      <c r="AR106" s="325">
        <f t="shared" si="109"/>
        <v>0</v>
      </c>
      <c r="AS106" s="325">
        <f t="shared" si="110"/>
        <v>0</v>
      </c>
      <c r="AT106" s="325">
        <f t="shared" si="111"/>
        <v>0</v>
      </c>
      <c r="AU106" s="325">
        <f t="shared" si="112"/>
        <v>0</v>
      </c>
      <c r="AV106" s="325">
        <f t="shared" si="113"/>
        <v>0</v>
      </c>
      <c r="AW106" s="325">
        <f t="shared" si="114"/>
        <v>0</v>
      </c>
      <c r="AX106" s="325">
        <f t="shared" si="115"/>
        <v>4.8</v>
      </c>
      <c r="AY106" s="325">
        <f t="shared" si="116"/>
        <v>0</v>
      </c>
      <c r="AZ106" s="325">
        <f t="shared" si="117"/>
        <v>0</v>
      </c>
      <c r="BA106" s="325">
        <f t="shared" si="118"/>
        <v>0</v>
      </c>
      <c r="BB106" s="325">
        <f t="shared" si="119"/>
        <v>0</v>
      </c>
      <c r="BC106" s="325">
        <f t="shared" si="120"/>
        <v>0</v>
      </c>
      <c r="BD106" s="342"/>
      <c r="BE106" s="97"/>
    </row>
    <row r="107" ht="24" spans="1:57">
      <c r="A107" s="304" t="s">
        <v>195</v>
      </c>
      <c r="B107" s="304" t="s">
        <v>199</v>
      </c>
      <c r="C107" s="304" t="s">
        <v>534</v>
      </c>
      <c r="D107" s="304" t="s">
        <v>535</v>
      </c>
      <c r="E107" s="325">
        <f t="shared" si="104"/>
        <v>1.71</v>
      </c>
      <c r="F107" s="325"/>
      <c r="G107" s="325"/>
      <c r="H107" s="325"/>
      <c r="I107" s="325"/>
      <c r="J107" s="325"/>
      <c r="K107" s="325"/>
      <c r="L107" s="325"/>
      <c r="M107" s="325"/>
      <c r="N107" s="325"/>
      <c r="O107" s="325"/>
      <c r="P107" s="325">
        <v>1.71</v>
      </c>
      <c r="Q107" s="325"/>
      <c r="R107" s="325"/>
      <c r="S107" s="325"/>
      <c r="T107" s="325"/>
      <c r="U107" s="325"/>
      <c r="V107" s="325">
        <f t="shared" si="100"/>
        <v>1.11</v>
      </c>
      <c r="W107" s="325"/>
      <c r="X107" s="325"/>
      <c r="Y107" s="325"/>
      <c r="Z107" s="325"/>
      <c r="AA107" s="325"/>
      <c r="AB107" s="325"/>
      <c r="AC107" s="325"/>
      <c r="AD107" s="325"/>
      <c r="AE107" s="325"/>
      <c r="AF107" s="325"/>
      <c r="AG107" s="325">
        <v>1.11</v>
      </c>
      <c r="AH107" s="325"/>
      <c r="AI107" s="325"/>
      <c r="AJ107" s="325"/>
      <c r="AK107" s="325"/>
      <c r="AL107" s="325"/>
      <c r="AM107" s="325">
        <f t="shared" si="101"/>
        <v>2.82</v>
      </c>
      <c r="AN107" s="325">
        <f t="shared" si="105"/>
        <v>0</v>
      </c>
      <c r="AO107" s="325">
        <f t="shared" si="106"/>
        <v>0</v>
      </c>
      <c r="AP107" s="325">
        <f t="shared" si="107"/>
        <v>0</v>
      </c>
      <c r="AQ107" s="325">
        <f t="shared" si="108"/>
        <v>0</v>
      </c>
      <c r="AR107" s="325">
        <f t="shared" si="109"/>
        <v>0</v>
      </c>
      <c r="AS107" s="325">
        <f t="shared" si="110"/>
        <v>0</v>
      </c>
      <c r="AT107" s="325">
        <f t="shared" si="111"/>
        <v>0</v>
      </c>
      <c r="AU107" s="325">
        <f t="shared" si="112"/>
        <v>0</v>
      </c>
      <c r="AV107" s="325">
        <f t="shared" si="113"/>
        <v>0</v>
      </c>
      <c r="AW107" s="325">
        <f t="shared" si="114"/>
        <v>0</v>
      </c>
      <c r="AX107" s="325">
        <f t="shared" si="115"/>
        <v>2.82</v>
      </c>
      <c r="AY107" s="325">
        <f t="shared" si="116"/>
        <v>0</v>
      </c>
      <c r="AZ107" s="325">
        <f t="shared" si="117"/>
        <v>0</v>
      </c>
      <c r="BA107" s="325">
        <f t="shared" si="118"/>
        <v>0</v>
      </c>
      <c r="BB107" s="325">
        <f t="shared" si="119"/>
        <v>0</v>
      </c>
      <c r="BC107" s="325">
        <f t="shared" si="120"/>
        <v>0</v>
      </c>
      <c r="BD107" s="342"/>
      <c r="BE107" s="97"/>
    </row>
    <row r="108" ht="36" spans="1:57">
      <c r="A108" s="304" t="s">
        <v>195</v>
      </c>
      <c r="B108" s="304" t="s">
        <v>196</v>
      </c>
      <c r="C108" s="304" t="s">
        <v>536</v>
      </c>
      <c r="D108" s="304" t="s">
        <v>537</v>
      </c>
      <c r="E108" s="325">
        <f t="shared" si="104"/>
        <v>1.71</v>
      </c>
      <c r="F108" s="325"/>
      <c r="G108" s="325"/>
      <c r="H108" s="325"/>
      <c r="I108" s="325"/>
      <c r="J108" s="325"/>
      <c r="K108" s="325"/>
      <c r="L108" s="325"/>
      <c r="M108" s="325"/>
      <c r="N108" s="325"/>
      <c r="O108" s="325">
        <v>1.71</v>
      </c>
      <c r="P108" s="325"/>
      <c r="Q108" s="325"/>
      <c r="R108" s="325"/>
      <c r="S108" s="325"/>
      <c r="T108" s="325"/>
      <c r="U108" s="325"/>
      <c r="V108" s="325">
        <f t="shared" si="100"/>
        <v>0.22</v>
      </c>
      <c r="W108" s="325"/>
      <c r="X108" s="325"/>
      <c r="Y108" s="325"/>
      <c r="Z108" s="325"/>
      <c r="AA108" s="325"/>
      <c r="AB108" s="325"/>
      <c r="AC108" s="325"/>
      <c r="AD108" s="325"/>
      <c r="AE108" s="325"/>
      <c r="AF108" s="325"/>
      <c r="AG108" s="325">
        <v>0.22</v>
      </c>
      <c r="AH108" s="325"/>
      <c r="AI108" s="325"/>
      <c r="AJ108" s="325"/>
      <c r="AK108" s="325"/>
      <c r="AL108" s="325"/>
      <c r="AM108" s="325">
        <f t="shared" si="101"/>
        <v>1.93</v>
      </c>
      <c r="AN108" s="325">
        <f t="shared" si="105"/>
        <v>0</v>
      </c>
      <c r="AO108" s="325">
        <f t="shared" si="106"/>
        <v>0</v>
      </c>
      <c r="AP108" s="325">
        <f t="shared" si="107"/>
        <v>0</v>
      </c>
      <c r="AQ108" s="325">
        <f t="shared" si="108"/>
        <v>0</v>
      </c>
      <c r="AR108" s="325">
        <f t="shared" si="109"/>
        <v>0</v>
      </c>
      <c r="AS108" s="325">
        <f t="shared" si="110"/>
        <v>0</v>
      </c>
      <c r="AT108" s="325">
        <f t="shared" si="111"/>
        <v>0</v>
      </c>
      <c r="AU108" s="325">
        <f t="shared" si="112"/>
        <v>0</v>
      </c>
      <c r="AV108" s="325">
        <f t="shared" si="113"/>
        <v>0</v>
      </c>
      <c r="AW108" s="325">
        <f t="shared" si="114"/>
        <v>1.71</v>
      </c>
      <c r="AX108" s="325">
        <f t="shared" si="115"/>
        <v>0.22</v>
      </c>
      <c r="AY108" s="325">
        <f t="shared" si="116"/>
        <v>0</v>
      </c>
      <c r="AZ108" s="325">
        <f t="shared" si="117"/>
        <v>0</v>
      </c>
      <c r="BA108" s="325">
        <f t="shared" si="118"/>
        <v>0</v>
      </c>
      <c r="BB108" s="325">
        <f t="shared" si="119"/>
        <v>0</v>
      </c>
      <c r="BC108" s="325">
        <f t="shared" si="120"/>
        <v>0</v>
      </c>
      <c r="BD108" s="342"/>
      <c r="BE108" s="97"/>
    </row>
    <row r="109" s="311" customFormat="1" ht="20.15" customHeight="1" spans="1:57">
      <c r="A109" s="326"/>
      <c r="B109" s="327"/>
      <c r="C109" s="328" t="s">
        <v>137</v>
      </c>
      <c r="D109" s="329">
        <v>208</v>
      </c>
      <c r="E109" s="330">
        <f>SUM(E110:E115)</f>
        <v>14699.715</v>
      </c>
      <c r="F109" s="330">
        <f t="shared" ref="F109:BC109" si="121">SUM(F110:F115)</f>
        <v>11000</v>
      </c>
      <c r="G109" s="330">
        <f t="shared" si="121"/>
        <v>87.97</v>
      </c>
      <c r="H109" s="330">
        <f t="shared" si="121"/>
        <v>355.7</v>
      </c>
      <c r="I109" s="330">
        <f t="shared" si="121"/>
        <v>68.02</v>
      </c>
      <c r="J109" s="330">
        <f t="shared" si="121"/>
        <v>212.99</v>
      </c>
      <c r="K109" s="330">
        <f t="shared" si="121"/>
        <v>1385.13</v>
      </c>
      <c r="L109" s="330">
        <f t="shared" si="121"/>
        <v>400</v>
      </c>
      <c r="M109" s="330">
        <f t="shared" si="121"/>
        <v>50</v>
      </c>
      <c r="N109" s="330">
        <f t="shared" si="121"/>
        <v>33.7</v>
      </c>
      <c r="O109" s="330">
        <f t="shared" si="121"/>
        <v>22.27</v>
      </c>
      <c r="P109" s="330">
        <f t="shared" si="121"/>
        <v>1.7</v>
      </c>
      <c r="Q109" s="330">
        <f t="shared" si="121"/>
        <v>1062.855</v>
      </c>
      <c r="R109" s="330">
        <f t="shared" si="121"/>
        <v>0</v>
      </c>
      <c r="S109" s="330">
        <f t="shared" si="121"/>
        <v>0</v>
      </c>
      <c r="T109" s="330">
        <f t="shared" si="121"/>
        <v>0</v>
      </c>
      <c r="U109" s="330">
        <f t="shared" si="121"/>
        <v>19.38</v>
      </c>
      <c r="V109" s="330">
        <f t="shared" si="121"/>
        <v>763.6067</v>
      </c>
      <c r="W109" s="330">
        <f t="shared" si="121"/>
        <v>0</v>
      </c>
      <c r="X109" s="330">
        <f t="shared" si="121"/>
        <v>212.2</v>
      </c>
      <c r="Y109" s="330">
        <f t="shared" si="121"/>
        <v>10.84</v>
      </c>
      <c r="Z109" s="330">
        <f t="shared" si="121"/>
        <v>0</v>
      </c>
      <c r="AA109" s="330">
        <f t="shared" si="121"/>
        <v>0</v>
      </c>
      <c r="AB109" s="330">
        <f t="shared" si="121"/>
        <v>536.96</v>
      </c>
      <c r="AC109" s="330">
        <f t="shared" si="121"/>
        <v>0</v>
      </c>
      <c r="AD109" s="330">
        <f t="shared" si="121"/>
        <v>0</v>
      </c>
      <c r="AE109" s="330">
        <f t="shared" si="121"/>
        <v>1.3</v>
      </c>
      <c r="AF109" s="330">
        <f t="shared" si="121"/>
        <v>1.765</v>
      </c>
      <c r="AG109" s="330">
        <f t="shared" si="121"/>
        <v>0</v>
      </c>
      <c r="AH109" s="330">
        <f t="shared" si="121"/>
        <v>0</v>
      </c>
      <c r="AI109" s="330">
        <f t="shared" si="121"/>
        <v>0</v>
      </c>
      <c r="AJ109" s="330">
        <f t="shared" si="121"/>
        <v>0</v>
      </c>
      <c r="AK109" s="330">
        <f t="shared" si="121"/>
        <v>0</v>
      </c>
      <c r="AL109" s="330">
        <f t="shared" si="121"/>
        <v>0.5417</v>
      </c>
      <c r="AM109" s="330">
        <f t="shared" si="121"/>
        <v>15463.3217</v>
      </c>
      <c r="AN109" s="330">
        <f t="shared" si="121"/>
        <v>11000</v>
      </c>
      <c r="AO109" s="330">
        <f t="shared" si="121"/>
        <v>300.17</v>
      </c>
      <c r="AP109" s="330">
        <f t="shared" si="121"/>
        <v>366.54</v>
      </c>
      <c r="AQ109" s="330">
        <f t="shared" si="121"/>
        <v>68.02</v>
      </c>
      <c r="AR109" s="330">
        <f t="shared" si="121"/>
        <v>212.99</v>
      </c>
      <c r="AS109" s="330">
        <f t="shared" si="121"/>
        <v>1922.09</v>
      </c>
      <c r="AT109" s="330">
        <f t="shared" si="121"/>
        <v>400</v>
      </c>
      <c r="AU109" s="330">
        <f t="shared" si="121"/>
        <v>50</v>
      </c>
      <c r="AV109" s="330">
        <f t="shared" si="121"/>
        <v>35</v>
      </c>
      <c r="AW109" s="330">
        <f t="shared" si="121"/>
        <v>24.035</v>
      </c>
      <c r="AX109" s="330">
        <f t="shared" si="121"/>
        <v>1.7</v>
      </c>
      <c r="AY109" s="330">
        <f t="shared" si="121"/>
        <v>1062.855</v>
      </c>
      <c r="AZ109" s="330">
        <f t="shared" si="121"/>
        <v>0</v>
      </c>
      <c r="BA109" s="330">
        <f t="shared" si="121"/>
        <v>0</v>
      </c>
      <c r="BB109" s="330">
        <f t="shared" si="121"/>
        <v>0</v>
      </c>
      <c r="BC109" s="330">
        <f t="shared" si="121"/>
        <v>19.9217</v>
      </c>
      <c r="BD109" s="341"/>
      <c r="BE109" s="346"/>
    </row>
    <row r="110" ht="58" customHeight="1" spans="1:57">
      <c r="A110" s="304" t="s">
        <v>540</v>
      </c>
      <c r="B110" s="304" t="s">
        <v>196</v>
      </c>
      <c r="C110" s="304" t="s">
        <v>541</v>
      </c>
      <c r="D110" s="304" t="s">
        <v>542</v>
      </c>
      <c r="E110" s="325">
        <f t="shared" ref="E110:E115" si="122">SUM(F110:U110)</f>
        <v>190.5</v>
      </c>
      <c r="F110" s="325"/>
      <c r="G110" s="325"/>
      <c r="H110" s="325"/>
      <c r="I110" s="325"/>
      <c r="J110" s="325"/>
      <c r="K110" s="325"/>
      <c r="L110" s="325"/>
      <c r="M110" s="325">
        <v>50</v>
      </c>
      <c r="N110" s="325"/>
      <c r="O110" s="325">
        <v>5.11</v>
      </c>
      <c r="P110" s="325"/>
      <c r="Q110" s="325">
        <v>135.39</v>
      </c>
      <c r="R110" s="325"/>
      <c r="S110" s="325"/>
      <c r="T110" s="325"/>
      <c r="U110" s="325"/>
      <c r="V110" s="325">
        <f t="shared" ref="V110:V115" si="123">SUM(W110:AL110)</f>
        <v>1.537</v>
      </c>
      <c r="W110" s="325"/>
      <c r="X110" s="325"/>
      <c r="Y110" s="325"/>
      <c r="Z110" s="325"/>
      <c r="AA110" s="325"/>
      <c r="AB110" s="325"/>
      <c r="AC110" s="325"/>
      <c r="AD110" s="325"/>
      <c r="AE110" s="325"/>
      <c r="AF110" s="325">
        <v>1.537</v>
      </c>
      <c r="AG110" s="325"/>
      <c r="AH110" s="325"/>
      <c r="AI110" s="325"/>
      <c r="AJ110" s="325"/>
      <c r="AK110" s="325"/>
      <c r="AL110" s="325"/>
      <c r="AM110" s="325">
        <f t="shared" ref="AM110:AM115" si="124">SUM(AN110:BC110)</f>
        <v>192.037</v>
      </c>
      <c r="AN110" s="325">
        <f t="shared" ref="AN110:AN115" si="125">F110+W110</f>
        <v>0</v>
      </c>
      <c r="AO110" s="325">
        <f t="shared" ref="AO110:AO115" si="126">G110+X110</f>
        <v>0</v>
      </c>
      <c r="AP110" s="325">
        <f t="shared" ref="AP110:AP115" si="127">H110+Y110</f>
        <v>0</v>
      </c>
      <c r="AQ110" s="325">
        <f t="shared" ref="AQ110:AQ115" si="128">I110+Z110</f>
        <v>0</v>
      </c>
      <c r="AR110" s="325">
        <f t="shared" ref="AR110:AR115" si="129">J110+AA110</f>
        <v>0</v>
      </c>
      <c r="AS110" s="325">
        <f t="shared" ref="AS110:AS115" si="130">K110+AB110</f>
        <v>0</v>
      </c>
      <c r="AT110" s="325">
        <f t="shared" ref="AT110:AT115" si="131">L110+AC110</f>
        <v>0</v>
      </c>
      <c r="AU110" s="325">
        <f t="shared" ref="AU110:AU115" si="132">M110+AD110</f>
        <v>50</v>
      </c>
      <c r="AV110" s="325">
        <f t="shared" ref="AV110:AV115" si="133">N110+AE110</f>
        <v>0</v>
      </c>
      <c r="AW110" s="325">
        <f t="shared" ref="AW110:AW115" si="134">O110+AF110</f>
        <v>6.647</v>
      </c>
      <c r="AX110" s="325">
        <f t="shared" ref="AX110:AX115" si="135">P110+AG110</f>
        <v>0</v>
      </c>
      <c r="AY110" s="325">
        <f t="shared" ref="AY110:AY115" si="136">Q110+AH110</f>
        <v>135.39</v>
      </c>
      <c r="AZ110" s="325">
        <f t="shared" ref="AZ110:AZ115" si="137">R110+AI110</f>
        <v>0</v>
      </c>
      <c r="BA110" s="325">
        <f t="shared" ref="BA110:BA115" si="138">S110+AJ110</f>
        <v>0</v>
      </c>
      <c r="BB110" s="325">
        <f t="shared" ref="BB110:BB115" si="139">T110+AK110</f>
        <v>0</v>
      </c>
      <c r="BC110" s="325">
        <f t="shared" ref="BC110:BC115" si="140">U110+AL110</f>
        <v>0</v>
      </c>
      <c r="BD110" s="342"/>
      <c r="BE110" s="97" t="s">
        <v>920</v>
      </c>
    </row>
    <row r="111" ht="48" spans="1:57">
      <c r="A111" s="304" t="s">
        <v>540</v>
      </c>
      <c r="B111" s="304" t="s">
        <v>199</v>
      </c>
      <c r="C111" s="304" t="s">
        <v>550</v>
      </c>
      <c r="D111" s="304" t="s">
        <v>549</v>
      </c>
      <c r="E111" s="325">
        <f t="shared" si="122"/>
        <v>2.8</v>
      </c>
      <c r="F111" s="325"/>
      <c r="G111" s="325"/>
      <c r="H111" s="325"/>
      <c r="I111" s="325"/>
      <c r="J111" s="325"/>
      <c r="K111" s="325"/>
      <c r="L111" s="325"/>
      <c r="M111" s="325"/>
      <c r="N111" s="325"/>
      <c r="O111" s="325"/>
      <c r="P111" s="325"/>
      <c r="Q111" s="325"/>
      <c r="R111" s="325"/>
      <c r="S111" s="325"/>
      <c r="T111" s="325"/>
      <c r="U111" s="325">
        <v>2.8</v>
      </c>
      <c r="V111" s="325">
        <f t="shared" si="123"/>
        <v>0</v>
      </c>
      <c r="W111" s="325"/>
      <c r="X111" s="325"/>
      <c r="Y111" s="325"/>
      <c r="Z111" s="325"/>
      <c r="AA111" s="325"/>
      <c r="AB111" s="325"/>
      <c r="AC111" s="325"/>
      <c r="AD111" s="325"/>
      <c r="AE111" s="325"/>
      <c r="AF111" s="325"/>
      <c r="AG111" s="325"/>
      <c r="AH111" s="325"/>
      <c r="AI111" s="325"/>
      <c r="AJ111" s="325"/>
      <c r="AK111" s="325"/>
      <c r="AL111" s="325"/>
      <c r="AM111" s="325">
        <f t="shared" si="124"/>
        <v>2.8</v>
      </c>
      <c r="AN111" s="325">
        <f t="shared" si="125"/>
        <v>0</v>
      </c>
      <c r="AO111" s="325">
        <f t="shared" si="126"/>
        <v>0</v>
      </c>
      <c r="AP111" s="325">
        <f t="shared" si="127"/>
        <v>0</v>
      </c>
      <c r="AQ111" s="325">
        <f t="shared" si="128"/>
        <v>0</v>
      </c>
      <c r="AR111" s="325">
        <f t="shared" si="129"/>
        <v>0</v>
      </c>
      <c r="AS111" s="325">
        <f t="shared" si="130"/>
        <v>0</v>
      </c>
      <c r="AT111" s="325">
        <f t="shared" si="131"/>
        <v>0</v>
      </c>
      <c r="AU111" s="325">
        <f t="shared" si="132"/>
        <v>0</v>
      </c>
      <c r="AV111" s="325">
        <f t="shared" si="133"/>
        <v>0</v>
      </c>
      <c r="AW111" s="325">
        <f t="shared" si="134"/>
        <v>0</v>
      </c>
      <c r="AX111" s="325">
        <f t="shared" si="135"/>
        <v>0</v>
      </c>
      <c r="AY111" s="325">
        <f t="shared" si="136"/>
        <v>0</v>
      </c>
      <c r="AZ111" s="325">
        <f t="shared" si="137"/>
        <v>0</v>
      </c>
      <c r="BA111" s="325">
        <f t="shared" si="138"/>
        <v>0</v>
      </c>
      <c r="BB111" s="325">
        <f t="shared" si="139"/>
        <v>0</v>
      </c>
      <c r="BC111" s="325">
        <f t="shared" si="140"/>
        <v>2.8</v>
      </c>
      <c r="BD111" s="342"/>
      <c r="BE111" s="97" t="s">
        <v>921</v>
      </c>
    </row>
    <row r="112" ht="44" customHeight="1" spans="1:57">
      <c r="A112" s="304" t="s">
        <v>540</v>
      </c>
      <c r="B112" s="304" t="s">
        <v>196</v>
      </c>
      <c r="C112" s="304" t="s">
        <v>553</v>
      </c>
      <c r="D112" s="304" t="s">
        <v>556</v>
      </c>
      <c r="E112" s="325">
        <f t="shared" si="122"/>
        <v>944.625</v>
      </c>
      <c r="F112" s="325"/>
      <c r="G112" s="325"/>
      <c r="H112" s="325"/>
      <c r="I112" s="325"/>
      <c r="J112" s="325"/>
      <c r="K112" s="325"/>
      <c r="L112" s="325"/>
      <c r="M112" s="325"/>
      <c r="N112" s="325"/>
      <c r="O112" s="325">
        <v>17.16</v>
      </c>
      <c r="P112" s="325"/>
      <c r="Q112" s="348">
        <f>199.48+15+523.67+5.5+3.36+90.57+6.067+0.96+1.068+51.12+30.67</f>
        <v>927.465</v>
      </c>
      <c r="R112" s="325"/>
      <c r="S112" s="325"/>
      <c r="T112" s="325"/>
      <c r="U112" s="325"/>
      <c r="V112" s="325">
        <f t="shared" si="123"/>
        <v>0.228</v>
      </c>
      <c r="W112" s="325"/>
      <c r="X112" s="325"/>
      <c r="Y112" s="325"/>
      <c r="Z112" s="325"/>
      <c r="AA112" s="325"/>
      <c r="AB112" s="325"/>
      <c r="AC112" s="325"/>
      <c r="AD112" s="325"/>
      <c r="AE112" s="325"/>
      <c r="AF112" s="325">
        <v>0.228</v>
      </c>
      <c r="AG112" s="325"/>
      <c r="AH112" s="348"/>
      <c r="AI112" s="325"/>
      <c r="AJ112" s="325"/>
      <c r="AK112" s="325"/>
      <c r="AL112" s="325"/>
      <c r="AM112" s="325">
        <f t="shared" si="124"/>
        <v>944.853</v>
      </c>
      <c r="AN112" s="325">
        <f t="shared" si="125"/>
        <v>0</v>
      </c>
      <c r="AO112" s="325">
        <f t="shared" si="126"/>
        <v>0</v>
      </c>
      <c r="AP112" s="325">
        <f t="shared" si="127"/>
        <v>0</v>
      </c>
      <c r="AQ112" s="325">
        <f t="shared" si="128"/>
        <v>0</v>
      </c>
      <c r="AR112" s="325">
        <f t="shared" si="129"/>
        <v>0</v>
      </c>
      <c r="AS112" s="325">
        <f t="shared" si="130"/>
        <v>0</v>
      </c>
      <c r="AT112" s="325">
        <f t="shared" si="131"/>
        <v>0</v>
      </c>
      <c r="AU112" s="325">
        <f t="shared" si="132"/>
        <v>0</v>
      </c>
      <c r="AV112" s="325">
        <f t="shared" si="133"/>
        <v>0</v>
      </c>
      <c r="AW112" s="325">
        <f t="shared" si="134"/>
        <v>17.388</v>
      </c>
      <c r="AX112" s="325">
        <f t="shared" si="135"/>
        <v>0</v>
      </c>
      <c r="AY112" s="325">
        <f t="shared" si="136"/>
        <v>927.465</v>
      </c>
      <c r="AZ112" s="325">
        <f t="shared" si="137"/>
        <v>0</v>
      </c>
      <c r="BA112" s="325">
        <f t="shared" si="138"/>
        <v>0</v>
      </c>
      <c r="BB112" s="325">
        <f t="shared" si="139"/>
        <v>0</v>
      </c>
      <c r="BC112" s="325">
        <f t="shared" si="140"/>
        <v>0</v>
      </c>
      <c r="BD112" s="342"/>
      <c r="BE112" s="97" t="s">
        <v>922</v>
      </c>
    </row>
    <row r="113" ht="60" spans="1:57">
      <c r="A113" s="304" t="s">
        <v>540</v>
      </c>
      <c r="B113" s="304"/>
      <c r="C113" s="304" t="s">
        <v>923</v>
      </c>
      <c r="D113" s="304" t="s">
        <v>924</v>
      </c>
      <c r="E113" s="325">
        <f t="shared" si="122"/>
        <v>11400</v>
      </c>
      <c r="F113" s="325">
        <v>11000</v>
      </c>
      <c r="G113" s="325"/>
      <c r="H113" s="325"/>
      <c r="I113" s="325"/>
      <c r="J113" s="325"/>
      <c r="K113" s="325"/>
      <c r="L113" s="325">
        <v>400</v>
      </c>
      <c r="M113" s="325"/>
      <c r="N113" s="325"/>
      <c r="O113" s="325"/>
      <c r="P113" s="325"/>
      <c r="Q113" s="325"/>
      <c r="R113" s="325"/>
      <c r="S113" s="325"/>
      <c r="T113" s="325"/>
      <c r="U113" s="325"/>
      <c r="V113" s="325">
        <f t="shared" si="123"/>
        <v>0</v>
      </c>
      <c r="W113" s="325"/>
      <c r="X113" s="325"/>
      <c r="Y113" s="325"/>
      <c r="Z113" s="325"/>
      <c r="AA113" s="325"/>
      <c r="AB113" s="325"/>
      <c r="AC113" s="325"/>
      <c r="AD113" s="325"/>
      <c r="AE113" s="325"/>
      <c r="AF113" s="325"/>
      <c r="AG113" s="325"/>
      <c r="AH113" s="325"/>
      <c r="AI113" s="325"/>
      <c r="AJ113" s="325"/>
      <c r="AK113" s="325"/>
      <c r="AL113" s="325"/>
      <c r="AM113" s="325">
        <f t="shared" si="124"/>
        <v>11400</v>
      </c>
      <c r="AN113" s="325">
        <f t="shared" si="125"/>
        <v>11000</v>
      </c>
      <c r="AO113" s="325">
        <f t="shared" si="126"/>
        <v>0</v>
      </c>
      <c r="AP113" s="325">
        <f t="shared" si="127"/>
        <v>0</v>
      </c>
      <c r="AQ113" s="325">
        <f t="shared" si="128"/>
        <v>0</v>
      </c>
      <c r="AR113" s="325">
        <f t="shared" si="129"/>
        <v>0</v>
      </c>
      <c r="AS113" s="325">
        <f t="shared" si="130"/>
        <v>0</v>
      </c>
      <c r="AT113" s="325">
        <f t="shared" si="131"/>
        <v>400</v>
      </c>
      <c r="AU113" s="325">
        <f t="shared" si="132"/>
        <v>0</v>
      </c>
      <c r="AV113" s="325">
        <f t="shared" si="133"/>
        <v>0</v>
      </c>
      <c r="AW113" s="325">
        <f t="shared" si="134"/>
        <v>0</v>
      </c>
      <c r="AX113" s="325">
        <f t="shared" si="135"/>
        <v>0</v>
      </c>
      <c r="AY113" s="325">
        <f t="shared" si="136"/>
        <v>0</v>
      </c>
      <c r="AZ113" s="325">
        <f t="shared" si="137"/>
        <v>0</v>
      </c>
      <c r="BA113" s="325">
        <f t="shared" si="138"/>
        <v>0</v>
      </c>
      <c r="BB113" s="325">
        <f t="shared" si="139"/>
        <v>0</v>
      </c>
      <c r="BC113" s="325">
        <f t="shared" si="140"/>
        <v>0</v>
      </c>
      <c r="BD113" s="342"/>
      <c r="BE113" s="97"/>
    </row>
    <row r="114" ht="48" spans="1:57">
      <c r="A114" s="304" t="s">
        <v>540</v>
      </c>
      <c r="B114" s="304" t="s">
        <v>199</v>
      </c>
      <c r="C114" s="304" t="s">
        <v>548</v>
      </c>
      <c r="D114" s="304" t="s">
        <v>925</v>
      </c>
      <c r="E114" s="325">
        <f t="shared" si="122"/>
        <v>2143.51</v>
      </c>
      <c r="F114" s="325"/>
      <c r="G114" s="325">
        <v>87.97</v>
      </c>
      <c r="H114" s="325">
        <v>355.7</v>
      </c>
      <c r="I114" s="325">
        <v>68.02</v>
      </c>
      <c r="J114" s="325">
        <v>212.99</v>
      </c>
      <c r="K114" s="325">
        <v>1385.13</v>
      </c>
      <c r="L114" s="325"/>
      <c r="M114" s="325"/>
      <c r="N114" s="325">
        <v>33.7</v>
      </c>
      <c r="O114" s="325"/>
      <c r="P114" s="325"/>
      <c r="Q114" s="325"/>
      <c r="R114" s="325"/>
      <c r="S114" s="325"/>
      <c r="T114" s="325"/>
      <c r="U114" s="325"/>
      <c r="V114" s="325">
        <f t="shared" si="123"/>
        <v>761.3</v>
      </c>
      <c r="W114" s="325"/>
      <c r="X114" s="325">
        <v>212.2</v>
      </c>
      <c r="Y114" s="325">
        <v>10.84</v>
      </c>
      <c r="Z114" s="325"/>
      <c r="AA114" s="325"/>
      <c r="AB114" s="325">
        <v>536.96</v>
      </c>
      <c r="AC114" s="325"/>
      <c r="AD114" s="325"/>
      <c r="AE114" s="325">
        <v>1.3</v>
      </c>
      <c r="AF114" s="325"/>
      <c r="AG114" s="325"/>
      <c r="AH114" s="325"/>
      <c r="AI114" s="325"/>
      <c r="AJ114" s="325"/>
      <c r="AK114" s="325"/>
      <c r="AL114" s="325"/>
      <c r="AM114" s="325">
        <f t="shared" si="124"/>
        <v>2904.81</v>
      </c>
      <c r="AN114" s="325">
        <f t="shared" si="125"/>
        <v>0</v>
      </c>
      <c r="AO114" s="325">
        <f t="shared" si="126"/>
        <v>300.17</v>
      </c>
      <c r="AP114" s="325">
        <f t="shared" si="127"/>
        <v>366.54</v>
      </c>
      <c r="AQ114" s="325">
        <f t="shared" si="128"/>
        <v>68.02</v>
      </c>
      <c r="AR114" s="325">
        <f t="shared" si="129"/>
        <v>212.99</v>
      </c>
      <c r="AS114" s="325">
        <f t="shared" si="130"/>
        <v>1922.09</v>
      </c>
      <c r="AT114" s="325">
        <f t="shared" si="131"/>
        <v>0</v>
      </c>
      <c r="AU114" s="325">
        <f t="shared" si="132"/>
        <v>0</v>
      </c>
      <c r="AV114" s="325">
        <f t="shared" si="133"/>
        <v>35</v>
      </c>
      <c r="AW114" s="325">
        <f t="shared" si="134"/>
        <v>0</v>
      </c>
      <c r="AX114" s="325">
        <f t="shared" si="135"/>
        <v>0</v>
      </c>
      <c r="AY114" s="325">
        <f t="shared" si="136"/>
        <v>0</v>
      </c>
      <c r="AZ114" s="325">
        <f t="shared" si="137"/>
        <v>0</v>
      </c>
      <c r="BA114" s="325">
        <f t="shared" si="138"/>
        <v>0</v>
      </c>
      <c r="BB114" s="325">
        <f t="shared" si="139"/>
        <v>0</v>
      </c>
      <c r="BC114" s="325">
        <f t="shared" si="140"/>
        <v>0</v>
      </c>
      <c r="BD114" s="342"/>
      <c r="BE114" s="97"/>
    </row>
    <row r="115" ht="36" spans="1:57">
      <c r="A115" s="304" t="s">
        <v>540</v>
      </c>
      <c r="B115" s="304" t="s">
        <v>199</v>
      </c>
      <c r="C115" s="304" t="s">
        <v>565</v>
      </c>
      <c r="D115" s="304" t="s">
        <v>566</v>
      </c>
      <c r="E115" s="325">
        <f t="shared" si="122"/>
        <v>18.28</v>
      </c>
      <c r="F115" s="325"/>
      <c r="G115" s="325"/>
      <c r="H115" s="325"/>
      <c r="I115" s="325"/>
      <c r="J115" s="325"/>
      <c r="K115" s="325"/>
      <c r="L115" s="325"/>
      <c r="M115" s="325"/>
      <c r="N115" s="325"/>
      <c r="O115" s="325"/>
      <c r="P115" s="325">
        <v>1.7</v>
      </c>
      <c r="Q115" s="325"/>
      <c r="R115" s="325"/>
      <c r="S115" s="325"/>
      <c r="T115" s="325"/>
      <c r="U115" s="325">
        <v>16.58</v>
      </c>
      <c r="V115" s="325">
        <f t="shared" si="123"/>
        <v>0.5417</v>
      </c>
      <c r="W115" s="325"/>
      <c r="X115" s="325"/>
      <c r="Y115" s="325"/>
      <c r="Z115" s="325"/>
      <c r="AA115" s="325"/>
      <c r="AB115" s="325"/>
      <c r="AC115" s="325"/>
      <c r="AD115" s="325"/>
      <c r="AE115" s="325"/>
      <c r="AF115" s="325"/>
      <c r="AG115" s="325"/>
      <c r="AH115" s="325"/>
      <c r="AI115" s="325"/>
      <c r="AJ115" s="325"/>
      <c r="AK115" s="325"/>
      <c r="AL115" s="325">
        <v>0.5417</v>
      </c>
      <c r="AM115" s="325">
        <f t="shared" si="124"/>
        <v>18.8217</v>
      </c>
      <c r="AN115" s="325">
        <f t="shared" si="125"/>
        <v>0</v>
      </c>
      <c r="AO115" s="325">
        <f t="shared" si="126"/>
        <v>0</v>
      </c>
      <c r="AP115" s="325">
        <f t="shared" si="127"/>
        <v>0</v>
      </c>
      <c r="AQ115" s="325">
        <f t="shared" si="128"/>
        <v>0</v>
      </c>
      <c r="AR115" s="325">
        <f t="shared" si="129"/>
        <v>0</v>
      </c>
      <c r="AS115" s="325">
        <f t="shared" si="130"/>
        <v>0</v>
      </c>
      <c r="AT115" s="325">
        <f t="shared" si="131"/>
        <v>0</v>
      </c>
      <c r="AU115" s="325">
        <f t="shared" si="132"/>
        <v>0</v>
      </c>
      <c r="AV115" s="325">
        <f t="shared" si="133"/>
        <v>0</v>
      </c>
      <c r="AW115" s="325">
        <f t="shared" si="134"/>
        <v>0</v>
      </c>
      <c r="AX115" s="325">
        <f t="shared" si="135"/>
        <v>1.7</v>
      </c>
      <c r="AY115" s="325">
        <f t="shared" si="136"/>
        <v>0</v>
      </c>
      <c r="AZ115" s="325">
        <f t="shared" si="137"/>
        <v>0</v>
      </c>
      <c r="BA115" s="325">
        <f t="shared" si="138"/>
        <v>0</v>
      </c>
      <c r="BB115" s="325">
        <f t="shared" si="139"/>
        <v>0</v>
      </c>
      <c r="BC115" s="325">
        <f t="shared" si="140"/>
        <v>17.1217</v>
      </c>
      <c r="BD115" s="342"/>
      <c r="BE115" s="97" t="s">
        <v>926</v>
      </c>
    </row>
    <row r="116" s="311" customFormat="1" ht="20.15" customHeight="1" spans="1:57">
      <c r="A116" s="326"/>
      <c r="B116" s="327"/>
      <c r="C116" s="328" t="s">
        <v>138</v>
      </c>
      <c r="D116" s="329">
        <v>210</v>
      </c>
      <c r="E116" s="330">
        <f>SUM(E117:E133)</f>
        <v>49.084</v>
      </c>
      <c r="F116" s="330">
        <f t="shared" ref="F116:BC116" si="141">SUM(F117:F133)</f>
        <v>0</v>
      </c>
      <c r="G116" s="330">
        <f t="shared" si="141"/>
        <v>0</v>
      </c>
      <c r="H116" s="330">
        <f t="shared" si="141"/>
        <v>0</v>
      </c>
      <c r="I116" s="330">
        <f t="shared" si="141"/>
        <v>0</v>
      </c>
      <c r="J116" s="330">
        <f t="shared" si="141"/>
        <v>0</v>
      </c>
      <c r="K116" s="330">
        <f t="shared" si="141"/>
        <v>0</v>
      </c>
      <c r="L116" s="330">
        <f t="shared" si="141"/>
        <v>0</v>
      </c>
      <c r="M116" s="330">
        <f t="shared" si="141"/>
        <v>0</v>
      </c>
      <c r="N116" s="330">
        <f t="shared" si="141"/>
        <v>0</v>
      </c>
      <c r="O116" s="330">
        <f t="shared" si="141"/>
        <v>9.12</v>
      </c>
      <c r="P116" s="330">
        <f t="shared" si="141"/>
        <v>39.964</v>
      </c>
      <c r="Q116" s="330">
        <f t="shared" si="141"/>
        <v>0</v>
      </c>
      <c r="R116" s="330">
        <f t="shared" si="141"/>
        <v>0</v>
      </c>
      <c r="S116" s="330">
        <f t="shared" si="141"/>
        <v>0</v>
      </c>
      <c r="T116" s="330">
        <f t="shared" si="141"/>
        <v>0</v>
      </c>
      <c r="U116" s="330">
        <f t="shared" si="141"/>
        <v>0</v>
      </c>
      <c r="V116" s="330">
        <f t="shared" si="141"/>
        <v>29.6951</v>
      </c>
      <c r="W116" s="330">
        <f t="shared" si="141"/>
        <v>0</v>
      </c>
      <c r="X116" s="330">
        <f t="shared" si="141"/>
        <v>0</v>
      </c>
      <c r="Y116" s="330">
        <f t="shared" si="141"/>
        <v>0</v>
      </c>
      <c r="Z116" s="330">
        <f t="shared" si="141"/>
        <v>0</v>
      </c>
      <c r="AA116" s="330">
        <f t="shared" si="141"/>
        <v>0</v>
      </c>
      <c r="AB116" s="330">
        <f t="shared" si="141"/>
        <v>0</v>
      </c>
      <c r="AC116" s="330">
        <f t="shared" si="141"/>
        <v>0</v>
      </c>
      <c r="AD116" s="330">
        <f t="shared" si="141"/>
        <v>0</v>
      </c>
      <c r="AE116" s="330">
        <f t="shared" si="141"/>
        <v>0</v>
      </c>
      <c r="AF116" s="330">
        <f t="shared" si="141"/>
        <v>0.0324</v>
      </c>
      <c r="AG116" s="330">
        <f t="shared" si="141"/>
        <v>1.1947</v>
      </c>
      <c r="AH116" s="330">
        <f t="shared" si="141"/>
        <v>0</v>
      </c>
      <c r="AI116" s="330">
        <f t="shared" si="141"/>
        <v>0</v>
      </c>
      <c r="AJ116" s="330">
        <f t="shared" si="141"/>
        <v>0</v>
      </c>
      <c r="AK116" s="330">
        <f t="shared" si="141"/>
        <v>0</v>
      </c>
      <c r="AL116" s="330">
        <f t="shared" si="141"/>
        <v>28.468</v>
      </c>
      <c r="AM116" s="330">
        <f t="shared" si="141"/>
        <v>78.7791</v>
      </c>
      <c r="AN116" s="330">
        <f t="shared" si="141"/>
        <v>0</v>
      </c>
      <c r="AO116" s="330">
        <f t="shared" si="141"/>
        <v>0</v>
      </c>
      <c r="AP116" s="330">
        <f t="shared" si="141"/>
        <v>0</v>
      </c>
      <c r="AQ116" s="330">
        <f t="shared" si="141"/>
        <v>0</v>
      </c>
      <c r="AR116" s="330">
        <f t="shared" si="141"/>
        <v>0</v>
      </c>
      <c r="AS116" s="330">
        <f t="shared" si="141"/>
        <v>0</v>
      </c>
      <c r="AT116" s="330">
        <f t="shared" si="141"/>
        <v>0</v>
      </c>
      <c r="AU116" s="330">
        <f t="shared" si="141"/>
        <v>0</v>
      </c>
      <c r="AV116" s="330">
        <f t="shared" si="141"/>
        <v>0</v>
      </c>
      <c r="AW116" s="330">
        <f t="shared" si="141"/>
        <v>9.1524</v>
      </c>
      <c r="AX116" s="330">
        <f t="shared" si="141"/>
        <v>41.1587</v>
      </c>
      <c r="AY116" s="330">
        <f t="shared" si="141"/>
        <v>0</v>
      </c>
      <c r="AZ116" s="330">
        <f t="shared" si="141"/>
        <v>0</v>
      </c>
      <c r="BA116" s="330">
        <f t="shared" si="141"/>
        <v>0</v>
      </c>
      <c r="BB116" s="330">
        <f t="shared" si="141"/>
        <v>0</v>
      </c>
      <c r="BC116" s="330">
        <f t="shared" si="141"/>
        <v>28.468</v>
      </c>
      <c r="BD116" s="341"/>
      <c r="BE116" s="346"/>
    </row>
    <row r="117" ht="24" spans="1:57">
      <c r="A117" s="304" t="s">
        <v>540</v>
      </c>
      <c r="B117" s="304" t="s">
        <v>196</v>
      </c>
      <c r="C117" s="304" t="s">
        <v>577</v>
      </c>
      <c r="D117" s="304" t="s">
        <v>578</v>
      </c>
      <c r="E117" s="325">
        <f t="shared" ref="E117:E123" si="142">SUM(F117:U117)</f>
        <v>8.86</v>
      </c>
      <c r="F117" s="325"/>
      <c r="G117" s="325"/>
      <c r="H117" s="325"/>
      <c r="I117" s="325"/>
      <c r="J117" s="325"/>
      <c r="K117" s="325"/>
      <c r="L117" s="325"/>
      <c r="M117" s="325"/>
      <c r="N117" s="325"/>
      <c r="O117" s="325">
        <v>8.86</v>
      </c>
      <c r="P117" s="325"/>
      <c r="Q117" s="325"/>
      <c r="R117" s="325"/>
      <c r="S117" s="325"/>
      <c r="T117" s="325"/>
      <c r="U117" s="325"/>
      <c r="V117" s="325">
        <f t="shared" ref="V117:V133" si="143">SUM(W117:AL117)</f>
        <v>0</v>
      </c>
      <c r="W117" s="325"/>
      <c r="X117" s="325"/>
      <c r="Y117" s="325"/>
      <c r="Z117" s="325"/>
      <c r="AA117" s="325"/>
      <c r="AB117" s="325"/>
      <c r="AC117" s="325"/>
      <c r="AD117" s="325"/>
      <c r="AE117" s="325"/>
      <c r="AF117" s="325"/>
      <c r="AG117" s="325"/>
      <c r="AH117" s="325"/>
      <c r="AI117" s="325"/>
      <c r="AJ117" s="325"/>
      <c r="AK117" s="325"/>
      <c r="AL117" s="325"/>
      <c r="AM117" s="325">
        <f t="shared" ref="AM117:AM133" si="144">SUM(AN117:BC117)</f>
        <v>8.86</v>
      </c>
      <c r="AN117" s="325">
        <f t="shared" ref="AN117:AN133" si="145">F117+W117</f>
        <v>0</v>
      </c>
      <c r="AO117" s="325">
        <f t="shared" ref="AO117:AO133" si="146">G117+X117</f>
        <v>0</v>
      </c>
      <c r="AP117" s="325">
        <f t="shared" ref="AP117:AP133" si="147">H117+Y117</f>
        <v>0</v>
      </c>
      <c r="AQ117" s="325">
        <f t="shared" ref="AQ117:AQ133" si="148">I117+Z117</f>
        <v>0</v>
      </c>
      <c r="AR117" s="325">
        <f t="shared" ref="AR117:AR133" si="149">J117+AA117</f>
        <v>0</v>
      </c>
      <c r="AS117" s="325">
        <f t="shared" ref="AS117:AS133" si="150">K117+AB117</f>
        <v>0</v>
      </c>
      <c r="AT117" s="325">
        <f t="shared" ref="AT117:AT133" si="151">L117+AC117</f>
        <v>0</v>
      </c>
      <c r="AU117" s="325">
        <f t="shared" ref="AU117:AU133" si="152">M117+AD117</f>
        <v>0</v>
      </c>
      <c r="AV117" s="325">
        <f t="shared" ref="AV117:AV133" si="153">N117+AE117</f>
        <v>0</v>
      </c>
      <c r="AW117" s="325">
        <f t="shared" ref="AW117:AW133" si="154">O117+AF117</f>
        <v>8.86</v>
      </c>
      <c r="AX117" s="325">
        <f t="shared" ref="AX117:AX133" si="155">P117+AG117</f>
        <v>0</v>
      </c>
      <c r="AY117" s="325">
        <f t="shared" ref="AY117:AY133" si="156">Q117+AH117</f>
        <v>0</v>
      </c>
      <c r="AZ117" s="325">
        <f t="shared" ref="AZ117:AZ133" si="157">R117+AI117</f>
        <v>0</v>
      </c>
      <c r="BA117" s="325">
        <f t="shared" ref="BA117:BA133" si="158">S117+AJ117</f>
        <v>0</v>
      </c>
      <c r="BB117" s="325">
        <f t="shared" ref="BB117:BB133" si="159">T117+AK117</f>
        <v>0</v>
      </c>
      <c r="BC117" s="325">
        <f t="shared" ref="BC117:BC133" si="160">U117+AL117</f>
        <v>0</v>
      </c>
      <c r="BD117" s="342"/>
      <c r="BE117" s="97"/>
    </row>
    <row r="118" ht="36" spans="1:57">
      <c r="A118" s="304" t="s">
        <v>540</v>
      </c>
      <c r="B118" s="304" t="s">
        <v>199</v>
      </c>
      <c r="C118" s="304" t="s">
        <v>591</v>
      </c>
      <c r="D118" s="347" t="s">
        <v>592</v>
      </c>
      <c r="E118" s="325">
        <f t="shared" si="142"/>
        <v>3.408</v>
      </c>
      <c r="F118" s="325"/>
      <c r="G118" s="325"/>
      <c r="H118" s="325"/>
      <c r="I118" s="325"/>
      <c r="J118" s="325"/>
      <c r="K118" s="325"/>
      <c r="L118" s="325"/>
      <c r="M118" s="325"/>
      <c r="N118" s="325"/>
      <c r="O118" s="325"/>
      <c r="P118" s="325">
        <v>3.408</v>
      </c>
      <c r="Q118" s="325"/>
      <c r="R118" s="325"/>
      <c r="S118" s="325"/>
      <c r="T118" s="325"/>
      <c r="U118" s="325"/>
      <c r="V118" s="325">
        <f t="shared" si="143"/>
        <v>13.661</v>
      </c>
      <c r="W118" s="325"/>
      <c r="X118" s="325"/>
      <c r="Y118" s="325"/>
      <c r="Z118" s="325"/>
      <c r="AA118" s="325"/>
      <c r="AB118" s="325"/>
      <c r="AC118" s="325"/>
      <c r="AD118" s="325"/>
      <c r="AE118" s="325"/>
      <c r="AF118" s="325"/>
      <c r="AG118" s="325">
        <v>0.705</v>
      </c>
      <c r="AH118" s="325"/>
      <c r="AI118" s="325"/>
      <c r="AJ118" s="325"/>
      <c r="AK118" s="325"/>
      <c r="AL118" s="325">
        <v>12.956</v>
      </c>
      <c r="AM118" s="325">
        <f t="shared" si="144"/>
        <v>17.069</v>
      </c>
      <c r="AN118" s="325">
        <f t="shared" si="145"/>
        <v>0</v>
      </c>
      <c r="AO118" s="325">
        <f t="shared" si="146"/>
        <v>0</v>
      </c>
      <c r="AP118" s="325">
        <f t="shared" si="147"/>
        <v>0</v>
      </c>
      <c r="AQ118" s="325">
        <f t="shared" si="148"/>
        <v>0</v>
      </c>
      <c r="AR118" s="325">
        <f t="shared" si="149"/>
        <v>0</v>
      </c>
      <c r="AS118" s="325">
        <f t="shared" si="150"/>
        <v>0</v>
      </c>
      <c r="AT118" s="325">
        <f t="shared" si="151"/>
        <v>0</v>
      </c>
      <c r="AU118" s="325">
        <f t="shared" si="152"/>
        <v>0</v>
      </c>
      <c r="AV118" s="325">
        <f t="shared" si="153"/>
        <v>0</v>
      </c>
      <c r="AW118" s="325">
        <f t="shared" si="154"/>
        <v>0</v>
      </c>
      <c r="AX118" s="325">
        <f t="shared" si="155"/>
        <v>4.113</v>
      </c>
      <c r="AY118" s="325">
        <f t="shared" si="156"/>
        <v>0</v>
      </c>
      <c r="AZ118" s="325">
        <f t="shared" si="157"/>
        <v>0</v>
      </c>
      <c r="BA118" s="325">
        <f t="shared" si="158"/>
        <v>0</v>
      </c>
      <c r="BB118" s="325">
        <f t="shared" si="159"/>
        <v>0</v>
      </c>
      <c r="BC118" s="325">
        <f t="shared" si="160"/>
        <v>12.956</v>
      </c>
      <c r="BD118" s="342" t="s">
        <v>927</v>
      </c>
      <c r="BE118" s="97"/>
    </row>
    <row r="119" ht="24" spans="1:57">
      <c r="A119" s="304" t="s">
        <v>540</v>
      </c>
      <c r="B119" s="304" t="s">
        <v>199</v>
      </c>
      <c r="C119" s="304" t="s">
        <v>593</v>
      </c>
      <c r="D119" s="347" t="s">
        <v>594</v>
      </c>
      <c r="E119" s="325">
        <f t="shared" si="142"/>
        <v>4.1184</v>
      </c>
      <c r="F119" s="325"/>
      <c r="G119" s="325"/>
      <c r="H119" s="325"/>
      <c r="I119" s="325"/>
      <c r="J119" s="325"/>
      <c r="K119" s="325"/>
      <c r="L119" s="325"/>
      <c r="M119" s="325"/>
      <c r="N119" s="325"/>
      <c r="O119" s="325"/>
      <c r="P119" s="325">
        <v>4.1184</v>
      </c>
      <c r="Q119" s="325"/>
      <c r="R119" s="325"/>
      <c r="S119" s="325"/>
      <c r="T119" s="325"/>
      <c r="U119" s="325"/>
      <c r="V119" s="325">
        <f t="shared" si="143"/>
        <v>-1.611</v>
      </c>
      <c r="W119" s="325"/>
      <c r="X119" s="325"/>
      <c r="Y119" s="325"/>
      <c r="Z119" s="325"/>
      <c r="AA119" s="325"/>
      <c r="AB119" s="325"/>
      <c r="AC119" s="325"/>
      <c r="AD119" s="325"/>
      <c r="AE119" s="325"/>
      <c r="AF119" s="325"/>
      <c r="AG119" s="325">
        <v>-1.611</v>
      </c>
      <c r="AH119" s="325"/>
      <c r="AI119" s="325"/>
      <c r="AJ119" s="325"/>
      <c r="AK119" s="325"/>
      <c r="AL119" s="325"/>
      <c r="AM119" s="325">
        <f t="shared" si="144"/>
        <v>2.5074</v>
      </c>
      <c r="AN119" s="325">
        <f t="shared" si="145"/>
        <v>0</v>
      </c>
      <c r="AO119" s="325">
        <f t="shared" si="146"/>
        <v>0</v>
      </c>
      <c r="AP119" s="325">
        <f t="shared" si="147"/>
        <v>0</v>
      </c>
      <c r="AQ119" s="325">
        <f t="shared" si="148"/>
        <v>0</v>
      </c>
      <c r="AR119" s="325">
        <f t="shared" si="149"/>
        <v>0</v>
      </c>
      <c r="AS119" s="325">
        <f t="shared" si="150"/>
        <v>0</v>
      </c>
      <c r="AT119" s="325">
        <f t="shared" si="151"/>
        <v>0</v>
      </c>
      <c r="AU119" s="325">
        <f t="shared" si="152"/>
        <v>0</v>
      </c>
      <c r="AV119" s="325">
        <f t="shared" si="153"/>
        <v>0</v>
      </c>
      <c r="AW119" s="325">
        <f t="shared" si="154"/>
        <v>0</v>
      </c>
      <c r="AX119" s="325">
        <f t="shared" si="155"/>
        <v>2.5074</v>
      </c>
      <c r="AY119" s="325">
        <f t="shared" si="156"/>
        <v>0</v>
      </c>
      <c r="AZ119" s="325">
        <f t="shared" si="157"/>
        <v>0</v>
      </c>
      <c r="BA119" s="325">
        <f t="shared" si="158"/>
        <v>0</v>
      </c>
      <c r="BB119" s="325">
        <f t="shared" si="159"/>
        <v>0</v>
      </c>
      <c r="BC119" s="325">
        <f t="shared" si="160"/>
        <v>0</v>
      </c>
      <c r="BD119" s="342"/>
      <c r="BE119" s="97"/>
    </row>
    <row r="120" ht="24" spans="1:57">
      <c r="A120" s="304" t="s">
        <v>540</v>
      </c>
      <c r="B120" s="304" t="s">
        <v>199</v>
      </c>
      <c r="C120" s="304" t="s">
        <v>595</v>
      </c>
      <c r="D120" s="347" t="s">
        <v>594</v>
      </c>
      <c r="E120" s="325">
        <f t="shared" si="142"/>
        <v>1.704</v>
      </c>
      <c r="F120" s="325"/>
      <c r="G120" s="325"/>
      <c r="H120" s="325"/>
      <c r="I120" s="325"/>
      <c r="J120" s="325"/>
      <c r="K120" s="325"/>
      <c r="L120" s="325"/>
      <c r="M120" s="325"/>
      <c r="N120" s="325"/>
      <c r="O120" s="325"/>
      <c r="P120" s="325">
        <v>1.704</v>
      </c>
      <c r="Q120" s="325"/>
      <c r="R120" s="325"/>
      <c r="S120" s="325"/>
      <c r="T120" s="325"/>
      <c r="U120" s="325"/>
      <c r="V120" s="325">
        <f t="shared" si="143"/>
        <v>0.216</v>
      </c>
      <c r="W120" s="325"/>
      <c r="X120" s="325"/>
      <c r="Y120" s="325"/>
      <c r="Z120" s="325"/>
      <c r="AA120" s="325"/>
      <c r="AB120" s="325"/>
      <c r="AC120" s="325"/>
      <c r="AD120" s="325"/>
      <c r="AE120" s="325"/>
      <c r="AF120" s="325"/>
      <c r="AG120" s="325">
        <v>0.216</v>
      </c>
      <c r="AH120" s="325"/>
      <c r="AI120" s="325"/>
      <c r="AJ120" s="325"/>
      <c r="AK120" s="325"/>
      <c r="AL120" s="325"/>
      <c r="AM120" s="325">
        <f t="shared" si="144"/>
        <v>1.92</v>
      </c>
      <c r="AN120" s="325">
        <f t="shared" si="145"/>
        <v>0</v>
      </c>
      <c r="AO120" s="325">
        <f t="shared" si="146"/>
        <v>0</v>
      </c>
      <c r="AP120" s="325">
        <f t="shared" si="147"/>
        <v>0</v>
      </c>
      <c r="AQ120" s="325">
        <f t="shared" si="148"/>
        <v>0</v>
      </c>
      <c r="AR120" s="325">
        <f t="shared" si="149"/>
        <v>0</v>
      </c>
      <c r="AS120" s="325">
        <f t="shared" si="150"/>
        <v>0</v>
      </c>
      <c r="AT120" s="325">
        <f t="shared" si="151"/>
        <v>0</v>
      </c>
      <c r="AU120" s="325">
        <f t="shared" si="152"/>
        <v>0</v>
      </c>
      <c r="AV120" s="325">
        <f t="shared" si="153"/>
        <v>0</v>
      </c>
      <c r="AW120" s="325">
        <f t="shared" si="154"/>
        <v>0</v>
      </c>
      <c r="AX120" s="325">
        <f t="shared" si="155"/>
        <v>1.92</v>
      </c>
      <c r="AY120" s="325">
        <f t="shared" si="156"/>
        <v>0</v>
      </c>
      <c r="AZ120" s="325">
        <f t="shared" si="157"/>
        <v>0</v>
      </c>
      <c r="BA120" s="325">
        <f t="shared" si="158"/>
        <v>0</v>
      </c>
      <c r="BB120" s="325">
        <f t="shared" si="159"/>
        <v>0</v>
      </c>
      <c r="BC120" s="325">
        <f t="shared" si="160"/>
        <v>0</v>
      </c>
      <c r="BD120" s="342"/>
      <c r="BE120" s="97"/>
    </row>
    <row r="121" ht="24" spans="1:57">
      <c r="A121" s="304" t="s">
        <v>540</v>
      </c>
      <c r="B121" s="304" t="s">
        <v>199</v>
      </c>
      <c r="C121" s="304" t="s">
        <v>596</v>
      </c>
      <c r="D121" s="347" t="s">
        <v>594</v>
      </c>
      <c r="E121" s="325">
        <f t="shared" si="142"/>
        <v>5.112</v>
      </c>
      <c r="F121" s="325"/>
      <c r="G121" s="325"/>
      <c r="H121" s="325"/>
      <c r="I121" s="325"/>
      <c r="J121" s="325"/>
      <c r="K121" s="325"/>
      <c r="L121" s="325"/>
      <c r="M121" s="325"/>
      <c r="N121" s="325"/>
      <c r="O121" s="325"/>
      <c r="P121" s="325">
        <v>5.112</v>
      </c>
      <c r="Q121" s="325"/>
      <c r="R121" s="325"/>
      <c r="S121" s="325"/>
      <c r="T121" s="325"/>
      <c r="U121" s="325"/>
      <c r="V121" s="325">
        <f t="shared" si="143"/>
        <v>0.888</v>
      </c>
      <c r="W121" s="325"/>
      <c r="X121" s="325"/>
      <c r="Y121" s="325"/>
      <c r="Z121" s="325"/>
      <c r="AA121" s="325"/>
      <c r="AB121" s="325"/>
      <c r="AC121" s="325"/>
      <c r="AD121" s="325"/>
      <c r="AE121" s="325"/>
      <c r="AF121" s="325"/>
      <c r="AG121" s="325">
        <v>0.888</v>
      </c>
      <c r="AH121" s="325"/>
      <c r="AI121" s="325"/>
      <c r="AJ121" s="325"/>
      <c r="AK121" s="325"/>
      <c r="AL121" s="325"/>
      <c r="AM121" s="325">
        <f t="shared" si="144"/>
        <v>6</v>
      </c>
      <c r="AN121" s="325">
        <f t="shared" si="145"/>
        <v>0</v>
      </c>
      <c r="AO121" s="325">
        <f t="shared" si="146"/>
        <v>0</v>
      </c>
      <c r="AP121" s="325">
        <f t="shared" si="147"/>
        <v>0</v>
      </c>
      <c r="AQ121" s="325">
        <f t="shared" si="148"/>
        <v>0</v>
      </c>
      <c r="AR121" s="325">
        <f t="shared" si="149"/>
        <v>0</v>
      </c>
      <c r="AS121" s="325">
        <f t="shared" si="150"/>
        <v>0</v>
      </c>
      <c r="AT121" s="325">
        <f t="shared" si="151"/>
        <v>0</v>
      </c>
      <c r="AU121" s="325">
        <f t="shared" si="152"/>
        <v>0</v>
      </c>
      <c r="AV121" s="325">
        <f t="shared" si="153"/>
        <v>0</v>
      </c>
      <c r="AW121" s="325">
        <f t="shared" si="154"/>
        <v>0</v>
      </c>
      <c r="AX121" s="325">
        <f t="shared" si="155"/>
        <v>6</v>
      </c>
      <c r="AY121" s="325">
        <f t="shared" si="156"/>
        <v>0</v>
      </c>
      <c r="AZ121" s="325">
        <f t="shared" si="157"/>
        <v>0</v>
      </c>
      <c r="BA121" s="325">
        <f t="shared" si="158"/>
        <v>0</v>
      </c>
      <c r="BB121" s="325">
        <f t="shared" si="159"/>
        <v>0</v>
      </c>
      <c r="BC121" s="325">
        <f t="shared" si="160"/>
        <v>0</v>
      </c>
      <c r="BD121" s="342"/>
      <c r="BE121" s="97"/>
    </row>
    <row r="122" ht="24" spans="1:57">
      <c r="A122" s="304" t="s">
        <v>540</v>
      </c>
      <c r="B122" s="304" t="s">
        <v>199</v>
      </c>
      <c r="C122" s="304" t="s">
        <v>597</v>
      </c>
      <c r="D122" s="347" t="s">
        <v>594</v>
      </c>
      <c r="E122" s="325">
        <f t="shared" si="142"/>
        <v>0.85</v>
      </c>
      <c r="F122" s="325"/>
      <c r="G122" s="325"/>
      <c r="H122" s="325"/>
      <c r="I122" s="325"/>
      <c r="J122" s="325"/>
      <c r="K122" s="325"/>
      <c r="L122" s="325"/>
      <c r="M122" s="325"/>
      <c r="N122" s="325"/>
      <c r="O122" s="325"/>
      <c r="P122" s="325">
        <v>0.85</v>
      </c>
      <c r="Q122" s="325"/>
      <c r="R122" s="325"/>
      <c r="S122" s="325"/>
      <c r="T122" s="325"/>
      <c r="U122" s="325"/>
      <c r="V122" s="325">
        <f t="shared" si="143"/>
        <v>-1.491</v>
      </c>
      <c r="W122" s="325"/>
      <c r="X122" s="325"/>
      <c r="Y122" s="325"/>
      <c r="Z122" s="325"/>
      <c r="AA122" s="325"/>
      <c r="AB122" s="325"/>
      <c r="AC122" s="325"/>
      <c r="AD122" s="325"/>
      <c r="AE122" s="325"/>
      <c r="AF122" s="325"/>
      <c r="AG122" s="325">
        <v>-1.491</v>
      </c>
      <c r="AH122" s="325"/>
      <c r="AI122" s="325"/>
      <c r="AJ122" s="325"/>
      <c r="AK122" s="325"/>
      <c r="AL122" s="325"/>
      <c r="AM122" s="325">
        <f t="shared" si="144"/>
        <v>-0.641</v>
      </c>
      <c r="AN122" s="325">
        <f t="shared" si="145"/>
        <v>0</v>
      </c>
      <c r="AO122" s="325">
        <f t="shared" si="146"/>
        <v>0</v>
      </c>
      <c r="AP122" s="325">
        <f t="shared" si="147"/>
        <v>0</v>
      </c>
      <c r="AQ122" s="325">
        <f t="shared" si="148"/>
        <v>0</v>
      </c>
      <c r="AR122" s="325">
        <f t="shared" si="149"/>
        <v>0</v>
      </c>
      <c r="AS122" s="325">
        <f t="shared" si="150"/>
        <v>0</v>
      </c>
      <c r="AT122" s="325">
        <f t="shared" si="151"/>
        <v>0</v>
      </c>
      <c r="AU122" s="325">
        <f t="shared" si="152"/>
        <v>0</v>
      </c>
      <c r="AV122" s="325">
        <f t="shared" si="153"/>
        <v>0</v>
      </c>
      <c r="AW122" s="325">
        <f t="shared" si="154"/>
        <v>0</v>
      </c>
      <c r="AX122" s="325">
        <f t="shared" si="155"/>
        <v>-0.641</v>
      </c>
      <c r="AY122" s="325">
        <f t="shared" si="156"/>
        <v>0</v>
      </c>
      <c r="AZ122" s="325">
        <f t="shared" si="157"/>
        <v>0</v>
      </c>
      <c r="BA122" s="325">
        <f t="shared" si="158"/>
        <v>0</v>
      </c>
      <c r="BB122" s="325">
        <f t="shared" si="159"/>
        <v>0</v>
      </c>
      <c r="BC122" s="325">
        <f t="shared" si="160"/>
        <v>0</v>
      </c>
      <c r="BD122" s="342"/>
      <c r="BE122" s="97"/>
    </row>
    <row r="123" ht="24" spans="1:57">
      <c r="A123" s="304" t="s">
        <v>540</v>
      </c>
      <c r="B123" s="304" t="s">
        <v>199</v>
      </c>
      <c r="C123" s="304" t="s">
        <v>599</v>
      </c>
      <c r="D123" s="347" t="s">
        <v>594</v>
      </c>
      <c r="E123" s="325">
        <f t="shared" si="142"/>
        <v>3.6924</v>
      </c>
      <c r="F123" s="325"/>
      <c r="G123" s="325"/>
      <c r="H123" s="325"/>
      <c r="I123" s="325"/>
      <c r="J123" s="325"/>
      <c r="K123" s="325"/>
      <c r="L123" s="325"/>
      <c r="M123" s="325"/>
      <c r="N123" s="325"/>
      <c r="O123" s="325"/>
      <c r="P123" s="325">
        <v>3.6924</v>
      </c>
      <c r="Q123" s="325"/>
      <c r="R123" s="325"/>
      <c r="S123" s="325"/>
      <c r="T123" s="325"/>
      <c r="U123" s="325"/>
      <c r="V123" s="325">
        <f t="shared" si="143"/>
        <v>0.7189</v>
      </c>
      <c r="W123" s="325"/>
      <c r="X123" s="325"/>
      <c r="Y123" s="325"/>
      <c r="Z123" s="325"/>
      <c r="AA123" s="325"/>
      <c r="AB123" s="325"/>
      <c r="AC123" s="325"/>
      <c r="AD123" s="325"/>
      <c r="AE123" s="325"/>
      <c r="AF123" s="325"/>
      <c r="AG123" s="325">
        <v>0.7189</v>
      </c>
      <c r="AH123" s="325"/>
      <c r="AI123" s="325"/>
      <c r="AJ123" s="325"/>
      <c r="AK123" s="325"/>
      <c r="AL123" s="325"/>
      <c r="AM123" s="325">
        <f t="shared" si="144"/>
        <v>4.4113</v>
      </c>
      <c r="AN123" s="325">
        <f t="shared" si="145"/>
        <v>0</v>
      </c>
      <c r="AO123" s="325">
        <f t="shared" si="146"/>
        <v>0</v>
      </c>
      <c r="AP123" s="325">
        <f t="shared" si="147"/>
        <v>0</v>
      </c>
      <c r="AQ123" s="325">
        <f t="shared" si="148"/>
        <v>0</v>
      </c>
      <c r="AR123" s="325">
        <f t="shared" si="149"/>
        <v>0</v>
      </c>
      <c r="AS123" s="325">
        <f t="shared" si="150"/>
        <v>0</v>
      </c>
      <c r="AT123" s="325">
        <f t="shared" si="151"/>
        <v>0</v>
      </c>
      <c r="AU123" s="325">
        <f t="shared" si="152"/>
        <v>0</v>
      </c>
      <c r="AV123" s="325">
        <f t="shared" si="153"/>
        <v>0</v>
      </c>
      <c r="AW123" s="325">
        <f t="shared" si="154"/>
        <v>0</v>
      </c>
      <c r="AX123" s="325">
        <f t="shared" si="155"/>
        <v>4.4113</v>
      </c>
      <c r="AY123" s="325">
        <f t="shared" si="156"/>
        <v>0</v>
      </c>
      <c r="AZ123" s="325">
        <f t="shared" si="157"/>
        <v>0</v>
      </c>
      <c r="BA123" s="325">
        <f t="shared" si="158"/>
        <v>0</v>
      </c>
      <c r="BB123" s="325">
        <f t="shared" si="159"/>
        <v>0</v>
      </c>
      <c r="BC123" s="325">
        <f t="shared" si="160"/>
        <v>0</v>
      </c>
      <c r="BD123" s="342"/>
      <c r="BE123" s="97"/>
    </row>
    <row r="124" ht="24" spans="1:57">
      <c r="A124" s="304" t="s">
        <v>540</v>
      </c>
      <c r="B124" s="304" t="s">
        <v>199</v>
      </c>
      <c r="C124" s="304" t="s">
        <v>602</v>
      </c>
      <c r="D124" s="347" t="s">
        <v>594</v>
      </c>
      <c r="E124" s="325">
        <f t="shared" ref="E124:E133" si="161">SUM(F124:U124)</f>
        <v>2.556</v>
      </c>
      <c r="F124" s="325"/>
      <c r="G124" s="325"/>
      <c r="H124" s="325"/>
      <c r="I124" s="325"/>
      <c r="J124" s="325"/>
      <c r="K124" s="325"/>
      <c r="L124" s="325"/>
      <c r="M124" s="325"/>
      <c r="N124" s="325"/>
      <c r="O124" s="325"/>
      <c r="P124" s="325">
        <v>2.556</v>
      </c>
      <c r="Q124" s="325"/>
      <c r="R124" s="325"/>
      <c r="S124" s="325"/>
      <c r="T124" s="325"/>
      <c r="U124" s="325"/>
      <c r="V124" s="325">
        <f t="shared" si="143"/>
        <v>-0.423</v>
      </c>
      <c r="W124" s="325"/>
      <c r="X124" s="325"/>
      <c r="Y124" s="325"/>
      <c r="Z124" s="325"/>
      <c r="AA124" s="325"/>
      <c r="AB124" s="325"/>
      <c r="AC124" s="325"/>
      <c r="AD124" s="325"/>
      <c r="AE124" s="325"/>
      <c r="AF124" s="325"/>
      <c r="AG124" s="325">
        <v>-0.423</v>
      </c>
      <c r="AH124" s="325"/>
      <c r="AI124" s="325"/>
      <c r="AJ124" s="325"/>
      <c r="AK124" s="325"/>
      <c r="AL124" s="325"/>
      <c r="AM124" s="325">
        <f t="shared" si="144"/>
        <v>2.133</v>
      </c>
      <c r="AN124" s="325">
        <f t="shared" si="145"/>
        <v>0</v>
      </c>
      <c r="AO124" s="325">
        <f t="shared" si="146"/>
        <v>0</v>
      </c>
      <c r="AP124" s="325">
        <f t="shared" si="147"/>
        <v>0</v>
      </c>
      <c r="AQ124" s="325">
        <f t="shared" si="148"/>
        <v>0</v>
      </c>
      <c r="AR124" s="325">
        <f t="shared" si="149"/>
        <v>0</v>
      </c>
      <c r="AS124" s="325">
        <f t="shared" si="150"/>
        <v>0</v>
      </c>
      <c r="AT124" s="325">
        <f t="shared" si="151"/>
        <v>0</v>
      </c>
      <c r="AU124" s="325">
        <f t="shared" si="152"/>
        <v>0</v>
      </c>
      <c r="AV124" s="325">
        <f t="shared" si="153"/>
        <v>0</v>
      </c>
      <c r="AW124" s="325">
        <f t="shared" si="154"/>
        <v>0</v>
      </c>
      <c r="AX124" s="325">
        <f t="shared" si="155"/>
        <v>2.133</v>
      </c>
      <c r="AY124" s="325">
        <f t="shared" si="156"/>
        <v>0</v>
      </c>
      <c r="AZ124" s="325">
        <f t="shared" si="157"/>
        <v>0</v>
      </c>
      <c r="BA124" s="325">
        <f t="shared" si="158"/>
        <v>0</v>
      </c>
      <c r="BB124" s="325">
        <f t="shared" si="159"/>
        <v>0</v>
      </c>
      <c r="BC124" s="325">
        <f t="shared" si="160"/>
        <v>0</v>
      </c>
      <c r="BD124" s="342"/>
      <c r="BE124" s="97"/>
    </row>
    <row r="125" ht="24" spans="1:57">
      <c r="A125" s="304" t="s">
        <v>540</v>
      </c>
      <c r="B125" s="304" t="s">
        <v>199</v>
      </c>
      <c r="C125" s="304" t="s">
        <v>603</v>
      </c>
      <c r="D125" s="347" t="s">
        <v>594</v>
      </c>
      <c r="E125" s="325">
        <f t="shared" si="161"/>
        <v>2.676</v>
      </c>
      <c r="F125" s="325"/>
      <c r="G125" s="325"/>
      <c r="H125" s="325"/>
      <c r="I125" s="325"/>
      <c r="J125" s="325"/>
      <c r="K125" s="325"/>
      <c r="L125" s="325"/>
      <c r="M125" s="325"/>
      <c r="N125" s="325"/>
      <c r="O125" s="325"/>
      <c r="P125" s="325">
        <v>2.676</v>
      </c>
      <c r="Q125" s="325"/>
      <c r="R125" s="325"/>
      <c r="S125" s="325"/>
      <c r="T125" s="325"/>
      <c r="U125" s="325"/>
      <c r="V125" s="325">
        <f t="shared" si="143"/>
        <v>0.324</v>
      </c>
      <c r="W125" s="325"/>
      <c r="X125" s="325"/>
      <c r="Y125" s="325"/>
      <c r="Z125" s="325"/>
      <c r="AA125" s="325"/>
      <c r="AB125" s="325"/>
      <c r="AC125" s="325"/>
      <c r="AD125" s="325"/>
      <c r="AE125" s="325"/>
      <c r="AF125" s="325"/>
      <c r="AG125" s="325">
        <v>0.324</v>
      </c>
      <c r="AH125" s="325"/>
      <c r="AI125" s="325"/>
      <c r="AJ125" s="325"/>
      <c r="AK125" s="325"/>
      <c r="AL125" s="325"/>
      <c r="AM125" s="325">
        <f t="shared" si="144"/>
        <v>3</v>
      </c>
      <c r="AN125" s="325">
        <f t="shared" si="145"/>
        <v>0</v>
      </c>
      <c r="AO125" s="325">
        <f t="shared" si="146"/>
        <v>0</v>
      </c>
      <c r="AP125" s="325">
        <f t="shared" si="147"/>
        <v>0</v>
      </c>
      <c r="AQ125" s="325">
        <f t="shared" si="148"/>
        <v>0</v>
      </c>
      <c r="AR125" s="325">
        <f t="shared" si="149"/>
        <v>0</v>
      </c>
      <c r="AS125" s="325">
        <f t="shared" si="150"/>
        <v>0</v>
      </c>
      <c r="AT125" s="325">
        <f t="shared" si="151"/>
        <v>0</v>
      </c>
      <c r="AU125" s="325">
        <f t="shared" si="152"/>
        <v>0</v>
      </c>
      <c r="AV125" s="325">
        <f t="shared" si="153"/>
        <v>0</v>
      </c>
      <c r="AW125" s="325">
        <f t="shared" si="154"/>
        <v>0</v>
      </c>
      <c r="AX125" s="325">
        <f t="shared" si="155"/>
        <v>3</v>
      </c>
      <c r="AY125" s="325">
        <f t="shared" si="156"/>
        <v>0</v>
      </c>
      <c r="AZ125" s="325">
        <f t="shared" si="157"/>
        <v>0</v>
      </c>
      <c r="BA125" s="325">
        <f t="shared" si="158"/>
        <v>0</v>
      </c>
      <c r="BB125" s="325">
        <f t="shared" si="159"/>
        <v>0</v>
      </c>
      <c r="BC125" s="325">
        <f t="shared" si="160"/>
        <v>0</v>
      </c>
      <c r="BD125" s="342"/>
      <c r="BE125" s="97"/>
    </row>
    <row r="126" ht="24" spans="1:57">
      <c r="A126" s="304" t="s">
        <v>540</v>
      </c>
      <c r="B126" s="304" t="s">
        <v>199</v>
      </c>
      <c r="C126" s="304" t="s">
        <v>604</v>
      </c>
      <c r="D126" s="347" t="s">
        <v>594</v>
      </c>
      <c r="E126" s="325">
        <f t="shared" si="161"/>
        <v>2.556</v>
      </c>
      <c r="F126" s="325"/>
      <c r="G126" s="325"/>
      <c r="H126" s="325"/>
      <c r="I126" s="325"/>
      <c r="J126" s="325"/>
      <c r="K126" s="325"/>
      <c r="L126" s="325"/>
      <c r="M126" s="325"/>
      <c r="N126" s="325"/>
      <c r="O126" s="325"/>
      <c r="P126" s="325">
        <v>2.556</v>
      </c>
      <c r="Q126" s="325"/>
      <c r="R126" s="325"/>
      <c r="S126" s="325"/>
      <c r="T126" s="325"/>
      <c r="U126" s="325"/>
      <c r="V126" s="325">
        <f t="shared" si="143"/>
        <v>0.432</v>
      </c>
      <c r="W126" s="325"/>
      <c r="X126" s="325"/>
      <c r="Y126" s="325"/>
      <c r="Z126" s="325"/>
      <c r="AA126" s="325"/>
      <c r="AB126" s="325"/>
      <c r="AC126" s="325"/>
      <c r="AD126" s="325"/>
      <c r="AE126" s="325"/>
      <c r="AF126" s="325"/>
      <c r="AG126" s="325">
        <v>0.432</v>
      </c>
      <c r="AH126" s="325"/>
      <c r="AI126" s="325"/>
      <c r="AJ126" s="325"/>
      <c r="AK126" s="325"/>
      <c r="AL126" s="325"/>
      <c r="AM126" s="325">
        <f t="shared" si="144"/>
        <v>2.988</v>
      </c>
      <c r="AN126" s="325">
        <f t="shared" si="145"/>
        <v>0</v>
      </c>
      <c r="AO126" s="325">
        <f t="shared" si="146"/>
        <v>0</v>
      </c>
      <c r="AP126" s="325">
        <f t="shared" si="147"/>
        <v>0</v>
      </c>
      <c r="AQ126" s="325">
        <f t="shared" si="148"/>
        <v>0</v>
      </c>
      <c r="AR126" s="325">
        <f t="shared" si="149"/>
        <v>0</v>
      </c>
      <c r="AS126" s="325">
        <f t="shared" si="150"/>
        <v>0</v>
      </c>
      <c r="AT126" s="325">
        <f t="shared" si="151"/>
        <v>0</v>
      </c>
      <c r="AU126" s="325">
        <f t="shared" si="152"/>
        <v>0</v>
      </c>
      <c r="AV126" s="325">
        <f t="shared" si="153"/>
        <v>0</v>
      </c>
      <c r="AW126" s="325">
        <f t="shared" si="154"/>
        <v>0</v>
      </c>
      <c r="AX126" s="325">
        <f t="shared" si="155"/>
        <v>2.988</v>
      </c>
      <c r="AY126" s="325">
        <f t="shared" si="156"/>
        <v>0</v>
      </c>
      <c r="AZ126" s="325">
        <f t="shared" si="157"/>
        <v>0</v>
      </c>
      <c r="BA126" s="325">
        <f t="shared" si="158"/>
        <v>0</v>
      </c>
      <c r="BB126" s="325">
        <f t="shared" si="159"/>
        <v>0</v>
      </c>
      <c r="BC126" s="325">
        <f t="shared" si="160"/>
        <v>0</v>
      </c>
      <c r="BD126" s="342"/>
      <c r="BE126" s="97"/>
    </row>
    <row r="127" ht="24" spans="1:57">
      <c r="A127" s="304" t="s">
        <v>540</v>
      </c>
      <c r="B127" s="304" t="s">
        <v>199</v>
      </c>
      <c r="C127" s="304" t="s">
        <v>605</v>
      </c>
      <c r="D127" s="347" t="s">
        <v>594</v>
      </c>
      <c r="E127" s="325">
        <f t="shared" si="161"/>
        <v>2.55</v>
      </c>
      <c r="F127" s="325"/>
      <c r="G127" s="325"/>
      <c r="H127" s="325"/>
      <c r="I127" s="325"/>
      <c r="J127" s="325"/>
      <c r="K127" s="325"/>
      <c r="L127" s="325"/>
      <c r="M127" s="325"/>
      <c r="N127" s="325"/>
      <c r="O127" s="325"/>
      <c r="P127" s="325">
        <v>2.55</v>
      </c>
      <c r="Q127" s="325"/>
      <c r="R127" s="325"/>
      <c r="S127" s="325"/>
      <c r="T127" s="325"/>
      <c r="U127" s="325"/>
      <c r="V127" s="325">
        <f t="shared" si="143"/>
        <v>0.324</v>
      </c>
      <c r="W127" s="325"/>
      <c r="X127" s="325"/>
      <c r="Y127" s="325"/>
      <c r="Z127" s="325"/>
      <c r="AA127" s="325"/>
      <c r="AB127" s="325"/>
      <c r="AC127" s="325"/>
      <c r="AD127" s="325"/>
      <c r="AE127" s="325"/>
      <c r="AF127" s="325"/>
      <c r="AG127" s="325">
        <v>0.324</v>
      </c>
      <c r="AH127" s="325"/>
      <c r="AI127" s="325"/>
      <c r="AJ127" s="325"/>
      <c r="AK127" s="325"/>
      <c r="AL127" s="325"/>
      <c r="AM127" s="325">
        <f t="shared" si="144"/>
        <v>2.874</v>
      </c>
      <c r="AN127" s="325">
        <f t="shared" si="145"/>
        <v>0</v>
      </c>
      <c r="AO127" s="325">
        <f t="shared" si="146"/>
        <v>0</v>
      </c>
      <c r="AP127" s="325">
        <f t="shared" si="147"/>
        <v>0</v>
      </c>
      <c r="AQ127" s="325">
        <f t="shared" si="148"/>
        <v>0</v>
      </c>
      <c r="AR127" s="325">
        <f t="shared" si="149"/>
        <v>0</v>
      </c>
      <c r="AS127" s="325">
        <f t="shared" si="150"/>
        <v>0</v>
      </c>
      <c r="AT127" s="325">
        <f t="shared" si="151"/>
        <v>0</v>
      </c>
      <c r="AU127" s="325">
        <f t="shared" si="152"/>
        <v>0</v>
      </c>
      <c r="AV127" s="325">
        <f t="shared" si="153"/>
        <v>0</v>
      </c>
      <c r="AW127" s="325">
        <f t="shared" si="154"/>
        <v>0</v>
      </c>
      <c r="AX127" s="325">
        <f t="shared" si="155"/>
        <v>2.874</v>
      </c>
      <c r="AY127" s="325">
        <f t="shared" si="156"/>
        <v>0</v>
      </c>
      <c r="AZ127" s="325">
        <f t="shared" si="157"/>
        <v>0</v>
      </c>
      <c r="BA127" s="325">
        <f t="shared" si="158"/>
        <v>0</v>
      </c>
      <c r="BB127" s="325">
        <f t="shared" si="159"/>
        <v>0</v>
      </c>
      <c r="BC127" s="325">
        <f t="shared" si="160"/>
        <v>0</v>
      </c>
      <c r="BD127" s="342"/>
      <c r="BE127" s="97"/>
    </row>
    <row r="128" ht="24" spans="1:57">
      <c r="A128" s="304" t="s">
        <v>540</v>
      </c>
      <c r="B128" s="304" t="s">
        <v>199</v>
      </c>
      <c r="C128" s="304" t="s">
        <v>606</v>
      </c>
      <c r="D128" s="347" t="s">
        <v>594</v>
      </c>
      <c r="E128" s="325">
        <f t="shared" si="161"/>
        <v>3.408</v>
      </c>
      <c r="F128" s="325"/>
      <c r="G128" s="325"/>
      <c r="H128" s="325"/>
      <c r="I128" s="325"/>
      <c r="J128" s="325"/>
      <c r="K128" s="325"/>
      <c r="L128" s="325"/>
      <c r="M128" s="325"/>
      <c r="N128" s="325"/>
      <c r="O128" s="325"/>
      <c r="P128" s="325">
        <v>3.408</v>
      </c>
      <c r="Q128" s="325"/>
      <c r="R128" s="325"/>
      <c r="S128" s="325"/>
      <c r="T128" s="325"/>
      <c r="U128" s="325"/>
      <c r="V128" s="325">
        <f t="shared" si="143"/>
        <v>0.183</v>
      </c>
      <c r="W128" s="325"/>
      <c r="X128" s="325"/>
      <c r="Y128" s="325"/>
      <c r="Z128" s="325"/>
      <c r="AA128" s="325"/>
      <c r="AB128" s="325"/>
      <c r="AC128" s="325"/>
      <c r="AD128" s="325"/>
      <c r="AE128" s="325"/>
      <c r="AF128" s="325"/>
      <c r="AG128" s="325">
        <v>0.183</v>
      </c>
      <c r="AH128" s="325"/>
      <c r="AI128" s="325"/>
      <c r="AJ128" s="325"/>
      <c r="AK128" s="325"/>
      <c r="AL128" s="325"/>
      <c r="AM128" s="325">
        <f t="shared" si="144"/>
        <v>3.591</v>
      </c>
      <c r="AN128" s="325">
        <f t="shared" si="145"/>
        <v>0</v>
      </c>
      <c r="AO128" s="325">
        <f t="shared" si="146"/>
        <v>0</v>
      </c>
      <c r="AP128" s="325">
        <f t="shared" si="147"/>
        <v>0</v>
      </c>
      <c r="AQ128" s="325">
        <f t="shared" si="148"/>
        <v>0</v>
      </c>
      <c r="AR128" s="325">
        <f t="shared" si="149"/>
        <v>0</v>
      </c>
      <c r="AS128" s="325">
        <f t="shared" si="150"/>
        <v>0</v>
      </c>
      <c r="AT128" s="325">
        <f t="shared" si="151"/>
        <v>0</v>
      </c>
      <c r="AU128" s="325">
        <f t="shared" si="152"/>
        <v>0</v>
      </c>
      <c r="AV128" s="325">
        <f t="shared" si="153"/>
        <v>0</v>
      </c>
      <c r="AW128" s="325">
        <f t="shared" si="154"/>
        <v>0</v>
      </c>
      <c r="AX128" s="325">
        <f t="shared" si="155"/>
        <v>3.591</v>
      </c>
      <c r="AY128" s="325">
        <f t="shared" si="156"/>
        <v>0</v>
      </c>
      <c r="AZ128" s="325">
        <f t="shared" si="157"/>
        <v>0</v>
      </c>
      <c r="BA128" s="325">
        <f t="shared" si="158"/>
        <v>0</v>
      </c>
      <c r="BB128" s="325">
        <f t="shared" si="159"/>
        <v>0</v>
      </c>
      <c r="BC128" s="325">
        <f t="shared" si="160"/>
        <v>0</v>
      </c>
      <c r="BD128" s="342"/>
      <c r="BE128" s="97"/>
    </row>
    <row r="129" ht="24" spans="1:57">
      <c r="A129" s="304" t="s">
        <v>540</v>
      </c>
      <c r="B129" s="304" t="s">
        <v>199</v>
      </c>
      <c r="C129" s="304" t="s">
        <v>607</v>
      </c>
      <c r="D129" s="347" t="s">
        <v>594</v>
      </c>
      <c r="E129" s="325">
        <f t="shared" si="161"/>
        <v>3.9192</v>
      </c>
      <c r="F129" s="325"/>
      <c r="G129" s="325"/>
      <c r="H129" s="325"/>
      <c r="I129" s="325"/>
      <c r="J129" s="325"/>
      <c r="K129" s="325"/>
      <c r="L129" s="325"/>
      <c r="M129" s="325"/>
      <c r="N129" s="325"/>
      <c r="O129" s="325"/>
      <c r="P129" s="325">
        <v>3.9192</v>
      </c>
      <c r="Q129" s="325"/>
      <c r="R129" s="325"/>
      <c r="S129" s="325"/>
      <c r="T129" s="325"/>
      <c r="U129" s="325"/>
      <c r="V129" s="325">
        <f t="shared" si="143"/>
        <v>0.4968</v>
      </c>
      <c r="W129" s="325"/>
      <c r="X129" s="325"/>
      <c r="Y129" s="325"/>
      <c r="Z129" s="325"/>
      <c r="AA129" s="325"/>
      <c r="AB129" s="325"/>
      <c r="AC129" s="325"/>
      <c r="AD129" s="325"/>
      <c r="AE129" s="325"/>
      <c r="AF129" s="325"/>
      <c r="AG129" s="325">
        <v>0.4968</v>
      </c>
      <c r="AH129" s="325"/>
      <c r="AI129" s="325"/>
      <c r="AJ129" s="325"/>
      <c r="AK129" s="325"/>
      <c r="AL129" s="325"/>
      <c r="AM129" s="325">
        <f t="shared" si="144"/>
        <v>4.416</v>
      </c>
      <c r="AN129" s="325">
        <f t="shared" si="145"/>
        <v>0</v>
      </c>
      <c r="AO129" s="325">
        <f t="shared" si="146"/>
        <v>0</v>
      </c>
      <c r="AP129" s="325">
        <f t="shared" si="147"/>
        <v>0</v>
      </c>
      <c r="AQ129" s="325">
        <f t="shared" si="148"/>
        <v>0</v>
      </c>
      <c r="AR129" s="325">
        <f t="shared" si="149"/>
        <v>0</v>
      </c>
      <c r="AS129" s="325">
        <f t="shared" si="150"/>
        <v>0</v>
      </c>
      <c r="AT129" s="325">
        <f t="shared" si="151"/>
        <v>0</v>
      </c>
      <c r="AU129" s="325">
        <f t="shared" si="152"/>
        <v>0</v>
      </c>
      <c r="AV129" s="325">
        <f t="shared" si="153"/>
        <v>0</v>
      </c>
      <c r="AW129" s="325">
        <f t="shared" si="154"/>
        <v>0</v>
      </c>
      <c r="AX129" s="325">
        <f t="shared" si="155"/>
        <v>4.416</v>
      </c>
      <c r="AY129" s="325">
        <f t="shared" si="156"/>
        <v>0</v>
      </c>
      <c r="AZ129" s="325">
        <f t="shared" si="157"/>
        <v>0</v>
      </c>
      <c r="BA129" s="325">
        <f t="shared" si="158"/>
        <v>0</v>
      </c>
      <c r="BB129" s="325">
        <f t="shared" si="159"/>
        <v>0</v>
      </c>
      <c r="BC129" s="325">
        <f t="shared" si="160"/>
        <v>0</v>
      </c>
      <c r="BD129" s="342"/>
      <c r="BE129" s="97"/>
    </row>
    <row r="130" ht="24" spans="1:57">
      <c r="A130" s="304" t="s">
        <v>540</v>
      </c>
      <c r="B130" s="304" t="s">
        <v>199</v>
      </c>
      <c r="C130" s="304" t="s">
        <v>608</v>
      </c>
      <c r="D130" s="347" t="s">
        <v>594</v>
      </c>
      <c r="E130" s="325">
        <f t="shared" si="161"/>
        <v>0.852</v>
      </c>
      <c r="F130" s="325"/>
      <c r="G130" s="325"/>
      <c r="H130" s="325"/>
      <c r="I130" s="325"/>
      <c r="J130" s="325"/>
      <c r="K130" s="325"/>
      <c r="L130" s="325"/>
      <c r="M130" s="325"/>
      <c r="N130" s="325"/>
      <c r="O130" s="325"/>
      <c r="P130" s="325">
        <v>0.852</v>
      </c>
      <c r="Q130" s="325"/>
      <c r="R130" s="325"/>
      <c r="S130" s="325"/>
      <c r="T130" s="325"/>
      <c r="U130" s="325"/>
      <c r="V130" s="325">
        <f t="shared" si="143"/>
        <v>0.108</v>
      </c>
      <c r="W130" s="325"/>
      <c r="X130" s="325"/>
      <c r="Y130" s="325"/>
      <c r="Z130" s="325"/>
      <c r="AA130" s="325"/>
      <c r="AB130" s="325"/>
      <c r="AC130" s="325"/>
      <c r="AD130" s="325"/>
      <c r="AE130" s="325"/>
      <c r="AF130" s="325"/>
      <c r="AG130" s="325">
        <v>0.108</v>
      </c>
      <c r="AH130" s="325"/>
      <c r="AI130" s="325"/>
      <c r="AJ130" s="325"/>
      <c r="AK130" s="325"/>
      <c r="AL130" s="325"/>
      <c r="AM130" s="325">
        <f t="shared" si="144"/>
        <v>0.96</v>
      </c>
      <c r="AN130" s="325">
        <f t="shared" si="145"/>
        <v>0</v>
      </c>
      <c r="AO130" s="325">
        <f t="shared" si="146"/>
        <v>0</v>
      </c>
      <c r="AP130" s="325">
        <f t="shared" si="147"/>
        <v>0</v>
      </c>
      <c r="AQ130" s="325">
        <f t="shared" si="148"/>
        <v>0</v>
      </c>
      <c r="AR130" s="325">
        <f t="shared" si="149"/>
        <v>0</v>
      </c>
      <c r="AS130" s="325">
        <f t="shared" si="150"/>
        <v>0</v>
      </c>
      <c r="AT130" s="325">
        <f t="shared" si="151"/>
        <v>0</v>
      </c>
      <c r="AU130" s="325">
        <f t="shared" si="152"/>
        <v>0</v>
      </c>
      <c r="AV130" s="325">
        <f t="shared" si="153"/>
        <v>0</v>
      </c>
      <c r="AW130" s="325">
        <f t="shared" si="154"/>
        <v>0</v>
      </c>
      <c r="AX130" s="325">
        <f t="shared" si="155"/>
        <v>0.96</v>
      </c>
      <c r="AY130" s="325">
        <f t="shared" si="156"/>
        <v>0</v>
      </c>
      <c r="AZ130" s="325">
        <f t="shared" si="157"/>
        <v>0</v>
      </c>
      <c r="BA130" s="325">
        <f t="shared" si="158"/>
        <v>0</v>
      </c>
      <c r="BB130" s="325">
        <f t="shared" si="159"/>
        <v>0</v>
      </c>
      <c r="BC130" s="325">
        <f t="shared" si="160"/>
        <v>0</v>
      </c>
      <c r="BD130" s="342"/>
      <c r="BE130" s="97"/>
    </row>
    <row r="131" ht="36" spans="1:57">
      <c r="A131" s="304" t="s">
        <v>540</v>
      </c>
      <c r="B131" s="304" t="s">
        <v>199</v>
      </c>
      <c r="C131" s="304" t="s">
        <v>609</v>
      </c>
      <c r="D131" s="347" t="s">
        <v>610</v>
      </c>
      <c r="E131" s="325">
        <f t="shared" si="161"/>
        <v>1.71</v>
      </c>
      <c r="F131" s="325"/>
      <c r="G131" s="325"/>
      <c r="H131" s="325"/>
      <c r="I131" s="325"/>
      <c r="J131" s="325"/>
      <c r="K131" s="325"/>
      <c r="L131" s="325"/>
      <c r="M131" s="325"/>
      <c r="N131" s="325"/>
      <c r="O131" s="325"/>
      <c r="P131" s="325">
        <v>1.71</v>
      </c>
      <c r="Q131" s="325"/>
      <c r="R131" s="325"/>
      <c r="S131" s="325"/>
      <c r="T131" s="325"/>
      <c r="U131" s="325"/>
      <c r="V131" s="325">
        <f t="shared" si="143"/>
        <v>0.216</v>
      </c>
      <c r="W131" s="325"/>
      <c r="X131" s="325"/>
      <c r="Y131" s="325"/>
      <c r="Z131" s="325"/>
      <c r="AA131" s="325"/>
      <c r="AB131" s="325"/>
      <c r="AC131" s="325"/>
      <c r="AD131" s="325"/>
      <c r="AE131" s="325"/>
      <c r="AF131" s="325"/>
      <c r="AG131" s="325">
        <v>0.216</v>
      </c>
      <c r="AH131" s="325"/>
      <c r="AI131" s="325"/>
      <c r="AJ131" s="325"/>
      <c r="AK131" s="325"/>
      <c r="AL131" s="325"/>
      <c r="AM131" s="325">
        <f t="shared" si="144"/>
        <v>1.926</v>
      </c>
      <c r="AN131" s="325">
        <f t="shared" si="145"/>
        <v>0</v>
      </c>
      <c r="AO131" s="325">
        <f t="shared" si="146"/>
        <v>0</v>
      </c>
      <c r="AP131" s="325">
        <f t="shared" si="147"/>
        <v>0</v>
      </c>
      <c r="AQ131" s="325">
        <f t="shared" si="148"/>
        <v>0</v>
      </c>
      <c r="AR131" s="325">
        <f t="shared" si="149"/>
        <v>0</v>
      </c>
      <c r="AS131" s="325">
        <f t="shared" si="150"/>
        <v>0</v>
      </c>
      <c r="AT131" s="325">
        <f t="shared" si="151"/>
        <v>0</v>
      </c>
      <c r="AU131" s="325">
        <f t="shared" si="152"/>
        <v>0</v>
      </c>
      <c r="AV131" s="325">
        <f t="shared" si="153"/>
        <v>0</v>
      </c>
      <c r="AW131" s="325">
        <f t="shared" si="154"/>
        <v>0</v>
      </c>
      <c r="AX131" s="325">
        <f t="shared" si="155"/>
        <v>1.926</v>
      </c>
      <c r="AY131" s="325">
        <f t="shared" si="156"/>
        <v>0</v>
      </c>
      <c r="AZ131" s="325">
        <f t="shared" si="157"/>
        <v>0</v>
      </c>
      <c r="BA131" s="325">
        <f t="shared" si="158"/>
        <v>0</v>
      </c>
      <c r="BB131" s="325">
        <f t="shared" si="159"/>
        <v>0</v>
      </c>
      <c r="BC131" s="325">
        <f t="shared" si="160"/>
        <v>0</v>
      </c>
      <c r="BD131" s="342"/>
      <c r="BE131" s="97"/>
    </row>
    <row r="132" ht="36" spans="1:57">
      <c r="A132" s="304" t="s">
        <v>540</v>
      </c>
      <c r="B132" s="304" t="s">
        <v>199</v>
      </c>
      <c r="C132" s="304" t="s">
        <v>613</v>
      </c>
      <c r="D132" s="347" t="s">
        <v>614</v>
      </c>
      <c r="E132" s="325">
        <f t="shared" si="161"/>
        <v>0.852</v>
      </c>
      <c r="F132" s="325"/>
      <c r="G132" s="325"/>
      <c r="H132" s="325"/>
      <c r="I132" s="325"/>
      <c r="J132" s="325"/>
      <c r="K132" s="325"/>
      <c r="L132" s="325"/>
      <c r="M132" s="325"/>
      <c r="N132" s="325"/>
      <c r="O132" s="325"/>
      <c r="P132" s="325">
        <v>0.852</v>
      </c>
      <c r="Q132" s="325"/>
      <c r="R132" s="325"/>
      <c r="S132" s="325"/>
      <c r="T132" s="325"/>
      <c r="U132" s="325"/>
      <c r="V132" s="325">
        <f t="shared" si="143"/>
        <v>15.62</v>
      </c>
      <c r="W132" s="325"/>
      <c r="X132" s="325"/>
      <c r="Y132" s="325"/>
      <c r="Z132" s="325"/>
      <c r="AA132" s="325"/>
      <c r="AB132" s="325"/>
      <c r="AC132" s="325"/>
      <c r="AD132" s="325"/>
      <c r="AE132" s="325"/>
      <c r="AF132" s="325"/>
      <c r="AG132" s="325">
        <v>0.108</v>
      </c>
      <c r="AH132" s="325"/>
      <c r="AI132" s="325"/>
      <c r="AJ132" s="325"/>
      <c r="AK132" s="325"/>
      <c r="AL132" s="325">
        <v>15.512</v>
      </c>
      <c r="AM132" s="325">
        <f t="shared" si="144"/>
        <v>16.472</v>
      </c>
      <c r="AN132" s="325">
        <f t="shared" si="145"/>
        <v>0</v>
      </c>
      <c r="AO132" s="325">
        <f t="shared" si="146"/>
        <v>0</v>
      </c>
      <c r="AP132" s="325">
        <f t="shared" si="147"/>
        <v>0</v>
      </c>
      <c r="AQ132" s="325">
        <f t="shared" si="148"/>
        <v>0</v>
      </c>
      <c r="AR132" s="325">
        <f t="shared" si="149"/>
        <v>0</v>
      </c>
      <c r="AS132" s="325">
        <f t="shared" si="150"/>
        <v>0</v>
      </c>
      <c r="AT132" s="325">
        <f t="shared" si="151"/>
        <v>0</v>
      </c>
      <c r="AU132" s="325">
        <f t="shared" si="152"/>
        <v>0</v>
      </c>
      <c r="AV132" s="325">
        <f t="shared" si="153"/>
        <v>0</v>
      </c>
      <c r="AW132" s="325">
        <f t="shared" si="154"/>
        <v>0</v>
      </c>
      <c r="AX132" s="325">
        <f t="shared" si="155"/>
        <v>0.96</v>
      </c>
      <c r="AY132" s="325">
        <f t="shared" si="156"/>
        <v>0</v>
      </c>
      <c r="AZ132" s="325">
        <f t="shared" si="157"/>
        <v>0</v>
      </c>
      <c r="BA132" s="325">
        <f t="shared" si="158"/>
        <v>0</v>
      </c>
      <c r="BB132" s="325">
        <f t="shared" si="159"/>
        <v>0</v>
      </c>
      <c r="BC132" s="325">
        <f t="shared" si="160"/>
        <v>15.512</v>
      </c>
      <c r="BD132" s="342"/>
      <c r="BE132" s="97"/>
    </row>
    <row r="133" ht="36" spans="1:57">
      <c r="A133" s="304" t="s">
        <v>540</v>
      </c>
      <c r="B133" s="304" t="s">
        <v>196</v>
      </c>
      <c r="C133" s="304" t="s">
        <v>615</v>
      </c>
      <c r="D133" s="347" t="s">
        <v>616</v>
      </c>
      <c r="E133" s="325">
        <f t="shared" si="161"/>
        <v>0.26</v>
      </c>
      <c r="F133" s="325"/>
      <c r="G133" s="325"/>
      <c r="H133" s="325"/>
      <c r="I133" s="325"/>
      <c r="J133" s="325"/>
      <c r="K133" s="325"/>
      <c r="L133" s="325"/>
      <c r="M133" s="325"/>
      <c r="N133" s="325"/>
      <c r="O133" s="325">
        <v>0.26</v>
      </c>
      <c r="P133" s="325"/>
      <c r="Q133" s="325"/>
      <c r="R133" s="325"/>
      <c r="S133" s="325"/>
      <c r="T133" s="325"/>
      <c r="U133" s="325"/>
      <c r="V133" s="325">
        <f t="shared" si="143"/>
        <v>0.0324</v>
      </c>
      <c r="W133" s="325"/>
      <c r="X133" s="325"/>
      <c r="Y133" s="325"/>
      <c r="Z133" s="325"/>
      <c r="AA133" s="325"/>
      <c r="AB133" s="325"/>
      <c r="AC133" s="325"/>
      <c r="AD133" s="325"/>
      <c r="AE133" s="325"/>
      <c r="AF133" s="325">
        <v>0.0324</v>
      </c>
      <c r="AG133" s="325"/>
      <c r="AH133" s="325"/>
      <c r="AI133" s="325"/>
      <c r="AJ133" s="325"/>
      <c r="AK133" s="325"/>
      <c r="AL133" s="325"/>
      <c r="AM133" s="325">
        <f t="shared" si="144"/>
        <v>0.2924</v>
      </c>
      <c r="AN133" s="325">
        <f t="shared" si="145"/>
        <v>0</v>
      </c>
      <c r="AO133" s="325">
        <f t="shared" si="146"/>
        <v>0</v>
      </c>
      <c r="AP133" s="325">
        <f t="shared" si="147"/>
        <v>0</v>
      </c>
      <c r="AQ133" s="325">
        <f t="shared" si="148"/>
        <v>0</v>
      </c>
      <c r="AR133" s="325">
        <f t="shared" si="149"/>
        <v>0</v>
      </c>
      <c r="AS133" s="325">
        <f t="shared" si="150"/>
        <v>0</v>
      </c>
      <c r="AT133" s="325">
        <f t="shared" si="151"/>
        <v>0</v>
      </c>
      <c r="AU133" s="325">
        <f t="shared" si="152"/>
        <v>0</v>
      </c>
      <c r="AV133" s="325">
        <f t="shared" si="153"/>
        <v>0</v>
      </c>
      <c r="AW133" s="325">
        <f t="shared" si="154"/>
        <v>0.2924</v>
      </c>
      <c r="AX133" s="325">
        <f t="shared" si="155"/>
        <v>0</v>
      </c>
      <c r="AY133" s="325">
        <f t="shared" si="156"/>
        <v>0</v>
      </c>
      <c r="AZ133" s="325">
        <f t="shared" si="157"/>
        <v>0</v>
      </c>
      <c r="BA133" s="325">
        <f t="shared" si="158"/>
        <v>0</v>
      </c>
      <c r="BB133" s="325">
        <f t="shared" si="159"/>
        <v>0</v>
      </c>
      <c r="BC133" s="325">
        <f t="shared" si="160"/>
        <v>0</v>
      </c>
      <c r="BD133" s="342"/>
      <c r="BE133" s="97"/>
    </row>
    <row r="134" s="311" customFormat="1" ht="20.15" customHeight="1" spans="1:57">
      <c r="A134" s="326"/>
      <c r="B134" s="327"/>
      <c r="C134" s="328" t="s">
        <v>140</v>
      </c>
      <c r="D134" s="329">
        <v>212</v>
      </c>
      <c r="E134" s="330">
        <f>SUM(E135:E137)</f>
        <v>6.816</v>
      </c>
      <c r="F134" s="330">
        <f t="shared" ref="F134:BC134" si="162">SUM(F135:F137)</f>
        <v>0</v>
      </c>
      <c r="G134" s="330">
        <f t="shared" si="162"/>
        <v>0</v>
      </c>
      <c r="H134" s="330">
        <f t="shared" si="162"/>
        <v>0</v>
      </c>
      <c r="I134" s="330">
        <f t="shared" si="162"/>
        <v>0</v>
      </c>
      <c r="J134" s="330">
        <f t="shared" si="162"/>
        <v>0</v>
      </c>
      <c r="K134" s="330">
        <f t="shared" si="162"/>
        <v>0</v>
      </c>
      <c r="L134" s="330">
        <f t="shared" si="162"/>
        <v>0</v>
      </c>
      <c r="M134" s="330">
        <f t="shared" si="162"/>
        <v>0</v>
      </c>
      <c r="N134" s="330">
        <f t="shared" si="162"/>
        <v>0</v>
      </c>
      <c r="O134" s="330">
        <f t="shared" si="162"/>
        <v>3.408</v>
      </c>
      <c r="P134" s="330">
        <f t="shared" si="162"/>
        <v>3.408</v>
      </c>
      <c r="Q134" s="330">
        <f t="shared" si="162"/>
        <v>0</v>
      </c>
      <c r="R134" s="330">
        <f t="shared" si="162"/>
        <v>0</v>
      </c>
      <c r="S134" s="330">
        <f t="shared" si="162"/>
        <v>0</v>
      </c>
      <c r="T134" s="330">
        <f t="shared" si="162"/>
        <v>0</v>
      </c>
      <c r="U134" s="330">
        <f t="shared" si="162"/>
        <v>0</v>
      </c>
      <c r="V134" s="330">
        <f t="shared" si="162"/>
        <v>2.88</v>
      </c>
      <c r="W134" s="330">
        <f t="shared" si="162"/>
        <v>0</v>
      </c>
      <c r="X134" s="330">
        <f t="shared" si="162"/>
        <v>0</v>
      </c>
      <c r="Y134" s="330">
        <f t="shared" si="162"/>
        <v>0</v>
      </c>
      <c r="Z134" s="330">
        <f t="shared" si="162"/>
        <v>0</v>
      </c>
      <c r="AA134" s="330">
        <f t="shared" si="162"/>
        <v>0</v>
      </c>
      <c r="AB134" s="330">
        <f t="shared" si="162"/>
        <v>0</v>
      </c>
      <c r="AC134" s="330">
        <f t="shared" si="162"/>
        <v>0</v>
      </c>
      <c r="AD134" s="330">
        <f t="shared" si="162"/>
        <v>0</v>
      </c>
      <c r="AE134" s="330">
        <f t="shared" si="162"/>
        <v>0</v>
      </c>
      <c r="AF134" s="330">
        <f t="shared" si="162"/>
        <v>0</v>
      </c>
      <c r="AG134" s="330">
        <f t="shared" si="162"/>
        <v>2.88</v>
      </c>
      <c r="AH134" s="330">
        <f t="shared" si="162"/>
        <v>0</v>
      </c>
      <c r="AI134" s="330">
        <f t="shared" si="162"/>
        <v>0</v>
      </c>
      <c r="AJ134" s="330">
        <f t="shared" si="162"/>
        <v>0</v>
      </c>
      <c r="AK134" s="330">
        <f t="shared" si="162"/>
        <v>0</v>
      </c>
      <c r="AL134" s="330">
        <f t="shared" si="162"/>
        <v>0</v>
      </c>
      <c r="AM134" s="330">
        <f t="shared" si="162"/>
        <v>9.696</v>
      </c>
      <c r="AN134" s="330">
        <f t="shared" si="162"/>
        <v>0</v>
      </c>
      <c r="AO134" s="330">
        <f t="shared" si="162"/>
        <v>0</v>
      </c>
      <c r="AP134" s="330">
        <f t="shared" si="162"/>
        <v>0</v>
      </c>
      <c r="AQ134" s="330">
        <f t="shared" si="162"/>
        <v>0</v>
      </c>
      <c r="AR134" s="330">
        <f t="shared" si="162"/>
        <v>0</v>
      </c>
      <c r="AS134" s="330">
        <f t="shared" si="162"/>
        <v>0</v>
      </c>
      <c r="AT134" s="330">
        <f t="shared" si="162"/>
        <v>0</v>
      </c>
      <c r="AU134" s="330">
        <f t="shared" si="162"/>
        <v>0</v>
      </c>
      <c r="AV134" s="330">
        <f t="shared" si="162"/>
        <v>0</v>
      </c>
      <c r="AW134" s="330">
        <f t="shared" si="162"/>
        <v>3.408</v>
      </c>
      <c r="AX134" s="330">
        <f t="shared" si="162"/>
        <v>6.288</v>
      </c>
      <c r="AY134" s="330">
        <f t="shared" si="162"/>
        <v>0</v>
      </c>
      <c r="AZ134" s="330">
        <f t="shared" si="162"/>
        <v>0</v>
      </c>
      <c r="BA134" s="330">
        <f t="shared" si="162"/>
        <v>0</v>
      </c>
      <c r="BB134" s="330">
        <f t="shared" si="162"/>
        <v>0</v>
      </c>
      <c r="BC134" s="330">
        <f t="shared" si="162"/>
        <v>0</v>
      </c>
      <c r="BD134" s="341"/>
      <c r="BE134" s="346"/>
    </row>
    <row r="135" ht="24" spans="1:57">
      <c r="A135" s="304" t="s">
        <v>290</v>
      </c>
      <c r="B135" s="304" t="s">
        <v>196</v>
      </c>
      <c r="C135" s="304" t="s">
        <v>617</v>
      </c>
      <c r="D135" s="347" t="s">
        <v>618</v>
      </c>
      <c r="E135" s="325">
        <f>SUM(F135:U135)</f>
        <v>3.408</v>
      </c>
      <c r="F135" s="325"/>
      <c r="G135" s="325"/>
      <c r="H135" s="325"/>
      <c r="I135" s="325"/>
      <c r="J135" s="325"/>
      <c r="K135" s="325"/>
      <c r="L135" s="325"/>
      <c r="M135" s="325"/>
      <c r="N135" s="325"/>
      <c r="O135" s="325">
        <v>3.408</v>
      </c>
      <c r="P135" s="325"/>
      <c r="Q135" s="325"/>
      <c r="R135" s="325"/>
      <c r="S135" s="325"/>
      <c r="T135" s="325"/>
      <c r="U135" s="325"/>
      <c r="V135" s="325">
        <f>SUM(W135:AL135)</f>
        <v>0</v>
      </c>
      <c r="W135" s="325"/>
      <c r="X135" s="325"/>
      <c r="Y135" s="325"/>
      <c r="Z135" s="325"/>
      <c r="AA135" s="325"/>
      <c r="AB135" s="325"/>
      <c r="AC135" s="325"/>
      <c r="AD135" s="325"/>
      <c r="AE135" s="325"/>
      <c r="AF135" s="325"/>
      <c r="AG135" s="325"/>
      <c r="AH135" s="325"/>
      <c r="AI135" s="325"/>
      <c r="AJ135" s="325"/>
      <c r="AK135" s="325"/>
      <c r="AL135" s="325"/>
      <c r="AM135" s="325">
        <f>SUM(AN135:BC135)</f>
        <v>3.408</v>
      </c>
      <c r="AN135" s="325">
        <f t="shared" ref="AN135:BC135" si="163">F135+W135</f>
        <v>0</v>
      </c>
      <c r="AO135" s="325">
        <f t="shared" si="163"/>
        <v>0</v>
      </c>
      <c r="AP135" s="325">
        <f t="shared" si="163"/>
        <v>0</v>
      </c>
      <c r="AQ135" s="325">
        <f t="shared" si="163"/>
        <v>0</v>
      </c>
      <c r="AR135" s="325">
        <f t="shared" si="163"/>
        <v>0</v>
      </c>
      <c r="AS135" s="325">
        <f t="shared" si="163"/>
        <v>0</v>
      </c>
      <c r="AT135" s="325">
        <f t="shared" si="163"/>
        <v>0</v>
      </c>
      <c r="AU135" s="325">
        <f t="shared" si="163"/>
        <v>0</v>
      </c>
      <c r="AV135" s="325">
        <f t="shared" si="163"/>
        <v>0</v>
      </c>
      <c r="AW135" s="325">
        <f t="shared" si="163"/>
        <v>3.408</v>
      </c>
      <c r="AX135" s="325">
        <f t="shared" si="163"/>
        <v>0</v>
      </c>
      <c r="AY135" s="325">
        <f t="shared" si="163"/>
        <v>0</v>
      </c>
      <c r="AZ135" s="325">
        <f t="shared" si="163"/>
        <v>0</v>
      </c>
      <c r="BA135" s="325">
        <f t="shared" si="163"/>
        <v>0</v>
      </c>
      <c r="BB135" s="325">
        <f t="shared" si="163"/>
        <v>0</v>
      </c>
      <c r="BC135" s="325">
        <f t="shared" si="163"/>
        <v>0</v>
      </c>
      <c r="BD135" s="342"/>
      <c r="BE135" s="97"/>
    </row>
    <row r="136" ht="36" spans="1:57">
      <c r="A136" s="304" t="s">
        <v>290</v>
      </c>
      <c r="B136" s="304" t="s">
        <v>199</v>
      </c>
      <c r="C136" s="304" t="s">
        <v>639</v>
      </c>
      <c r="D136" s="347" t="s">
        <v>638</v>
      </c>
      <c r="E136" s="325">
        <f>SUM(F136:U136)</f>
        <v>3.408</v>
      </c>
      <c r="F136" s="325"/>
      <c r="G136" s="325"/>
      <c r="H136" s="325"/>
      <c r="I136" s="325"/>
      <c r="J136" s="325"/>
      <c r="K136" s="325"/>
      <c r="L136" s="325"/>
      <c r="M136" s="325"/>
      <c r="N136" s="325"/>
      <c r="O136" s="325"/>
      <c r="P136" s="325">
        <v>3.408</v>
      </c>
      <c r="Q136" s="325"/>
      <c r="R136" s="325"/>
      <c r="S136" s="325"/>
      <c r="T136" s="325"/>
      <c r="U136" s="325"/>
      <c r="V136" s="325">
        <f>SUM(W136:AL136)</f>
        <v>0</v>
      </c>
      <c r="W136" s="325"/>
      <c r="X136" s="325"/>
      <c r="Y136" s="325"/>
      <c r="Z136" s="325"/>
      <c r="AA136" s="325"/>
      <c r="AB136" s="325"/>
      <c r="AC136" s="325"/>
      <c r="AD136" s="325"/>
      <c r="AE136" s="325"/>
      <c r="AF136" s="325"/>
      <c r="AG136" s="325"/>
      <c r="AH136" s="325"/>
      <c r="AI136" s="325"/>
      <c r="AJ136" s="325"/>
      <c r="AK136" s="325"/>
      <c r="AL136" s="325"/>
      <c r="AM136" s="325">
        <f>SUM(AN136:BC136)</f>
        <v>3.408</v>
      </c>
      <c r="AN136" s="325">
        <f t="shared" ref="AN136:BC136" si="164">F136+W136</f>
        <v>0</v>
      </c>
      <c r="AO136" s="325">
        <f t="shared" si="164"/>
        <v>0</v>
      </c>
      <c r="AP136" s="325">
        <f t="shared" si="164"/>
        <v>0</v>
      </c>
      <c r="AQ136" s="325">
        <f t="shared" si="164"/>
        <v>0</v>
      </c>
      <c r="AR136" s="325">
        <f t="shared" si="164"/>
        <v>0</v>
      </c>
      <c r="AS136" s="325">
        <f t="shared" si="164"/>
        <v>0</v>
      </c>
      <c r="AT136" s="325">
        <f t="shared" si="164"/>
        <v>0</v>
      </c>
      <c r="AU136" s="325">
        <f t="shared" si="164"/>
        <v>0</v>
      </c>
      <c r="AV136" s="325">
        <f t="shared" si="164"/>
        <v>0</v>
      </c>
      <c r="AW136" s="325">
        <f t="shared" si="164"/>
        <v>0</v>
      </c>
      <c r="AX136" s="325">
        <f t="shared" si="164"/>
        <v>3.408</v>
      </c>
      <c r="AY136" s="325">
        <f t="shared" si="164"/>
        <v>0</v>
      </c>
      <c r="AZ136" s="325">
        <f t="shared" si="164"/>
        <v>0</v>
      </c>
      <c r="BA136" s="325">
        <f t="shared" si="164"/>
        <v>0</v>
      </c>
      <c r="BB136" s="325">
        <f t="shared" si="164"/>
        <v>0</v>
      </c>
      <c r="BC136" s="325">
        <f t="shared" si="164"/>
        <v>0</v>
      </c>
      <c r="BD136" s="342"/>
      <c r="BE136" s="97"/>
    </row>
    <row r="137" ht="36" spans="1:57">
      <c r="A137" s="304" t="s">
        <v>290</v>
      </c>
      <c r="B137" s="304" t="s">
        <v>199</v>
      </c>
      <c r="C137" s="304" t="s">
        <v>634</v>
      </c>
      <c r="D137" s="347" t="s">
        <v>635</v>
      </c>
      <c r="E137" s="325">
        <f>SUM(F137:U137)</f>
        <v>0</v>
      </c>
      <c r="F137" s="325"/>
      <c r="G137" s="325"/>
      <c r="H137" s="325"/>
      <c r="I137" s="325"/>
      <c r="J137" s="325"/>
      <c r="K137" s="325"/>
      <c r="L137" s="325"/>
      <c r="M137" s="325"/>
      <c r="N137" s="325"/>
      <c r="O137" s="325"/>
      <c r="P137" s="325"/>
      <c r="Q137" s="325"/>
      <c r="R137" s="325"/>
      <c r="S137" s="325"/>
      <c r="T137" s="325"/>
      <c r="U137" s="325"/>
      <c r="V137" s="325">
        <f t="shared" ref="V137:V159" si="165">SUM(W137:AL137)</f>
        <v>2.88</v>
      </c>
      <c r="W137" s="325"/>
      <c r="X137" s="325"/>
      <c r="Y137" s="325"/>
      <c r="Z137" s="325"/>
      <c r="AA137" s="325"/>
      <c r="AB137" s="325"/>
      <c r="AC137" s="325"/>
      <c r="AD137" s="325"/>
      <c r="AE137" s="325"/>
      <c r="AF137" s="325"/>
      <c r="AG137" s="325">
        <v>2.88</v>
      </c>
      <c r="AH137" s="325"/>
      <c r="AI137" s="325"/>
      <c r="AJ137" s="325"/>
      <c r="AK137" s="325"/>
      <c r="AL137" s="325"/>
      <c r="AM137" s="325">
        <f t="shared" ref="AM137:AM159" si="166">SUM(AN137:BC137)</f>
        <v>2.88</v>
      </c>
      <c r="AN137" s="325">
        <f t="shared" ref="AN137:BC137" si="167">F137+W137</f>
        <v>0</v>
      </c>
      <c r="AO137" s="325">
        <f t="shared" si="167"/>
        <v>0</v>
      </c>
      <c r="AP137" s="325">
        <f t="shared" si="167"/>
        <v>0</v>
      </c>
      <c r="AQ137" s="325">
        <f t="shared" si="167"/>
        <v>0</v>
      </c>
      <c r="AR137" s="325">
        <f t="shared" si="167"/>
        <v>0</v>
      </c>
      <c r="AS137" s="325">
        <f t="shared" si="167"/>
        <v>0</v>
      </c>
      <c r="AT137" s="325">
        <f t="shared" si="167"/>
        <v>0</v>
      </c>
      <c r="AU137" s="325">
        <f t="shared" si="167"/>
        <v>0</v>
      </c>
      <c r="AV137" s="325">
        <f t="shared" si="167"/>
        <v>0</v>
      </c>
      <c r="AW137" s="325">
        <f t="shared" si="167"/>
        <v>0</v>
      </c>
      <c r="AX137" s="325">
        <f t="shared" si="167"/>
        <v>2.88</v>
      </c>
      <c r="AY137" s="325">
        <f t="shared" si="167"/>
        <v>0</v>
      </c>
      <c r="AZ137" s="325">
        <f t="shared" si="167"/>
        <v>0</v>
      </c>
      <c r="BA137" s="325">
        <f t="shared" si="167"/>
        <v>0</v>
      </c>
      <c r="BB137" s="325">
        <f t="shared" si="167"/>
        <v>0</v>
      </c>
      <c r="BC137" s="325">
        <f t="shared" si="167"/>
        <v>0</v>
      </c>
      <c r="BD137" s="342" t="s">
        <v>928</v>
      </c>
      <c r="BE137" s="97"/>
    </row>
    <row r="138" s="311" customFormat="1" ht="20.15" customHeight="1" spans="1:57">
      <c r="A138" s="326"/>
      <c r="B138" s="327"/>
      <c r="C138" s="328" t="s">
        <v>141</v>
      </c>
      <c r="D138" s="329">
        <v>213</v>
      </c>
      <c r="E138" s="330">
        <f>SUM(E139:E159)</f>
        <v>4707.0436</v>
      </c>
      <c r="F138" s="330">
        <f t="shared" ref="F138:BC138" si="168">SUM(F139:F159)</f>
        <v>0</v>
      </c>
      <c r="G138" s="330">
        <f t="shared" si="168"/>
        <v>0</v>
      </c>
      <c r="H138" s="330">
        <f t="shared" si="168"/>
        <v>0</v>
      </c>
      <c r="I138" s="330">
        <f t="shared" si="168"/>
        <v>0</v>
      </c>
      <c r="J138" s="330">
        <f t="shared" si="168"/>
        <v>0</v>
      </c>
      <c r="K138" s="330">
        <f t="shared" si="168"/>
        <v>0</v>
      </c>
      <c r="L138" s="330">
        <f t="shared" si="168"/>
        <v>0</v>
      </c>
      <c r="M138" s="330">
        <f t="shared" si="168"/>
        <v>0</v>
      </c>
      <c r="N138" s="330">
        <f t="shared" si="168"/>
        <v>0</v>
      </c>
      <c r="O138" s="330">
        <f t="shared" si="168"/>
        <v>102.79</v>
      </c>
      <c r="P138" s="330">
        <f t="shared" si="168"/>
        <v>4.38</v>
      </c>
      <c r="Q138" s="330">
        <f t="shared" si="168"/>
        <v>2.46</v>
      </c>
      <c r="R138" s="330">
        <f t="shared" si="168"/>
        <v>0</v>
      </c>
      <c r="S138" s="330">
        <f t="shared" si="168"/>
        <v>1797.137</v>
      </c>
      <c r="T138" s="330">
        <f t="shared" si="168"/>
        <v>2800.2766</v>
      </c>
      <c r="U138" s="330">
        <f t="shared" si="168"/>
        <v>0</v>
      </c>
      <c r="V138" s="330">
        <f t="shared" si="168"/>
        <v>-268.428</v>
      </c>
      <c r="W138" s="330">
        <f t="shared" si="168"/>
        <v>0</v>
      </c>
      <c r="X138" s="330">
        <f t="shared" si="168"/>
        <v>0</v>
      </c>
      <c r="Y138" s="330">
        <f t="shared" si="168"/>
        <v>0</v>
      </c>
      <c r="Z138" s="330">
        <f t="shared" si="168"/>
        <v>0</v>
      </c>
      <c r="AA138" s="330">
        <f t="shared" si="168"/>
        <v>0</v>
      </c>
      <c r="AB138" s="330">
        <f t="shared" si="168"/>
        <v>0</v>
      </c>
      <c r="AC138" s="330">
        <f t="shared" si="168"/>
        <v>0</v>
      </c>
      <c r="AD138" s="330">
        <f t="shared" si="168"/>
        <v>0</v>
      </c>
      <c r="AE138" s="330">
        <f t="shared" si="168"/>
        <v>0</v>
      </c>
      <c r="AF138" s="330">
        <f t="shared" si="168"/>
        <v>10.39</v>
      </c>
      <c r="AG138" s="330">
        <f t="shared" si="168"/>
        <v>0.54</v>
      </c>
      <c r="AH138" s="330">
        <f t="shared" si="168"/>
        <v>0.08</v>
      </c>
      <c r="AI138" s="330">
        <f t="shared" si="168"/>
        <v>0</v>
      </c>
      <c r="AJ138" s="330">
        <f t="shared" si="168"/>
        <v>-328.198</v>
      </c>
      <c r="AK138" s="330">
        <f t="shared" si="168"/>
        <v>48.76</v>
      </c>
      <c r="AL138" s="330">
        <f t="shared" si="168"/>
        <v>0</v>
      </c>
      <c r="AM138" s="330">
        <f t="shared" si="168"/>
        <v>4438.6156</v>
      </c>
      <c r="AN138" s="330">
        <f t="shared" si="168"/>
        <v>0</v>
      </c>
      <c r="AO138" s="330">
        <f t="shared" si="168"/>
        <v>0</v>
      </c>
      <c r="AP138" s="330">
        <f t="shared" si="168"/>
        <v>0</v>
      </c>
      <c r="AQ138" s="330">
        <f t="shared" si="168"/>
        <v>0</v>
      </c>
      <c r="AR138" s="330">
        <f t="shared" si="168"/>
        <v>0</v>
      </c>
      <c r="AS138" s="330">
        <f t="shared" si="168"/>
        <v>0</v>
      </c>
      <c r="AT138" s="330">
        <f t="shared" si="168"/>
        <v>0</v>
      </c>
      <c r="AU138" s="330">
        <f t="shared" si="168"/>
        <v>0</v>
      </c>
      <c r="AV138" s="330">
        <f t="shared" si="168"/>
        <v>0</v>
      </c>
      <c r="AW138" s="330">
        <f t="shared" si="168"/>
        <v>113.18</v>
      </c>
      <c r="AX138" s="330">
        <f t="shared" si="168"/>
        <v>4.92</v>
      </c>
      <c r="AY138" s="330">
        <f t="shared" si="168"/>
        <v>2.54</v>
      </c>
      <c r="AZ138" s="330">
        <f t="shared" si="168"/>
        <v>0</v>
      </c>
      <c r="BA138" s="330">
        <f t="shared" si="168"/>
        <v>1468.939</v>
      </c>
      <c r="BB138" s="330">
        <f t="shared" si="168"/>
        <v>2849.0366</v>
      </c>
      <c r="BC138" s="330">
        <f t="shared" si="168"/>
        <v>0</v>
      </c>
      <c r="BD138" s="341"/>
      <c r="BE138" s="346"/>
    </row>
    <row r="139" ht="36" spans="1:57">
      <c r="A139" s="304" t="s">
        <v>640</v>
      </c>
      <c r="B139" s="304" t="s">
        <v>196</v>
      </c>
      <c r="C139" s="304" t="s">
        <v>641</v>
      </c>
      <c r="D139" s="347" t="s">
        <v>642</v>
      </c>
      <c r="E139" s="325">
        <f>SUM(F139:U139)</f>
        <v>45.34</v>
      </c>
      <c r="F139" s="348"/>
      <c r="G139" s="348"/>
      <c r="H139" s="348"/>
      <c r="I139" s="348"/>
      <c r="J139" s="348"/>
      <c r="K139" s="348"/>
      <c r="L139" s="348"/>
      <c r="M139" s="348"/>
      <c r="N139" s="348"/>
      <c r="O139" s="325">
        <v>42.88</v>
      </c>
      <c r="P139" s="348"/>
      <c r="Q139" s="325">
        <v>2.46</v>
      </c>
      <c r="R139" s="348"/>
      <c r="S139" s="348"/>
      <c r="T139" s="348"/>
      <c r="U139" s="348"/>
      <c r="V139" s="325">
        <f t="shared" si="165"/>
        <v>5.4</v>
      </c>
      <c r="W139" s="348"/>
      <c r="X139" s="348"/>
      <c r="Y139" s="348"/>
      <c r="Z139" s="348"/>
      <c r="AA139" s="348"/>
      <c r="AB139" s="348"/>
      <c r="AC139" s="348"/>
      <c r="AD139" s="348"/>
      <c r="AE139" s="348"/>
      <c r="AF139" s="325">
        <v>5.32</v>
      </c>
      <c r="AG139" s="348"/>
      <c r="AH139" s="325">
        <v>0.08</v>
      </c>
      <c r="AI139" s="348"/>
      <c r="AJ139" s="348"/>
      <c r="AK139" s="348"/>
      <c r="AL139" s="348"/>
      <c r="AM139" s="325">
        <f t="shared" si="166"/>
        <v>50.74</v>
      </c>
      <c r="AN139" s="325">
        <f t="shared" ref="AN139:AN159" si="169">F139+W139</f>
        <v>0</v>
      </c>
      <c r="AO139" s="325">
        <f t="shared" ref="AO139:AO159" si="170">G139+X139</f>
        <v>0</v>
      </c>
      <c r="AP139" s="325">
        <f t="shared" ref="AP139:AP159" si="171">H139+Y139</f>
        <v>0</v>
      </c>
      <c r="AQ139" s="325">
        <f t="shared" ref="AQ139:AQ159" si="172">I139+Z139</f>
        <v>0</v>
      </c>
      <c r="AR139" s="325">
        <f t="shared" ref="AR139:AR159" si="173">J139+AA139</f>
        <v>0</v>
      </c>
      <c r="AS139" s="325">
        <f t="shared" ref="AS139:AS159" si="174">K139+AB139</f>
        <v>0</v>
      </c>
      <c r="AT139" s="325">
        <f t="shared" ref="AT139:AT159" si="175">L139+AC139</f>
        <v>0</v>
      </c>
      <c r="AU139" s="325">
        <f t="shared" ref="AU139:AU159" si="176">M139+AD139</f>
        <v>0</v>
      </c>
      <c r="AV139" s="325">
        <f t="shared" ref="AV139:AV159" si="177">N139+AE139</f>
        <v>0</v>
      </c>
      <c r="AW139" s="325">
        <f t="shared" ref="AW139:AW159" si="178">O139+AF139</f>
        <v>48.2</v>
      </c>
      <c r="AX139" s="325">
        <f t="shared" ref="AX139:AX159" si="179">P139+AG139</f>
        <v>0</v>
      </c>
      <c r="AY139" s="325">
        <f t="shared" ref="AY139:AY159" si="180">Q139+AH139</f>
        <v>2.54</v>
      </c>
      <c r="AZ139" s="325">
        <f t="shared" ref="AZ139:AZ159" si="181">R139+AI139</f>
        <v>0</v>
      </c>
      <c r="BA139" s="325">
        <f t="shared" ref="BA139:BA159" si="182">S139+AJ139</f>
        <v>0</v>
      </c>
      <c r="BB139" s="325">
        <f t="shared" ref="BB139:BB159" si="183">T139+AK139</f>
        <v>0</v>
      </c>
      <c r="BC139" s="325">
        <f t="shared" ref="BC139:BC159" si="184">U139+AL139</f>
        <v>0</v>
      </c>
      <c r="BD139" s="349" t="s">
        <v>929</v>
      </c>
      <c r="BE139" s="350"/>
    </row>
    <row r="140" ht="24" spans="1:57">
      <c r="A140" s="304" t="s">
        <v>640</v>
      </c>
      <c r="B140" s="304" t="s">
        <v>196</v>
      </c>
      <c r="C140" s="304" t="s">
        <v>643</v>
      </c>
      <c r="D140" s="347" t="s">
        <v>642</v>
      </c>
      <c r="E140" s="325">
        <f>SUM(F140:U140)</f>
        <v>4.38</v>
      </c>
      <c r="F140" s="348"/>
      <c r="G140" s="348"/>
      <c r="H140" s="348"/>
      <c r="I140" s="348"/>
      <c r="J140" s="348"/>
      <c r="K140" s="348"/>
      <c r="L140" s="348"/>
      <c r="M140" s="348"/>
      <c r="N140" s="348"/>
      <c r="O140" s="325"/>
      <c r="P140" s="325">
        <v>4.38</v>
      </c>
      <c r="Q140" s="325"/>
      <c r="R140" s="348"/>
      <c r="S140" s="348"/>
      <c r="T140" s="348"/>
      <c r="U140" s="348"/>
      <c r="V140" s="325">
        <f t="shared" si="165"/>
        <v>0.54</v>
      </c>
      <c r="W140" s="348"/>
      <c r="X140" s="348"/>
      <c r="Y140" s="348"/>
      <c r="Z140" s="348"/>
      <c r="AA140" s="348"/>
      <c r="AB140" s="348"/>
      <c r="AC140" s="348"/>
      <c r="AD140" s="348"/>
      <c r="AE140" s="348"/>
      <c r="AF140" s="325"/>
      <c r="AG140" s="325">
        <v>0.54</v>
      </c>
      <c r="AH140" s="325"/>
      <c r="AI140" s="348"/>
      <c r="AJ140" s="348"/>
      <c r="AK140" s="348"/>
      <c r="AL140" s="348"/>
      <c r="AM140" s="325">
        <f t="shared" si="166"/>
        <v>4.92</v>
      </c>
      <c r="AN140" s="325">
        <f t="shared" si="169"/>
        <v>0</v>
      </c>
      <c r="AO140" s="325">
        <f t="shared" si="170"/>
        <v>0</v>
      </c>
      <c r="AP140" s="325">
        <f t="shared" si="171"/>
        <v>0</v>
      </c>
      <c r="AQ140" s="325">
        <f t="shared" si="172"/>
        <v>0</v>
      </c>
      <c r="AR140" s="325">
        <f t="shared" si="173"/>
        <v>0</v>
      </c>
      <c r="AS140" s="325">
        <f t="shared" si="174"/>
        <v>0</v>
      </c>
      <c r="AT140" s="325">
        <f t="shared" si="175"/>
        <v>0</v>
      </c>
      <c r="AU140" s="325">
        <f t="shared" si="176"/>
        <v>0</v>
      </c>
      <c r="AV140" s="325">
        <f t="shared" si="177"/>
        <v>0</v>
      </c>
      <c r="AW140" s="325">
        <f t="shared" si="178"/>
        <v>0</v>
      </c>
      <c r="AX140" s="325">
        <f t="shared" si="179"/>
        <v>4.92</v>
      </c>
      <c r="AY140" s="325">
        <f t="shared" si="180"/>
        <v>0</v>
      </c>
      <c r="AZ140" s="325">
        <f t="shared" si="181"/>
        <v>0</v>
      </c>
      <c r="BA140" s="325">
        <f t="shared" si="182"/>
        <v>0</v>
      </c>
      <c r="BB140" s="325">
        <f t="shared" si="183"/>
        <v>0</v>
      </c>
      <c r="BC140" s="325">
        <f t="shared" si="184"/>
        <v>0</v>
      </c>
      <c r="BD140" s="349"/>
      <c r="BE140" s="350"/>
    </row>
    <row r="141" ht="24" spans="1:57">
      <c r="A141" s="304" t="s">
        <v>665</v>
      </c>
      <c r="B141" s="304" t="s">
        <v>196</v>
      </c>
      <c r="C141" s="304" t="s">
        <v>666</v>
      </c>
      <c r="D141" s="347" t="s">
        <v>667</v>
      </c>
      <c r="E141" s="325">
        <f>SUM(F141:U141)</f>
        <v>43.6</v>
      </c>
      <c r="F141" s="325"/>
      <c r="G141" s="325"/>
      <c r="H141" s="325"/>
      <c r="I141" s="325"/>
      <c r="J141" s="325"/>
      <c r="K141" s="325"/>
      <c r="L141" s="325"/>
      <c r="M141" s="325"/>
      <c r="N141" s="325"/>
      <c r="O141" s="325">
        <v>43.6</v>
      </c>
      <c r="P141" s="325"/>
      <c r="Q141" s="325"/>
      <c r="R141" s="325"/>
      <c r="S141" s="325"/>
      <c r="T141" s="325"/>
      <c r="U141" s="325"/>
      <c r="V141" s="325">
        <f t="shared" si="165"/>
        <v>3.02</v>
      </c>
      <c r="W141" s="325"/>
      <c r="X141" s="325"/>
      <c r="Y141" s="325"/>
      <c r="Z141" s="325"/>
      <c r="AA141" s="325"/>
      <c r="AB141" s="325"/>
      <c r="AC141" s="325"/>
      <c r="AD141" s="325"/>
      <c r="AE141" s="325"/>
      <c r="AF141" s="325">
        <v>3.02</v>
      </c>
      <c r="AG141" s="325"/>
      <c r="AH141" s="325"/>
      <c r="AI141" s="325"/>
      <c r="AJ141" s="325"/>
      <c r="AK141" s="325"/>
      <c r="AL141" s="325"/>
      <c r="AM141" s="325">
        <f t="shared" si="166"/>
        <v>46.62</v>
      </c>
      <c r="AN141" s="325">
        <f t="shared" si="169"/>
        <v>0</v>
      </c>
      <c r="AO141" s="325">
        <f t="shared" si="170"/>
        <v>0</v>
      </c>
      <c r="AP141" s="325">
        <f t="shared" si="171"/>
        <v>0</v>
      </c>
      <c r="AQ141" s="325">
        <f t="shared" si="172"/>
        <v>0</v>
      </c>
      <c r="AR141" s="325">
        <f t="shared" si="173"/>
        <v>0</v>
      </c>
      <c r="AS141" s="325">
        <f t="shared" si="174"/>
        <v>0</v>
      </c>
      <c r="AT141" s="325">
        <f t="shared" si="175"/>
        <v>0</v>
      </c>
      <c r="AU141" s="325">
        <f t="shared" si="176"/>
        <v>0</v>
      </c>
      <c r="AV141" s="325">
        <f t="shared" si="177"/>
        <v>0</v>
      </c>
      <c r="AW141" s="325">
        <f t="shared" si="178"/>
        <v>46.62</v>
      </c>
      <c r="AX141" s="325">
        <f t="shared" si="179"/>
        <v>0</v>
      </c>
      <c r="AY141" s="325">
        <f t="shared" si="180"/>
        <v>0</v>
      </c>
      <c r="AZ141" s="325">
        <f t="shared" si="181"/>
        <v>0</v>
      </c>
      <c r="BA141" s="325">
        <f t="shared" si="182"/>
        <v>0</v>
      </c>
      <c r="BB141" s="325">
        <f t="shared" si="183"/>
        <v>0</v>
      </c>
      <c r="BC141" s="325">
        <f t="shared" si="184"/>
        <v>0</v>
      </c>
      <c r="BD141" s="342"/>
      <c r="BE141" s="97"/>
    </row>
    <row r="142" ht="132" spans="1:57">
      <c r="A142" s="304" t="s">
        <v>640</v>
      </c>
      <c r="B142" s="304" t="s">
        <v>196</v>
      </c>
      <c r="C142" s="304" t="s">
        <v>682</v>
      </c>
      <c r="D142" s="347" t="s">
        <v>683</v>
      </c>
      <c r="E142" s="325">
        <f>SUM(F142:U142)</f>
        <v>449.31</v>
      </c>
      <c r="F142" s="348"/>
      <c r="G142" s="348"/>
      <c r="H142" s="348"/>
      <c r="I142" s="348"/>
      <c r="J142" s="348"/>
      <c r="K142" s="348"/>
      <c r="L142" s="348"/>
      <c r="M142" s="348"/>
      <c r="N142" s="348"/>
      <c r="O142" s="325">
        <v>16.31</v>
      </c>
      <c r="P142" s="348"/>
      <c r="Q142" s="325"/>
      <c r="R142" s="348"/>
      <c r="S142" s="348">
        <v>433</v>
      </c>
      <c r="T142" s="348"/>
      <c r="U142" s="348"/>
      <c r="V142" s="325">
        <f t="shared" si="165"/>
        <v>-293.55</v>
      </c>
      <c r="W142" s="348"/>
      <c r="X142" s="348"/>
      <c r="Y142" s="348"/>
      <c r="Z142" s="348"/>
      <c r="AA142" s="348"/>
      <c r="AB142" s="348"/>
      <c r="AC142" s="348"/>
      <c r="AD142" s="348"/>
      <c r="AE142" s="348"/>
      <c r="AF142" s="325">
        <v>2.05</v>
      </c>
      <c r="AG142" s="348"/>
      <c r="AH142" s="325"/>
      <c r="AI142" s="348"/>
      <c r="AJ142" s="348">
        <v>-295.6</v>
      </c>
      <c r="AK142" s="348"/>
      <c r="AL142" s="348"/>
      <c r="AM142" s="325">
        <f t="shared" si="166"/>
        <v>155.76</v>
      </c>
      <c r="AN142" s="325">
        <f t="shared" si="169"/>
        <v>0</v>
      </c>
      <c r="AO142" s="325">
        <f t="shared" si="170"/>
        <v>0</v>
      </c>
      <c r="AP142" s="325">
        <f t="shared" si="171"/>
        <v>0</v>
      </c>
      <c r="AQ142" s="325">
        <f t="shared" si="172"/>
        <v>0</v>
      </c>
      <c r="AR142" s="325">
        <f t="shared" si="173"/>
        <v>0</v>
      </c>
      <c r="AS142" s="325">
        <f t="shared" si="174"/>
        <v>0</v>
      </c>
      <c r="AT142" s="325">
        <f t="shared" si="175"/>
        <v>0</v>
      </c>
      <c r="AU142" s="325">
        <f t="shared" si="176"/>
        <v>0</v>
      </c>
      <c r="AV142" s="325">
        <f t="shared" si="177"/>
        <v>0</v>
      </c>
      <c r="AW142" s="325">
        <f t="shared" si="178"/>
        <v>18.36</v>
      </c>
      <c r="AX142" s="325">
        <f t="shared" si="179"/>
        <v>0</v>
      </c>
      <c r="AY142" s="325">
        <f t="shared" si="180"/>
        <v>0</v>
      </c>
      <c r="AZ142" s="325">
        <f t="shared" si="181"/>
        <v>0</v>
      </c>
      <c r="BA142" s="325">
        <f t="shared" si="182"/>
        <v>137.4</v>
      </c>
      <c r="BB142" s="325">
        <f t="shared" si="183"/>
        <v>0</v>
      </c>
      <c r="BC142" s="325">
        <f t="shared" si="184"/>
        <v>0</v>
      </c>
      <c r="BD142" s="349" t="s">
        <v>930</v>
      </c>
      <c r="BE142" s="351" t="s">
        <v>931</v>
      </c>
    </row>
    <row r="143" ht="26" customHeight="1" spans="1:57">
      <c r="A143" s="304" t="s">
        <v>640</v>
      </c>
      <c r="B143" s="304" t="s">
        <v>196</v>
      </c>
      <c r="C143" s="304" t="s">
        <v>222</v>
      </c>
      <c r="D143" s="347" t="s">
        <v>932</v>
      </c>
      <c r="E143" s="325">
        <f t="shared" ref="E143:E159" si="185">SUM(F143:U143)</f>
        <v>540.198</v>
      </c>
      <c r="F143" s="325"/>
      <c r="G143" s="325"/>
      <c r="H143" s="325"/>
      <c r="I143" s="325"/>
      <c r="J143" s="325"/>
      <c r="K143" s="325"/>
      <c r="L143" s="325"/>
      <c r="M143" s="325"/>
      <c r="N143" s="325"/>
      <c r="O143" s="325"/>
      <c r="P143" s="325"/>
      <c r="Q143" s="325"/>
      <c r="R143" s="325"/>
      <c r="S143" s="325">
        <v>69.51</v>
      </c>
      <c r="T143" s="325">
        <v>470.688</v>
      </c>
      <c r="U143" s="325"/>
      <c r="V143" s="325">
        <f t="shared" si="165"/>
        <v>0</v>
      </c>
      <c r="W143" s="325"/>
      <c r="X143" s="325"/>
      <c r="Y143" s="325"/>
      <c r="Z143" s="325"/>
      <c r="AA143" s="325"/>
      <c r="AB143" s="325"/>
      <c r="AC143" s="325"/>
      <c r="AD143" s="325"/>
      <c r="AE143" s="325"/>
      <c r="AF143" s="325"/>
      <c r="AG143" s="325"/>
      <c r="AH143" s="325"/>
      <c r="AI143" s="325"/>
      <c r="AJ143" s="325"/>
      <c r="AK143" s="325"/>
      <c r="AL143" s="325"/>
      <c r="AM143" s="325">
        <f t="shared" si="166"/>
        <v>540.198</v>
      </c>
      <c r="AN143" s="325">
        <f t="shared" si="169"/>
        <v>0</v>
      </c>
      <c r="AO143" s="325">
        <f t="shared" si="170"/>
        <v>0</v>
      </c>
      <c r="AP143" s="325">
        <f t="shared" si="171"/>
        <v>0</v>
      </c>
      <c r="AQ143" s="325">
        <f t="shared" si="172"/>
        <v>0</v>
      </c>
      <c r="AR143" s="325">
        <f t="shared" si="173"/>
        <v>0</v>
      </c>
      <c r="AS143" s="325">
        <f t="shared" si="174"/>
        <v>0</v>
      </c>
      <c r="AT143" s="325">
        <f t="shared" si="175"/>
        <v>0</v>
      </c>
      <c r="AU143" s="325">
        <f t="shared" si="176"/>
        <v>0</v>
      </c>
      <c r="AV143" s="325">
        <f t="shared" si="177"/>
        <v>0</v>
      </c>
      <c r="AW143" s="325">
        <f t="shared" si="178"/>
        <v>0</v>
      </c>
      <c r="AX143" s="325">
        <f t="shared" si="179"/>
        <v>0</v>
      </c>
      <c r="AY143" s="325">
        <f t="shared" si="180"/>
        <v>0</v>
      </c>
      <c r="AZ143" s="325">
        <f t="shared" si="181"/>
        <v>0</v>
      </c>
      <c r="BA143" s="325">
        <f t="shared" si="182"/>
        <v>69.51</v>
      </c>
      <c r="BB143" s="325">
        <f t="shared" si="183"/>
        <v>470.688</v>
      </c>
      <c r="BC143" s="325">
        <f t="shared" si="184"/>
        <v>0</v>
      </c>
      <c r="BD143" s="342"/>
      <c r="BE143" s="97"/>
    </row>
    <row r="144" ht="26" customHeight="1" spans="1:57">
      <c r="A144" s="304" t="s">
        <v>640</v>
      </c>
      <c r="B144" s="304" t="s">
        <v>196</v>
      </c>
      <c r="C144" s="304" t="s">
        <v>226</v>
      </c>
      <c r="D144" s="347" t="s">
        <v>932</v>
      </c>
      <c r="E144" s="325">
        <f t="shared" si="185"/>
        <v>382.0086</v>
      </c>
      <c r="F144" s="325"/>
      <c r="G144" s="325"/>
      <c r="H144" s="325"/>
      <c r="I144" s="325"/>
      <c r="J144" s="325"/>
      <c r="K144" s="325"/>
      <c r="L144" s="325"/>
      <c r="M144" s="325"/>
      <c r="N144" s="325"/>
      <c r="O144" s="325"/>
      <c r="P144" s="325"/>
      <c r="Q144" s="325"/>
      <c r="R144" s="325"/>
      <c r="S144" s="325">
        <v>106.48</v>
      </c>
      <c r="T144" s="325">
        <v>275.5286</v>
      </c>
      <c r="U144" s="325"/>
      <c r="V144" s="325">
        <f t="shared" si="165"/>
        <v>-0.88</v>
      </c>
      <c r="W144" s="325"/>
      <c r="X144" s="325"/>
      <c r="Y144" s="325"/>
      <c r="Z144" s="325"/>
      <c r="AA144" s="325"/>
      <c r="AB144" s="325"/>
      <c r="AC144" s="325"/>
      <c r="AD144" s="325"/>
      <c r="AE144" s="325"/>
      <c r="AF144" s="325"/>
      <c r="AG144" s="325"/>
      <c r="AH144" s="325"/>
      <c r="AI144" s="325"/>
      <c r="AJ144" s="325">
        <v>-4.72</v>
      </c>
      <c r="AK144" s="325">
        <v>3.84</v>
      </c>
      <c r="AL144" s="325"/>
      <c r="AM144" s="325">
        <f t="shared" si="166"/>
        <v>381.1286</v>
      </c>
      <c r="AN144" s="325">
        <f t="shared" si="169"/>
        <v>0</v>
      </c>
      <c r="AO144" s="325">
        <f t="shared" si="170"/>
        <v>0</v>
      </c>
      <c r="AP144" s="325">
        <f t="shared" si="171"/>
        <v>0</v>
      </c>
      <c r="AQ144" s="325">
        <f t="shared" si="172"/>
        <v>0</v>
      </c>
      <c r="AR144" s="325">
        <f t="shared" si="173"/>
        <v>0</v>
      </c>
      <c r="AS144" s="325">
        <f t="shared" si="174"/>
        <v>0</v>
      </c>
      <c r="AT144" s="325">
        <f t="shared" si="175"/>
        <v>0</v>
      </c>
      <c r="AU144" s="325">
        <f t="shared" si="176"/>
        <v>0</v>
      </c>
      <c r="AV144" s="325">
        <f t="shared" si="177"/>
        <v>0</v>
      </c>
      <c r="AW144" s="325">
        <f t="shared" si="178"/>
        <v>0</v>
      </c>
      <c r="AX144" s="325">
        <f t="shared" si="179"/>
        <v>0</v>
      </c>
      <c r="AY144" s="325">
        <f t="shared" si="180"/>
        <v>0</v>
      </c>
      <c r="AZ144" s="325">
        <f t="shared" si="181"/>
        <v>0</v>
      </c>
      <c r="BA144" s="325">
        <f t="shared" si="182"/>
        <v>101.76</v>
      </c>
      <c r="BB144" s="325">
        <f t="shared" si="183"/>
        <v>279.3686</v>
      </c>
      <c r="BC144" s="325">
        <f t="shared" si="184"/>
        <v>0</v>
      </c>
      <c r="BD144" s="342"/>
      <c r="BE144" s="97"/>
    </row>
    <row r="145" ht="26" customHeight="1" spans="1:57">
      <c r="A145" s="304" t="s">
        <v>640</v>
      </c>
      <c r="B145" s="304" t="s">
        <v>196</v>
      </c>
      <c r="C145" s="304" t="s">
        <v>230</v>
      </c>
      <c r="D145" s="347" t="s">
        <v>932</v>
      </c>
      <c r="E145" s="325">
        <f t="shared" si="185"/>
        <v>111.73</v>
      </c>
      <c r="F145" s="325"/>
      <c r="G145" s="325"/>
      <c r="H145" s="325"/>
      <c r="I145" s="325"/>
      <c r="J145" s="325"/>
      <c r="K145" s="325"/>
      <c r="L145" s="325"/>
      <c r="M145" s="325"/>
      <c r="N145" s="325"/>
      <c r="O145" s="325"/>
      <c r="P145" s="325"/>
      <c r="Q145" s="325"/>
      <c r="R145" s="325"/>
      <c r="S145" s="325">
        <v>42.91</v>
      </c>
      <c r="T145" s="325">
        <v>68.82</v>
      </c>
      <c r="U145" s="325"/>
      <c r="V145" s="325">
        <f t="shared" si="165"/>
        <v>1.92</v>
      </c>
      <c r="W145" s="325"/>
      <c r="X145" s="325"/>
      <c r="Y145" s="325"/>
      <c r="Z145" s="325"/>
      <c r="AA145" s="325"/>
      <c r="AB145" s="325"/>
      <c r="AC145" s="325"/>
      <c r="AD145" s="325"/>
      <c r="AE145" s="325"/>
      <c r="AF145" s="325"/>
      <c r="AG145" s="325"/>
      <c r="AH145" s="325"/>
      <c r="AI145" s="325"/>
      <c r="AJ145" s="325"/>
      <c r="AK145" s="325">
        <v>1.92</v>
      </c>
      <c r="AL145" s="325"/>
      <c r="AM145" s="325">
        <f t="shared" si="166"/>
        <v>113.65</v>
      </c>
      <c r="AN145" s="325">
        <f t="shared" si="169"/>
        <v>0</v>
      </c>
      <c r="AO145" s="325">
        <f t="shared" si="170"/>
        <v>0</v>
      </c>
      <c r="AP145" s="325">
        <f t="shared" si="171"/>
        <v>0</v>
      </c>
      <c r="AQ145" s="325">
        <f t="shared" si="172"/>
        <v>0</v>
      </c>
      <c r="AR145" s="325">
        <f t="shared" si="173"/>
        <v>0</v>
      </c>
      <c r="AS145" s="325">
        <f t="shared" si="174"/>
        <v>0</v>
      </c>
      <c r="AT145" s="325">
        <f t="shared" si="175"/>
        <v>0</v>
      </c>
      <c r="AU145" s="325">
        <f t="shared" si="176"/>
        <v>0</v>
      </c>
      <c r="AV145" s="325">
        <f t="shared" si="177"/>
        <v>0</v>
      </c>
      <c r="AW145" s="325">
        <f t="shared" si="178"/>
        <v>0</v>
      </c>
      <c r="AX145" s="325">
        <f t="shared" si="179"/>
        <v>0</v>
      </c>
      <c r="AY145" s="325">
        <f t="shared" si="180"/>
        <v>0</v>
      </c>
      <c r="AZ145" s="325">
        <f t="shared" si="181"/>
        <v>0</v>
      </c>
      <c r="BA145" s="325">
        <f t="shared" si="182"/>
        <v>42.91</v>
      </c>
      <c r="BB145" s="325">
        <f t="shared" si="183"/>
        <v>70.74</v>
      </c>
      <c r="BC145" s="325">
        <f t="shared" si="184"/>
        <v>0</v>
      </c>
      <c r="BD145" s="342"/>
      <c r="BE145" s="97"/>
    </row>
    <row r="146" ht="26" customHeight="1" spans="1:57">
      <c r="A146" s="304" t="s">
        <v>640</v>
      </c>
      <c r="B146" s="304" t="s">
        <v>196</v>
      </c>
      <c r="C146" s="304" t="s">
        <v>234</v>
      </c>
      <c r="D146" s="347" t="s">
        <v>932</v>
      </c>
      <c r="E146" s="325">
        <f t="shared" si="185"/>
        <v>283.26</v>
      </c>
      <c r="F146" s="325"/>
      <c r="G146" s="325"/>
      <c r="H146" s="325"/>
      <c r="I146" s="325"/>
      <c r="J146" s="325"/>
      <c r="K146" s="325"/>
      <c r="L146" s="325"/>
      <c r="M146" s="325"/>
      <c r="N146" s="325"/>
      <c r="O146" s="325"/>
      <c r="P146" s="325"/>
      <c r="Q146" s="325"/>
      <c r="R146" s="325"/>
      <c r="S146" s="325">
        <v>93.66</v>
      </c>
      <c r="T146" s="325">
        <v>189.6</v>
      </c>
      <c r="U146" s="325"/>
      <c r="V146" s="325">
        <f t="shared" si="165"/>
        <v>5.33</v>
      </c>
      <c r="W146" s="325"/>
      <c r="X146" s="325"/>
      <c r="Y146" s="325"/>
      <c r="Z146" s="325"/>
      <c r="AA146" s="325"/>
      <c r="AB146" s="325"/>
      <c r="AC146" s="325"/>
      <c r="AD146" s="325"/>
      <c r="AE146" s="325"/>
      <c r="AF146" s="325"/>
      <c r="AG146" s="325"/>
      <c r="AH146" s="325"/>
      <c r="AI146" s="325"/>
      <c r="AJ146" s="325">
        <v>1.49</v>
      </c>
      <c r="AK146" s="325">
        <v>3.84</v>
      </c>
      <c r="AL146" s="325"/>
      <c r="AM146" s="325">
        <f t="shared" si="166"/>
        <v>288.59</v>
      </c>
      <c r="AN146" s="325">
        <f t="shared" si="169"/>
        <v>0</v>
      </c>
      <c r="AO146" s="325">
        <f t="shared" si="170"/>
        <v>0</v>
      </c>
      <c r="AP146" s="325">
        <f t="shared" si="171"/>
        <v>0</v>
      </c>
      <c r="AQ146" s="325">
        <f t="shared" si="172"/>
        <v>0</v>
      </c>
      <c r="AR146" s="325">
        <f t="shared" si="173"/>
        <v>0</v>
      </c>
      <c r="AS146" s="325">
        <f t="shared" si="174"/>
        <v>0</v>
      </c>
      <c r="AT146" s="325">
        <f t="shared" si="175"/>
        <v>0</v>
      </c>
      <c r="AU146" s="325">
        <f t="shared" si="176"/>
        <v>0</v>
      </c>
      <c r="AV146" s="325">
        <f t="shared" si="177"/>
        <v>0</v>
      </c>
      <c r="AW146" s="325">
        <f t="shared" si="178"/>
        <v>0</v>
      </c>
      <c r="AX146" s="325">
        <f t="shared" si="179"/>
        <v>0</v>
      </c>
      <c r="AY146" s="325">
        <f t="shared" si="180"/>
        <v>0</v>
      </c>
      <c r="AZ146" s="325">
        <f t="shared" si="181"/>
        <v>0</v>
      </c>
      <c r="BA146" s="325">
        <f t="shared" si="182"/>
        <v>95.15</v>
      </c>
      <c r="BB146" s="325">
        <f t="shared" si="183"/>
        <v>193.44</v>
      </c>
      <c r="BC146" s="325">
        <f t="shared" si="184"/>
        <v>0</v>
      </c>
      <c r="BD146" s="342"/>
      <c r="BE146" s="97"/>
    </row>
    <row r="147" ht="26" customHeight="1" spans="1:57">
      <c r="A147" s="304" t="s">
        <v>640</v>
      </c>
      <c r="B147" s="304" t="s">
        <v>196</v>
      </c>
      <c r="C147" s="304" t="s">
        <v>238</v>
      </c>
      <c r="D147" s="347" t="s">
        <v>932</v>
      </c>
      <c r="E147" s="325">
        <f t="shared" si="185"/>
        <v>186.01</v>
      </c>
      <c r="F147" s="325"/>
      <c r="G147" s="325"/>
      <c r="H147" s="325"/>
      <c r="I147" s="325"/>
      <c r="J147" s="325"/>
      <c r="K147" s="325"/>
      <c r="L147" s="325"/>
      <c r="M147" s="325"/>
      <c r="N147" s="325"/>
      <c r="O147" s="325"/>
      <c r="P147" s="325"/>
      <c r="Q147" s="325"/>
      <c r="R147" s="325"/>
      <c r="S147" s="325">
        <v>69.64</v>
      </c>
      <c r="T147" s="325">
        <v>116.37</v>
      </c>
      <c r="U147" s="325"/>
      <c r="V147" s="325">
        <f t="shared" si="165"/>
        <v>4.7</v>
      </c>
      <c r="W147" s="325"/>
      <c r="X147" s="325"/>
      <c r="Y147" s="325"/>
      <c r="Z147" s="325"/>
      <c r="AA147" s="325"/>
      <c r="AB147" s="325"/>
      <c r="AC147" s="325"/>
      <c r="AD147" s="325"/>
      <c r="AE147" s="325"/>
      <c r="AF147" s="325"/>
      <c r="AG147" s="325"/>
      <c r="AH147" s="325"/>
      <c r="AI147" s="325"/>
      <c r="AJ147" s="325">
        <v>0.86</v>
      </c>
      <c r="AK147" s="325">
        <v>3.84</v>
      </c>
      <c r="AL147" s="325"/>
      <c r="AM147" s="325">
        <f t="shared" si="166"/>
        <v>190.71</v>
      </c>
      <c r="AN147" s="325">
        <f t="shared" si="169"/>
        <v>0</v>
      </c>
      <c r="AO147" s="325">
        <f t="shared" si="170"/>
        <v>0</v>
      </c>
      <c r="AP147" s="325">
        <f t="shared" si="171"/>
        <v>0</v>
      </c>
      <c r="AQ147" s="325">
        <f t="shared" si="172"/>
        <v>0</v>
      </c>
      <c r="AR147" s="325">
        <f t="shared" si="173"/>
        <v>0</v>
      </c>
      <c r="AS147" s="325">
        <f t="shared" si="174"/>
        <v>0</v>
      </c>
      <c r="AT147" s="325">
        <f t="shared" si="175"/>
        <v>0</v>
      </c>
      <c r="AU147" s="325">
        <f t="shared" si="176"/>
        <v>0</v>
      </c>
      <c r="AV147" s="325">
        <f t="shared" si="177"/>
        <v>0</v>
      </c>
      <c r="AW147" s="325">
        <f t="shared" si="178"/>
        <v>0</v>
      </c>
      <c r="AX147" s="325">
        <f t="shared" si="179"/>
        <v>0</v>
      </c>
      <c r="AY147" s="325">
        <f t="shared" si="180"/>
        <v>0</v>
      </c>
      <c r="AZ147" s="325">
        <f t="shared" si="181"/>
        <v>0</v>
      </c>
      <c r="BA147" s="325">
        <f t="shared" si="182"/>
        <v>70.5</v>
      </c>
      <c r="BB147" s="325">
        <f t="shared" si="183"/>
        <v>120.21</v>
      </c>
      <c r="BC147" s="325">
        <f t="shared" si="184"/>
        <v>0</v>
      </c>
      <c r="BD147" s="342"/>
      <c r="BE147" s="97"/>
    </row>
    <row r="148" ht="26" customHeight="1" spans="1:57">
      <c r="A148" s="304" t="s">
        <v>640</v>
      </c>
      <c r="B148" s="304" t="s">
        <v>196</v>
      </c>
      <c r="C148" s="304" t="s">
        <v>242</v>
      </c>
      <c r="D148" s="347" t="s">
        <v>932</v>
      </c>
      <c r="E148" s="325">
        <f t="shared" si="185"/>
        <v>90.83</v>
      </c>
      <c r="F148" s="325"/>
      <c r="G148" s="325"/>
      <c r="H148" s="325"/>
      <c r="I148" s="325"/>
      <c r="J148" s="325"/>
      <c r="K148" s="325"/>
      <c r="L148" s="325"/>
      <c r="M148" s="325"/>
      <c r="N148" s="325"/>
      <c r="O148" s="325"/>
      <c r="P148" s="325"/>
      <c r="Q148" s="325"/>
      <c r="R148" s="325"/>
      <c r="S148" s="325">
        <v>30.83</v>
      </c>
      <c r="T148" s="325">
        <v>60</v>
      </c>
      <c r="U148" s="325"/>
      <c r="V148" s="325">
        <f t="shared" si="165"/>
        <v>1.366</v>
      </c>
      <c r="W148" s="325"/>
      <c r="X148" s="325"/>
      <c r="Y148" s="325"/>
      <c r="Z148" s="325"/>
      <c r="AA148" s="325"/>
      <c r="AB148" s="325"/>
      <c r="AC148" s="325"/>
      <c r="AD148" s="325"/>
      <c r="AE148" s="325"/>
      <c r="AF148" s="325"/>
      <c r="AG148" s="325"/>
      <c r="AH148" s="325"/>
      <c r="AI148" s="325"/>
      <c r="AJ148" s="325">
        <v>0.406</v>
      </c>
      <c r="AK148" s="325">
        <v>0.96</v>
      </c>
      <c r="AL148" s="325"/>
      <c r="AM148" s="325">
        <f t="shared" si="166"/>
        <v>92.196</v>
      </c>
      <c r="AN148" s="325">
        <f t="shared" si="169"/>
        <v>0</v>
      </c>
      <c r="AO148" s="325">
        <f t="shared" si="170"/>
        <v>0</v>
      </c>
      <c r="AP148" s="325">
        <f t="shared" si="171"/>
        <v>0</v>
      </c>
      <c r="AQ148" s="325">
        <f t="shared" si="172"/>
        <v>0</v>
      </c>
      <c r="AR148" s="325">
        <f t="shared" si="173"/>
        <v>0</v>
      </c>
      <c r="AS148" s="325">
        <f t="shared" si="174"/>
        <v>0</v>
      </c>
      <c r="AT148" s="325">
        <f t="shared" si="175"/>
        <v>0</v>
      </c>
      <c r="AU148" s="325">
        <f t="shared" si="176"/>
        <v>0</v>
      </c>
      <c r="AV148" s="325">
        <f t="shared" si="177"/>
        <v>0</v>
      </c>
      <c r="AW148" s="325">
        <f t="shared" si="178"/>
        <v>0</v>
      </c>
      <c r="AX148" s="325">
        <f t="shared" si="179"/>
        <v>0</v>
      </c>
      <c r="AY148" s="325">
        <f t="shared" si="180"/>
        <v>0</v>
      </c>
      <c r="AZ148" s="325">
        <f t="shared" si="181"/>
        <v>0</v>
      </c>
      <c r="BA148" s="325">
        <f t="shared" si="182"/>
        <v>31.236</v>
      </c>
      <c r="BB148" s="325">
        <f t="shared" si="183"/>
        <v>60.96</v>
      </c>
      <c r="BC148" s="325">
        <f t="shared" si="184"/>
        <v>0</v>
      </c>
      <c r="BD148" s="342"/>
      <c r="BE148" s="97"/>
    </row>
    <row r="149" ht="26" customHeight="1" spans="1:57">
      <c r="A149" s="304" t="s">
        <v>640</v>
      </c>
      <c r="B149" s="304" t="s">
        <v>196</v>
      </c>
      <c r="C149" s="304" t="s">
        <v>246</v>
      </c>
      <c r="D149" s="347" t="s">
        <v>932</v>
      </c>
      <c r="E149" s="325">
        <f t="shared" si="185"/>
        <v>129.6</v>
      </c>
      <c r="F149" s="325"/>
      <c r="G149" s="325"/>
      <c r="H149" s="325"/>
      <c r="I149" s="325"/>
      <c r="J149" s="325"/>
      <c r="K149" s="325"/>
      <c r="L149" s="325"/>
      <c r="M149" s="325"/>
      <c r="N149" s="325"/>
      <c r="O149" s="325"/>
      <c r="P149" s="325"/>
      <c r="Q149" s="325"/>
      <c r="R149" s="325"/>
      <c r="S149" s="325">
        <v>42.54</v>
      </c>
      <c r="T149" s="325">
        <v>87.06</v>
      </c>
      <c r="U149" s="325"/>
      <c r="V149" s="325">
        <f t="shared" si="165"/>
        <v>2.024</v>
      </c>
      <c r="W149" s="325"/>
      <c r="X149" s="325"/>
      <c r="Y149" s="325"/>
      <c r="Z149" s="325"/>
      <c r="AA149" s="325"/>
      <c r="AB149" s="325"/>
      <c r="AC149" s="325"/>
      <c r="AD149" s="325"/>
      <c r="AE149" s="325"/>
      <c r="AF149" s="325"/>
      <c r="AG149" s="325"/>
      <c r="AH149" s="325"/>
      <c r="AI149" s="325"/>
      <c r="AJ149" s="325">
        <v>0.104</v>
      </c>
      <c r="AK149" s="325">
        <v>1.92</v>
      </c>
      <c r="AL149" s="325"/>
      <c r="AM149" s="325">
        <f t="shared" si="166"/>
        <v>131.624</v>
      </c>
      <c r="AN149" s="325">
        <f t="shared" si="169"/>
        <v>0</v>
      </c>
      <c r="AO149" s="325">
        <f t="shared" si="170"/>
        <v>0</v>
      </c>
      <c r="AP149" s="325">
        <f t="shared" si="171"/>
        <v>0</v>
      </c>
      <c r="AQ149" s="325">
        <f t="shared" si="172"/>
        <v>0</v>
      </c>
      <c r="AR149" s="325">
        <f t="shared" si="173"/>
        <v>0</v>
      </c>
      <c r="AS149" s="325">
        <f t="shared" si="174"/>
        <v>0</v>
      </c>
      <c r="AT149" s="325">
        <f t="shared" si="175"/>
        <v>0</v>
      </c>
      <c r="AU149" s="325">
        <f t="shared" si="176"/>
        <v>0</v>
      </c>
      <c r="AV149" s="325">
        <f t="shared" si="177"/>
        <v>0</v>
      </c>
      <c r="AW149" s="325">
        <f t="shared" si="178"/>
        <v>0</v>
      </c>
      <c r="AX149" s="325">
        <f t="shared" si="179"/>
        <v>0</v>
      </c>
      <c r="AY149" s="325">
        <f t="shared" si="180"/>
        <v>0</v>
      </c>
      <c r="AZ149" s="325">
        <f t="shared" si="181"/>
        <v>0</v>
      </c>
      <c r="BA149" s="325">
        <f t="shared" si="182"/>
        <v>42.644</v>
      </c>
      <c r="BB149" s="325">
        <f t="shared" si="183"/>
        <v>88.98</v>
      </c>
      <c r="BC149" s="325">
        <f t="shared" si="184"/>
        <v>0</v>
      </c>
      <c r="BD149" s="342"/>
      <c r="BE149" s="97"/>
    </row>
    <row r="150" ht="26" customHeight="1" spans="1:57">
      <c r="A150" s="304" t="s">
        <v>640</v>
      </c>
      <c r="B150" s="304" t="s">
        <v>196</v>
      </c>
      <c r="C150" s="304" t="s">
        <v>250</v>
      </c>
      <c r="D150" s="347" t="s">
        <v>932</v>
      </c>
      <c r="E150" s="325">
        <f t="shared" si="185"/>
        <v>112.43</v>
      </c>
      <c r="F150" s="325"/>
      <c r="G150" s="325"/>
      <c r="H150" s="325"/>
      <c r="I150" s="325"/>
      <c r="J150" s="325"/>
      <c r="K150" s="325"/>
      <c r="L150" s="325"/>
      <c r="M150" s="325"/>
      <c r="N150" s="325"/>
      <c r="O150" s="325"/>
      <c r="P150" s="325"/>
      <c r="Q150" s="325"/>
      <c r="R150" s="325"/>
      <c r="S150" s="325">
        <v>42.92</v>
      </c>
      <c r="T150" s="325">
        <v>69.51</v>
      </c>
      <c r="U150" s="325"/>
      <c r="V150" s="325">
        <f t="shared" si="165"/>
        <v>1.614</v>
      </c>
      <c r="W150" s="325"/>
      <c r="X150" s="325"/>
      <c r="Y150" s="325"/>
      <c r="Z150" s="325"/>
      <c r="AA150" s="325"/>
      <c r="AB150" s="325"/>
      <c r="AC150" s="325"/>
      <c r="AD150" s="325"/>
      <c r="AE150" s="325"/>
      <c r="AF150" s="325"/>
      <c r="AG150" s="325"/>
      <c r="AH150" s="325"/>
      <c r="AI150" s="325"/>
      <c r="AJ150" s="325">
        <v>0.654</v>
      </c>
      <c r="AK150" s="325">
        <v>0.96</v>
      </c>
      <c r="AL150" s="325"/>
      <c r="AM150" s="325">
        <f t="shared" si="166"/>
        <v>114.044</v>
      </c>
      <c r="AN150" s="325">
        <f t="shared" si="169"/>
        <v>0</v>
      </c>
      <c r="AO150" s="325">
        <f t="shared" si="170"/>
        <v>0</v>
      </c>
      <c r="AP150" s="325">
        <f t="shared" si="171"/>
        <v>0</v>
      </c>
      <c r="AQ150" s="325">
        <f t="shared" si="172"/>
        <v>0</v>
      </c>
      <c r="AR150" s="325">
        <f t="shared" si="173"/>
        <v>0</v>
      </c>
      <c r="AS150" s="325">
        <f t="shared" si="174"/>
        <v>0</v>
      </c>
      <c r="AT150" s="325">
        <f t="shared" si="175"/>
        <v>0</v>
      </c>
      <c r="AU150" s="325">
        <f t="shared" si="176"/>
        <v>0</v>
      </c>
      <c r="AV150" s="325">
        <f t="shared" si="177"/>
        <v>0</v>
      </c>
      <c r="AW150" s="325">
        <f t="shared" si="178"/>
        <v>0</v>
      </c>
      <c r="AX150" s="325">
        <f t="shared" si="179"/>
        <v>0</v>
      </c>
      <c r="AY150" s="325">
        <f t="shared" si="180"/>
        <v>0</v>
      </c>
      <c r="AZ150" s="325">
        <f t="shared" si="181"/>
        <v>0</v>
      </c>
      <c r="BA150" s="325">
        <f t="shared" si="182"/>
        <v>43.574</v>
      </c>
      <c r="BB150" s="325">
        <f t="shared" si="183"/>
        <v>70.47</v>
      </c>
      <c r="BC150" s="325">
        <f t="shared" si="184"/>
        <v>0</v>
      </c>
      <c r="BD150" s="342"/>
      <c r="BE150" s="97"/>
    </row>
    <row r="151" ht="26" customHeight="1" spans="1:57">
      <c r="A151" s="304" t="s">
        <v>640</v>
      </c>
      <c r="B151" s="304" t="s">
        <v>196</v>
      </c>
      <c r="C151" s="304" t="s">
        <v>254</v>
      </c>
      <c r="D151" s="347" t="s">
        <v>932</v>
      </c>
      <c r="E151" s="325">
        <f t="shared" si="185"/>
        <v>358.2</v>
      </c>
      <c r="F151" s="325"/>
      <c r="G151" s="325"/>
      <c r="H151" s="325"/>
      <c r="I151" s="325"/>
      <c r="J151" s="325"/>
      <c r="K151" s="325"/>
      <c r="L151" s="325"/>
      <c r="M151" s="325"/>
      <c r="N151" s="325"/>
      <c r="O151" s="325"/>
      <c r="P151" s="325"/>
      <c r="Q151" s="325"/>
      <c r="R151" s="325"/>
      <c r="S151" s="325">
        <v>161.65</v>
      </c>
      <c r="T151" s="325">
        <v>196.55</v>
      </c>
      <c r="U151" s="325"/>
      <c r="V151" s="325">
        <f t="shared" si="165"/>
        <v>-39.62</v>
      </c>
      <c r="W151" s="325"/>
      <c r="X151" s="325"/>
      <c r="Y151" s="325"/>
      <c r="Z151" s="325"/>
      <c r="AA151" s="325"/>
      <c r="AB151" s="325"/>
      <c r="AC151" s="325"/>
      <c r="AD151" s="325"/>
      <c r="AE151" s="325"/>
      <c r="AF151" s="325"/>
      <c r="AG151" s="325"/>
      <c r="AH151" s="325"/>
      <c r="AI151" s="325"/>
      <c r="AJ151" s="325">
        <v>-41.54</v>
      </c>
      <c r="AK151" s="325">
        <v>1.92</v>
      </c>
      <c r="AL151" s="325"/>
      <c r="AM151" s="325">
        <f t="shared" si="166"/>
        <v>318.58</v>
      </c>
      <c r="AN151" s="325">
        <f t="shared" si="169"/>
        <v>0</v>
      </c>
      <c r="AO151" s="325">
        <f t="shared" si="170"/>
        <v>0</v>
      </c>
      <c r="AP151" s="325">
        <f t="shared" si="171"/>
        <v>0</v>
      </c>
      <c r="AQ151" s="325">
        <f t="shared" si="172"/>
        <v>0</v>
      </c>
      <c r="AR151" s="325">
        <f t="shared" si="173"/>
        <v>0</v>
      </c>
      <c r="AS151" s="325">
        <f t="shared" si="174"/>
        <v>0</v>
      </c>
      <c r="AT151" s="325">
        <f t="shared" si="175"/>
        <v>0</v>
      </c>
      <c r="AU151" s="325">
        <f t="shared" si="176"/>
        <v>0</v>
      </c>
      <c r="AV151" s="325">
        <f t="shared" si="177"/>
        <v>0</v>
      </c>
      <c r="AW151" s="325">
        <f t="shared" si="178"/>
        <v>0</v>
      </c>
      <c r="AX151" s="325">
        <f t="shared" si="179"/>
        <v>0</v>
      </c>
      <c r="AY151" s="325">
        <f t="shared" si="180"/>
        <v>0</v>
      </c>
      <c r="AZ151" s="325">
        <f t="shared" si="181"/>
        <v>0</v>
      </c>
      <c r="BA151" s="325">
        <f t="shared" si="182"/>
        <v>120.11</v>
      </c>
      <c r="BB151" s="325">
        <f t="shared" si="183"/>
        <v>198.47</v>
      </c>
      <c r="BC151" s="325">
        <f t="shared" si="184"/>
        <v>0</v>
      </c>
      <c r="BD151" s="342"/>
      <c r="BE151" s="97"/>
    </row>
    <row r="152" ht="26" customHeight="1" spans="1:57">
      <c r="A152" s="304" t="s">
        <v>640</v>
      </c>
      <c r="B152" s="304" t="s">
        <v>196</v>
      </c>
      <c r="C152" s="304" t="s">
        <v>258</v>
      </c>
      <c r="D152" s="347" t="s">
        <v>932</v>
      </c>
      <c r="E152" s="325">
        <f t="shared" si="185"/>
        <v>179.27</v>
      </c>
      <c r="F152" s="325"/>
      <c r="G152" s="325"/>
      <c r="H152" s="325"/>
      <c r="I152" s="325"/>
      <c r="J152" s="325"/>
      <c r="K152" s="325"/>
      <c r="L152" s="325"/>
      <c r="M152" s="325"/>
      <c r="N152" s="325"/>
      <c r="O152" s="325"/>
      <c r="P152" s="325"/>
      <c r="Q152" s="325"/>
      <c r="R152" s="325"/>
      <c r="S152" s="325">
        <v>64.37</v>
      </c>
      <c r="T152" s="325">
        <v>114.9</v>
      </c>
      <c r="U152" s="325"/>
      <c r="V152" s="325">
        <f t="shared" si="165"/>
        <v>0.67</v>
      </c>
      <c r="W152" s="325"/>
      <c r="X152" s="325"/>
      <c r="Y152" s="325"/>
      <c r="Z152" s="325"/>
      <c r="AA152" s="325"/>
      <c r="AB152" s="325"/>
      <c r="AC152" s="325"/>
      <c r="AD152" s="325"/>
      <c r="AE152" s="325"/>
      <c r="AF152" s="325"/>
      <c r="AG152" s="325"/>
      <c r="AH152" s="325"/>
      <c r="AI152" s="325"/>
      <c r="AJ152" s="325">
        <v>0.67</v>
      </c>
      <c r="AK152" s="325">
        <v>0</v>
      </c>
      <c r="AL152" s="325"/>
      <c r="AM152" s="325">
        <f t="shared" si="166"/>
        <v>179.94</v>
      </c>
      <c r="AN152" s="325">
        <f t="shared" si="169"/>
        <v>0</v>
      </c>
      <c r="AO152" s="325">
        <f t="shared" si="170"/>
        <v>0</v>
      </c>
      <c r="AP152" s="325">
        <f t="shared" si="171"/>
        <v>0</v>
      </c>
      <c r="AQ152" s="325">
        <f t="shared" si="172"/>
        <v>0</v>
      </c>
      <c r="AR152" s="325">
        <f t="shared" si="173"/>
        <v>0</v>
      </c>
      <c r="AS152" s="325">
        <f t="shared" si="174"/>
        <v>0</v>
      </c>
      <c r="AT152" s="325">
        <f t="shared" si="175"/>
        <v>0</v>
      </c>
      <c r="AU152" s="325">
        <f t="shared" si="176"/>
        <v>0</v>
      </c>
      <c r="AV152" s="325">
        <f t="shared" si="177"/>
        <v>0</v>
      </c>
      <c r="AW152" s="325">
        <f t="shared" si="178"/>
        <v>0</v>
      </c>
      <c r="AX152" s="325">
        <f t="shared" si="179"/>
        <v>0</v>
      </c>
      <c r="AY152" s="325">
        <f t="shared" si="180"/>
        <v>0</v>
      </c>
      <c r="AZ152" s="325">
        <f t="shared" si="181"/>
        <v>0</v>
      </c>
      <c r="BA152" s="325">
        <f t="shared" si="182"/>
        <v>65.04</v>
      </c>
      <c r="BB152" s="325">
        <f t="shared" si="183"/>
        <v>114.9</v>
      </c>
      <c r="BC152" s="325">
        <f t="shared" si="184"/>
        <v>0</v>
      </c>
      <c r="BD152" s="342"/>
      <c r="BE152" s="97"/>
    </row>
    <row r="153" ht="26" customHeight="1" spans="1:57">
      <c r="A153" s="304" t="s">
        <v>640</v>
      </c>
      <c r="B153" s="304" t="s">
        <v>196</v>
      </c>
      <c r="C153" s="304" t="s">
        <v>262</v>
      </c>
      <c r="D153" s="347" t="s">
        <v>932</v>
      </c>
      <c r="E153" s="325">
        <f t="shared" si="185"/>
        <v>343.617</v>
      </c>
      <c r="F153" s="325"/>
      <c r="G153" s="325"/>
      <c r="H153" s="325"/>
      <c r="I153" s="325"/>
      <c r="J153" s="325"/>
      <c r="K153" s="325"/>
      <c r="L153" s="325"/>
      <c r="M153" s="325"/>
      <c r="N153" s="325"/>
      <c r="O153" s="325"/>
      <c r="P153" s="325"/>
      <c r="Q153" s="325"/>
      <c r="R153" s="325"/>
      <c r="S153" s="325">
        <v>132.057</v>
      </c>
      <c r="T153" s="325">
        <v>211.56</v>
      </c>
      <c r="U153" s="325"/>
      <c r="V153" s="325">
        <f t="shared" si="165"/>
        <v>7.9</v>
      </c>
      <c r="W153" s="325"/>
      <c r="X153" s="325"/>
      <c r="Y153" s="325"/>
      <c r="Z153" s="325"/>
      <c r="AA153" s="325"/>
      <c r="AB153" s="325"/>
      <c r="AC153" s="325"/>
      <c r="AD153" s="325"/>
      <c r="AE153" s="325"/>
      <c r="AF153" s="325"/>
      <c r="AG153" s="325"/>
      <c r="AH153" s="325"/>
      <c r="AI153" s="325"/>
      <c r="AJ153" s="325">
        <v>1.38</v>
      </c>
      <c r="AK153" s="325">
        <v>6.52</v>
      </c>
      <c r="AL153" s="325"/>
      <c r="AM153" s="325">
        <f t="shared" si="166"/>
        <v>351.517</v>
      </c>
      <c r="AN153" s="325">
        <f t="shared" si="169"/>
        <v>0</v>
      </c>
      <c r="AO153" s="325">
        <f t="shared" si="170"/>
        <v>0</v>
      </c>
      <c r="AP153" s="325">
        <f t="shared" si="171"/>
        <v>0</v>
      </c>
      <c r="AQ153" s="325">
        <f t="shared" si="172"/>
        <v>0</v>
      </c>
      <c r="AR153" s="325">
        <f t="shared" si="173"/>
        <v>0</v>
      </c>
      <c r="AS153" s="325">
        <f t="shared" si="174"/>
        <v>0</v>
      </c>
      <c r="AT153" s="325">
        <f t="shared" si="175"/>
        <v>0</v>
      </c>
      <c r="AU153" s="325">
        <f t="shared" si="176"/>
        <v>0</v>
      </c>
      <c r="AV153" s="325">
        <f t="shared" si="177"/>
        <v>0</v>
      </c>
      <c r="AW153" s="325">
        <f t="shared" si="178"/>
        <v>0</v>
      </c>
      <c r="AX153" s="325">
        <f t="shared" si="179"/>
        <v>0</v>
      </c>
      <c r="AY153" s="325">
        <f t="shared" si="180"/>
        <v>0</v>
      </c>
      <c r="AZ153" s="325">
        <f t="shared" si="181"/>
        <v>0</v>
      </c>
      <c r="BA153" s="325">
        <f t="shared" si="182"/>
        <v>133.437</v>
      </c>
      <c r="BB153" s="325">
        <f t="shared" si="183"/>
        <v>218.08</v>
      </c>
      <c r="BC153" s="325">
        <f t="shared" si="184"/>
        <v>0</v>
      </c>
      <c r="BD153" s="342"/>
      <c r="BE153" s="97"/>
    </row>
    <row r="154" ht="26" customHeight="1" spans="1:57">
      <c r="A154" s="304" t="s">
        <v>640</v>
      </c>
      <c r="B154" s="304" t="s">
        <v>196</v>
      </c>
      <c r="C154" s="304" t="s">
        <v>266</v>
      </c>
      <c r="D154" s="347" t="s">
        <v>932</v>
      </c>
      <c r="E154" s="325">
        <f t="shared" si="185"/>
        <v>318.19</v>
      </c>
      <c r="F154" s="325"/>
      <c r="G154" s="325"/>
      <c r="H154" s="325"/>
      <c r="I154" s="325"/>
      <c r="J154" s="325"/>
      <c r="K154" s="325"/>
      <c r="L154" s="325"/>
      <c r="M154" s="325"/>
      <c r="N154" s="325"/>
      <c r="O154" s="325"/>
      <c r="P154" s="325"/>
      <c r="Q154" s="325"/>
      <c r="R154" s="325"/>
      <c r="S154" s="325">
        <v>108.88</v>
      </c>
      <c r="T154" s="325">
        <v>209.31</v>
      </c>
      <c r="U154" s="325"/>
      <c r="V154" s="325">
        <f t="shared" si="165"/>
        <v>8.08</v>
      </c>
      <c r="W154" s="325"/>
      <c r="X154" s="325"/>
      <c r="Y154" s="325"/>
      <c r="Z154" s="325"/>
      <c r="AA154" s="325"/>
      <c r="AB154" s="325"/>
      <c r="AC154" s="325"/>
      <c r="AD154" s="325"/>
      <c r="AE154" s="325"/>
      <c r="AF154" s="325"/>
      <c r="AG154" s="325"/>
      <c r="AH154" s="325"/>
      <c r="AI154" s="325"/>
      <c r="AJ154" s="325">
        <v>2.32</v>
      </c>
      <c r="AK154" s="325">
        <v>5.76</v>
      </c>
      <c r="AL154" s="325"/>
      <c r="AM154" s="325">
        <f t="shared" si="166"/>
        <v>326.27</v>
      </c>
      <c r="AN154" s="325">
        <f t="shared" si="169"/>
        <v>0</v>
      </c>
      <c r="AO154" s="325">
        <f t="shared" si="170"/>
        <v>0</v>
      </c>
      <c r="AP154" s="325">
        <f t="shared" si="171"/>
        <v>0</v>
      </c>
      <c r="AQ154" s="325">
        <f t="shared" si="172"/>
        <v>0</v>
      </c>
      <c r="AR154" s="325">
        <f t="shared" si="173"/>
        <v>0</v>
      </c>
      <c r="AS154" s="325">
        <f t="shared" si="174"/>
        <v>0</v>
      </c>
      <c r="AT154" s="325">
        <f t="shared" si="175"/>
        <v>0</v>
      </c>
      <c r="AU154" s="325">
        <f t="shared" si="176"/>
        <v>0</v>
      </c>
      <c r="AV154" s="325">
        <f t="shared" si="177"/>
        <v>0</v>
      </c>
      <c r="AW154" s="325">
        <f t="shared" si="178"/>
        <v>0</v>
      </c>
      <c r="AX154" s="325">
        <f t="shared" si="179"/>
        <v>0</v>
      </c>
      <c r="AY154" s="325">
        <f t="shared" si="180"/>
        <v>0</v>
      </c>
      <c r="AZ154" s="325">
        <f t="shared" si="181"/>
        <v>0</v>
      </c>
      <c r="BA154" s="325">
        <f t="shared" si="182"/>
        <v>111.2</v>
      </c>
      <c r="BB154" s="325">
        <f t="shared" si="183"/>
        <v>215.07</v>
      </c>
      <c r="BC154" s="325">
        <f t="shared" si="184"/>
        <v>0</v>
      </c>
      <c r="BD154" s="342"/>
      <c r="BE154" s="97"/>
    </row>
    <row r="155" ht="26" customHeight="1" spans="1:57">
      <c r="A155" s="304" t="s">
        <v>640</v>
      </c>
      <c r="B155" s="304" t="s">
        <v>196</v>
      </c>
      <c r="C155" s="304" t="s">
        <v>270</v>
      </c>
      <c r="D155" s="304" t="s">
        <v>932</v>
      </c>
      <c r="E155" s="325">
        <f t="shared" si="185"/>
        <v>321.28</v>
      </c>
      <c r="F155" s="325"/>
      <c r="G155" s="325"/>
      <c r="H155" s="325"/>
      <c r="I155" s="325"/>
      <c r="J155" s="325"/>
      <c r="K155" s="325"/>
      <c r="L155" s="325"/>
      <c r="M155" s="325"/>
      <c r="N155" s="325"/>
      <c r="O155" s="325"/>
      <c r="P155" s="325"/>
      <c r="Q155" s="325"/>
      <c r="R155" s="325"/>
      <c r="S155" s="325">
        <v>108.34</v>
      </c>
      <c r="T155" s="325">
        <v>212.94</v>
      </c>
      <c r="U155" s="325"/>
      <c r="V155" s="325">
        <f t="shared" si="165"/>
        <v>7.68</v>
      </c>
      <c r="W155" s="325"/>
      <c r="X155" s="325"/>
      <c r="Y155" s="325"/>
      <c r="Z155" s="325"/>
      <c r="AA155" s="325"/>
      <c r="AB155" s="325"/>
      <c r="AC155" s="325"/>
      <c r="AD155" s="325"/>
      <c r="AE155" s="325"/>
      <c r="AF155" s="325"/>
      <c r="AG155" s="325"/>
      <c r="AH155" s="325"/>
      <c r="AI155" s="325"/>
      <c r="AJ155" s="325">
        <v>1.92</v>
      </c>
      <c r="AK155" s="325">
        <v>5.76</v>
      </c>
      <c r="AL155" s="325"/>
      <c r="AM155" s="325">
        <f t="shared" si="166"/>
        <v>328.96</v>
      </c>
      <c r="AN155" s="325">
        <f t="shared" si="169"/>
        <v>0</v>
      </c>
      <c r="AO155" s="325">
        <f t="shared" si="170"/>
        <v>0</v>
      </c>
      <c r="AP155" s="325">
        <f t="shared" si="171"/>
        <v>0</v>
      </c>
      <c r="AQ155" s="325">
        <f t="shared" si="172"/>
        <v>0</v>
      </c>
      <c r="AR155" s="325">
        <f t="shared" si="173"/>
        <v>0</v>
      </c>
      <c r="AS155" s="325">
        <f t="shared" si="174"/>
        <v>0</v>
      </c>
      <c r="AT155" s="325">
        <f t="shared" si="175"/>
        <v>0</v>
      </c>
      <c r="AU155" s="325">
        <f t="shared" si="176"/>
        <v>0</v>
      </c>
      <c r="AV155" s="325">
        <f t="shared" si="177"/>
        <v>0</v>
      </c>
      <c r="AW155" s="325">
        <f t="shared" si="178"/>
        <v>0</v>
      </c>
      <c r="AX155" s="325">
        <f t="shared" si="179"/>
        <v>0</v>
      </c>
      <c r="AY155" s="325">
        <f t="shared" si="180"/>
        <v>0</v>
      </c>
      <c r="AZ155" s="325">
        <f t="shared" si="181"/>
        <v>0</v>
      </c>
      <c r="BA155" s="325">
        <f t="shared" si="182"/>
        <v>110.26</v>
      </c>
      <c r="BB155" s="325">
        <f t="shared" si="183"/>
        <v>218.7</v>
      </c>
      <c r="BC155" s="325">
        <f t="shared" si="184"/>
        <v>0</v>
      </c>
      <c r="BD155" s="342"/>
      <c r="BE155" s="97"/>
    </row>
    <row r="156" ht="26" customHeight="1" spans="1:57">
      <c r="A156" s="304" t="s">
        <v>640</v>
      </c>
      <c r="B156" s="304" t="s">
        <v>196</v>
      </c>
      <c r="C156" s="304" t="s">
        <v>274</v>
      </c>
      <c r="D156" s="347" t="s">
        <v>932</v>
      </c>
      <c r="E156" s="325">
        <f t="shared" si="185"/>
        <v>239.89</v>
      </c>
      <c r="F156" s="325"/>
      <c r="G156" s="325"/>
      <c r="H156" s="325"/>
      <c r="I156" s="325"/>
      <c r="J156" s="325"/>
      <c r="K156" s="325"/>
      <c r="L156" s="325"/>
      <c r="M156" s="325"/>
      <c r="N156" s="325"/>
      <c r="O156" s="325"/>
      <c r="P156" s="325"/>
      <c r="Q156" s="325"/>
      <c r="R156" s="325"/>
      <c r="S156" s="325">
        <v>84.01</v>
      </c>
      <c r="T156" s="325">
        <v>155.88</v>
      </c>
      <c r="U156" s="325"/>
      <c r="V156" s="325">
        <f t="shared" si="165"/>
        <v>6.32</v>
      </c>
      <c r="W156" s="325"/>
      <c r="X156" s="325"/>
      <c r="Y156" s="325"/>
      <c r="Z156" s="325"/>
      <c r="AA156" s="325"/>
      <c r="AB156" s="325"/>
      <c r="AC156" s="325"/>
      <c r="AD156" s="325"/>
      <c r="AE156" s="325"/>
      <c r="AF156" s="325"/>
      <c r="AG156" s="325"/>
      <c r="AH156" s="325"/>
      <c r="AI156" s="325"/>
      <c r="AJ156" s="325">
        <v>1.52</v>
      </c>
      <c r="AK156" s="325">
        <v>4.8</v>
      </c>
      <c r="AL156" s="325"/>
      <c r="AM156" s="325">
        <f t="shared" si="166"/>
        <v>246.21</v>
      </c>
      <c r="AN156" s="325">
        <f t="shared" si="169"/>
        <v>0</v>
      </c>
      <c r="AO156" s="325">
        <f t="shared" si="170"/>
        <v>0</v>
      </c>
      <c r="AP156" s="325">
        <f t="shared" si="171"/>
        <v>0</v>
      </c>
      <c r="AQ156" s="325">
        <f t="shared" si="172"/>
        <v>0</v>
      </c>
      <c r="AR156" s="325">
        <f t="shared" si="173"/>
        <v>0</v>
      </c>
      <c r="AS156" s="325">
        <f t="shared" si="174"/>
        <v>0</v>
      </c>
      <c r="AT156" s="325">
        <f t="shared" si="175"/>
        <v>0</v>
      </c>
      <c r="AU156" s="325">
        <f t="shared" si="176"/>
        <v>0</v>
      </c>
      <c r="AV156" s="325">
        <f t="shared" si="177"/>
        <v>0</v>
      </c>
      <c r="AW156" s="325">
        <f t="shared" si="178"/>
        <v>0</v>
      </c>
      <c r="AX156" s="325">
        <f t="shared" si="179"/>
        <v>0</v>
      </c>
      <c r="AY156" s="325">
        <f t="shared" si="180"/>
        <v>0</v>
      </c>
      <c r="AZ156" s="325">
        <f t="shared" si="181"/>
        <v>0</v>
      </c>
      <c r="BA156" s="325">
        <f t="shared" si="182"/>
        <v>85.53</v>
      </c>
      <c r="BB156" s="325">
        <f t="shared" si="183"/>
        <v>160.68</v>
      </c>
      <c r="BC156" s="325">
        <f t="shared" si="184"/>
        <v>0</v>
      </c>
      <c r="BD156" s="342"/>
      <c r="BE156" s="97"/>
    </row>
    <row r="157" ht="26" customHeight="1" spans="1:57">
      <c r="A157" s="304" t="s">
        <v>640</v>
      </c>
      <c r="B157" s="304" t="s">
        <v>196</v>
      </c>
      <c r="C157" s="304" t="s">
        <v>278</v>
      </c>
      <c r="D157" s="347" t="s">
        <v>932</v>
      </c>
      <c r="E157" s="325">
        <f t="shared" si="185"/>
        <v>256.94</v>
      </c>
      <c r="F157" s="325"/>
      <c r="G157" s="325"/>
      <c r="H157" s="325"/>
      <c r="I157" s="325"/>
      <c r="J157" s="325"/>
      <c r="K157" s="325"/>
      <c r="L157" s="325"/>
      <c r="M157" s="325"/>
      <c r="N157" s="325"/>
      <c r="O157" s="325"/>
      <c r="P157" s="325"/>
      <c r="Q157" s="325"/>
      <c r="R157" s="325"/>
      <c r="S157" s="325">
        <v>95.18</v>
      </c>
      <c r="T157" s="325">
        <v>161.76</v>
      </c>
      <c r="U157" s="325"/>
      <c r="V157" s="325">
        <f t="shared" si="165"/>
        <v>5.008</v>
      </c>
      <c r="W157" s="325"/>
      <c r="X157" s="325"/>
      <c r="Y157" s="325"/>
      <c r="Z157" s="325"/>
      <c r="AA157" s="325"/>
      <c r="AB157" s="325"/>
      <c r="AC157" s="325"/>
      <c r="AD157" s="325"/>
      <c r="AE157" s="325"/>
      <c r="AF157" s="325"/>
      <c r="AG157" s="325"/>
      <c r="AH157" s="325"/>
      <c r="AI157" s="325"/>
      <c r="AJ157" s="325">
        <v>1.168</v>
      </c>
      <c r="AK157" s="325">
        <v>3.84</v>
      </c>
      <c r="AL157" s="325"/>
      <c r="AM157" s="325">
        <f t="shared" si="166"/>
        <v>261.948</v>
      </c>
      <c r="AN157" s="325">
        <f t="shared" si="169"/>
        <v>0</v>
      </c>
      <c r="AO157" s="325">
        <f t="shared" si="170"/>
        <v>0</v>
      </c>
      <c r="AP157" s="325">
        <f t="shared" si="171"/>
        <v>0</v>
      </c>
      <c r="AQ157" s="325">
        <f t="shared" si="172"/>
        <v>0</v>
      </c>
      <c r="AR157" s="325">
        <f t="shared" si="173"/>
        <v>0</v>
      </c>
      <c r="AS157" s="325">
        <f t="shared" si="174"/>
        <v>0</v>
      </c>
      <c r="AT157" s="325">
        <f t="shared" si="175"/>
        <v>0</v>
      </c>
      <c r="AU157" s="325">
        <f t="shared" si="176"/>
        <v>0</v>
      </c>
      <c r="AV157" s="325">
        <f t="shared" si="177"/>
        <v>0</v>
      </c>
      <c r="AW157" s="325">
        <f t="shared" si="178"/>
        <v>0</v>
      </c>
      <c r="AX157" s="325">
        <f t="shared" si="179"/>
        <v>0</v>
      </c>
      <c r="AY157" s="325">
        <f t="shared" si="180"/>
        <v>0</v>
      </c>
      <c r="AZ157" s="325">
        <f t="shared" si="181"/>
        <v>0</v>
      </c>
      <c r="BA157" s="325">
        <f t="shared" si="182"/>
        <v>96.348</v>
      </c>
      <c r="BB157" s="325">
        <f t="shared" si="183"/>
        <v>165.6</v>
      </c>
      <c r="BC157" s="325">
        <f t="shared" si="184"/>
        <v>0</v>
      </c>
      <c r="BD157" s="342"/>
      <c r="BE157" s="97"/>
    </row>
    <row r="158" ht="26" customHeight="1" spans="1:57">
      <c r="A158" s="304" t="s">
        <v>640</v>
      </c>
      <c r="B158" s="304" t="s">
        <v>196</v>
      </c>
      <c r="C158" s="304" t="s">
        <v>282</v>
      </c>
      <c r="D158" s="347" t="s">
        <v>932</v>
      </c>
      <c r="E158" s="325">
        <f t="shared" si="185"/>
        <v>206.46</v>
      </c>
      <c r="F158" s="325"/>
      <c r="G158" s="325"/>
      <c r="H158" s="325"/>
      <c r="I158" s="325"/>
      <c r="J158" s="325"/>
      <c r="K158" s="325"/>
      <c r="L158" s="325"/>
      <c r="M158" s="325"/>
      <c r="N158" s="325"/>
      <c r="O158" s="325"/>
      <c r="P158" s="325"/>
      <c r="Q158" s="325"/>
      <c r="R158" s="325"/>
      <c r="S158" s="325">
        <v>69.6</v>
      </c>
      <c r="T158" s="325">
        <v>136.86</v>
      </c>
      <c r="U158" s="325"/>
      <c r="V158" s="325">
        <f t="shared" si="165"/>
        <v>4.05</v>
      </c>
      <c r="W158" s="325"/>
      <c r="X158" s="325"/>
      <c r="Y158" s="325"/>
      <c r="Z158" s="325"/>
      <c r="AA158" s="325"/>
      <c r="AB158" s="325"/>
      <c r="AC158" s="325"/>
      <c r="AD158" s="325"/>
      <c r="AE158" s="325"/>
      <c r="AF158" s="325"/>
      <c r="AG158" s="325"/>
      <c r="AH158" s="325"/>
      <c r="AI158" s="325"/>
      <c r="AJ158" s="325">
        <v>1.17</v>
      </c>
      <c r="AK158" s="325">
        <v>2.88</v>
      </c>
      <c r="AL158" s="325"/>
      <c r="AM158" s="325">
        <f t="shared" si="166"/>
        <v>210.51</v>
      </c>
      <c r="AN158" s="325">
        <f t="shared" si="169"/>
        <v>0</v>
      </c>
      <c r="AO158" s="325">
        <f t="shared" si="170"/>
        <v>0</v>
      </c>
      <c r="AP158" s="325">
        <f t="shared" si="171"/>
        <v>0</v>
      </c>
      <c r="AQ158" s="325">
        <f t="shared" si="172"/>
        <v>0</v>
      </c>
      <c r="AR158" s="325">
        <f t="shared" si="173"/>
        <v>0</v>
      </c>
      <c r="AS158" s="325">
        <f t="shared" si="174"/>
        <v>0</v>
      </c>
      <c r="AT158" s="325">
        <f t="shared" si="175"/>
        <v>0</v>
      </c>
      <c r="AU158" s="325">
        <f t="shared" si="176"/>
        <v>0</v>
      </c>
      <c r="AV158" s="325">
        <f t="shared" si="177"/>
        <v>0</v>
      </c>
      <c r="AW158" s="325">
        <f t="shared" si="178"/>
        <v>0</v>
      </c>
      <c r="AX158" s="325">
        <f t="shared" si="179"/>
        <v>0</v>
      </c>
      <c r="AY158" s="325">
        <f t="shared" si="180"/>
        <v>0</v>
      </c>
      <c r="AZ158" s="325">
        <f t="shared" si="181"/>
        <v>0</v>
      </c>
      <c r="BA158" s="325">
        <f t="shared" si="182"/>
        <v>70.77</v>
      </c>
      <c r="BB158" s="325">
        <f t="shared" si="183"/>
        <v>139.74</v>
      </c>
      <c r="BC158" s="325">
        <f t="shared" si="184"/>
        <v>0</v>
      </c>
      <c r="BD158" s="342"/>
      <c r="BE158" s="97"/>
    </row>
    <row r="159" ht="26" customHeight="1" spans="1:57">
      <c r="A159" s="304" t="s">
        <v>640</v>
      </c>
      <c r="B159" s="304" t="s">
        <v>196</v>
      </c>
      <c r="C159" s="304" t="s">
        <v>286</v>
      </c>
      <c r="D159" s="347" t="s">
        <v>932</v>
      </c>
      <c r="E159" s="325">
        <f t="shared" si="185"/>
        <v>104.5</v>
      </c>
      <c r="F159" s="325"/>
      <c r="G159" s="325"/>
      <c r="H159" s="325"/>
      <c r="I159" s="325"/>
      <c r="J159" s="325"/>
      <c r="K159" s="325"/>
      <c r="L159" s="325"/>
      <c r="M159" s="325"/>
      <c r="N159" s="325"/>
      <c r="O159" s="325"/>
      <c r="P159" s="325"/>
      <c r="Q159" s="325"/>
      <c r="R159" s="325"/>
      <c r="S159" s="325">
        <v>41.56</v>
      </c>
      <c r="T159" s="325">
        <v>62.94</v>
      </c>
      <c r="U159" s="325"/>
      <c r="V159" s="325">
        <f t="shared" si="165"/>
        <v>0</v>
      </c>
      <c r="W159" s="325"/>
      <c r="X159" s="325"/>
      <c r="Y159" s="325"/>
      <c r="Z159" s="325"/>
      <c r="AA159" s="325"/>
      <c r="AB159" s="325"/>
      <c r="AC159" s="325"/>
      <c r="AD159" s="325"/>
      <c r="AE159" s="325"/>
      <c r="AF159" s="325"/>
      <c r="AG159" s="325"/>
      <c r="AH159" s="325"/>
      <c r="AI159" s="325"/>
      <c r="AJ159" s="325"/>
      <c r="AK159" s="325">
        <v>0</v>
      </c>
      <c r="AL159" s="325"/>
      <c r="AM159" s="325">
        <f t="shared" si="166"/>
        <v>104.5</v>
      </c>
      <c r="AN159" s="325">
        <f t="shared" si="169"/>
        <v>0</v>
      </c>
      <c r="AO159" s="325">
        <f t="shared" si="170"/>
        <v>0</v>
      </c>
      <c r="AP159" s="325">
        <f t="shared" si="171"/>
        <v>0</v>
      </c>
      <c r="AQ159" s="325">
        <f t="shared" si="172"/>
        <v>0</v>
      </c>
      <c r="AR159" s="325">
        <f t="shared" si="173"/>
        <v>0</v>
      </c>
      <c r="AS159" s="325">
        <f t="shared" si="174"/>
        <v>0</v>
      </c>
      <c r="AT159" s="325">
        <f t="shared" si="175"/>
        <v>0</v>
      </c>
      <c r="AU159" s="325">
        <f t="shared" si="176"/>
        <v>0</v>
      </c>
      <c r="AV159" s="325">
        <f t="shared" si="177"/>
        <v>0</v>
      </c>
      <c r="AW159" s="325">
        <f t="shared" si="178"/>
        <v>0</v>
      </c>
      <c r="AX159" s="325">
        <f t="shared" si="179"/>
        <v>0</v>
      </c>
      <c r="AY159" s="325">
        <f t="shared" si="180"/>
        <v>0</v>
      </c>
      <c r="AZ159" s="325">
        <f t="shared" si="181"/>
        <v>0</v>
      </c>
      <c r="BA159" s="325">
        <f t="shared" si="182"/>
        <v>41.56</v>
      </c>
      <c r="BB159" s="325">
        <f t="shared" si="183"/>
        <v>62.94</v>
      </c>
      <c r="BC159" s="325">
        <f t="shared" si="184"/>
        <v>0</v>
      </c>
      <c r="BD159" s="342"/>
      <c r="BE159" s="97"/>
    </row>
    <row r="160" s="311" customFormat="1" ht="20.15" customHeight="1" spans="1:57">
      <c r="A160" s="326"/>
      <c r="B160" s="327"/>
      <c r="C160" s="328" t="s">
        <v>142</v>
      </c>
      <c r="D160" s="329">
        <v>214</v>
      </c>
      <c r="E160" s="330">
        <f>SUM(E161:E162)</f>
        <v>14.77</v>
      </c>
      <c r="F160" s="330">
        <f t="shared" ref="F160:AK160" si="186">SUM(F161:F162)</f>
        <v>0</v>
      </c>
      <c r="G160" s="330">
        <f t="shared" si="186"/>
        <v>0</v>
      </c>
      <c r="H160" s="330">
        <f t="shared" si="186"/>
        <v>0</v>
      </c>
      <c r="I160" s="330">
        <f t="shared" si="186"/>
        <v>0</v>
      </c>
      <c r="J160" s="330">
        <f t="shared" si="186"/>
        <v>0</v>
      </c>
      <c r="K160" s="330">
        <f t="shared" si="186"/>
        <v>0</v>
      </c>
      <c r="L160" s="330">
        <f t="shared" si="186"/>
        <v>0</v>
      </c>
      <c r="M160" s="330">
        <f t="shared" si="186"/>
        <v>0</v>
      </c>
      <c r="N160" s="330">
        <f t="shared" si="186"/>
        <v>0</v>
      </c>
      <c r="O160" s="330">
        <f t="shared" si="186"/>
        <v>14.77</v>
      </c>
      <c r="P160" s="330">
        <f t="shared" si="186"/>
        <v>0</v>
      </c>
      <c r="Q160" s="330">
        <f t="shared" si="186"/>
        <v>0</v>
      </c>
      <c r="R160" s="330">
        <f t="shared" si="186"/>
        <v>0</v>
      </c>
      <c r="S160" s="330">
        <f t="shared" si="186"/>
        <v>0</v>
      </c>
      <c r="T160" s="330">
        <f t="shared" si="186"/>
        <v>0</v>
      </c>
      <c r="U160" s="330">
        <f t="shared" si="186"/>
        <v>0</v>
      </c>
      <c r="V160" s="330">
        <f t="shared" si="186"/>
        <v>0.31</v>
      </c>
      <c r="W160" s="330">
        <f t="shared" si="186"/>
        <v>0</v>
      </c>
      <c r="X160" s="330">
        <f t="shared" si="186"/>
        <v>0</v>
      </c>
      <c r="Y160" s="330">
        <f t="shared" si="186"/>
        <v>0</v>
      </c>
      <c r="Z160" s="330">
        <f t="shared" si="186"/>
        <v>0</v>
      </c>
      <c r="AA160" s="330">
        <f t="shared" si="186"/>
        <v>0</v>
      </c>
      <c r="AB160" s="330">
        <f t="shared" si="186"/>
        <v>0.36</v>
      </c>
      <c r="AC160" s="330">
        <f t="shared" si="186"/>
        <v>0</v>
      </c>
      <c r="AD160" s="330">
        <f t="shared" si="186"/>
        <v>0</v>
      </c>
      <c r="AE160" s="330">
        <f t="shared" si="186"/>
        <v>0</v>
      </c>
      <c r="AF160" s="330">
        <f t="shared" si="186"/>
        <v>-0.05</v>
      </c>
      <c r="AG160" s="330">
        <f t="shared" si="186"/>
        <v>0</v>
      </c>
      <c r="AH160" s="330">
        <f t="shared" si="186"/>
        <v>0</v>
      </c>
      <c r="AI160" s="330">
        <f t="shared" si="186"/>
        <v>0</v>
      </c>
      <c r="AJ160" s="330">
        <f t="shared" si="186"/>
        <v>0</v>
      </c>
      <c r="AK160" s="330">
        <f t="shared" si="186"/>
        <v>0</v>
      </c>
      <c r="AL160" s="330">
        <f t="shared" ref="AL160:BC160" si="187">SUM(AL161:AL162)</f>
        <v>0</v>
      </c>
      <c r="AM160" s="330">
        <f t="shared" si="187"/>
        <v>15.08</v>
      </c>
      <c r="AN160" s="330">
        <f t="shared" si="187"/>
        <v>0</v>
      </c>
      <c r="AO160" s="330">
        <f t="shared" si="187"/>
        <v>0</v>
      </c>
      <c r="AP160" s="330">
        <f t="shared" si="187"/>
        <v>0</v>
      </c>
      <c r="AQ160" s="330">
        <f t="shared" si="187"/>
        <v>0</v>
      </c>
      <c r="AR160" s="330">
        <f t="shared" si="187"/>
        <v>0</v>
      </c>
      <c r="AS160" s="330">
        <f t="shared" si="187"/>
        <v>0.36</v>
      </c>
      <c r="AT160" s="330">
        <f t="shared" si="187"/>
        <v>0</v>
      </c>
      <c r="AU160" s="330">
        <f t="shared" si="187"/>
        <v>0</v>
      </c>
      <c r="AV160" s="330">
        <f t="shared" si="187"/>
        <v>0</v>
      </c>
      <c r="AW160" s="330">
        <f t="shared" si="187"/>
        <v>14.72</v>
      </c>
      <c r="AX160" s="330">
        <f t="shared" si="187"/>
        <v>0</v>
      </c>
      <c r="AY160" s="330">
        <f t="shared" si="187"/>
        <v>0</v>
      </c>
      <c r="AZ160" s="330">
        <f t="shared" si="187"/>
        <v>0</v>
      </c>
      <c r="BA160" s="330">
        <f t="shared" si="187"/>
        <v>0</v>
      </c>
      <c r="BB160" s="330">
        <f t="shared" si="187"/>
        <v>0</v>
      </c>
      <c r="BC160" s="330">
        <f t="shared" si="187"/>
        <v>0</v>
      </c>
      <c r="BD160" s="341"/>
      <c r="BE160" s="346"/>
    </row>
    <row r="161" ht="24" spans="1:57">
      <c r="A161" s="304" t="s">
        <v>290</v>
      </c>
      <c r="B161" s="304" t="s">
        <v>196</v>
      </c>
      <c r="C161" s="304" t="s">
        <v>693</v>
      </c>
      <c r="D161" s="347" t="s">
        <v>694</v>
      </c>
      <c r="E161" s="325">
        <f>SUM(F161:U161)</f>
        <v>14.77</v>
      </c>
      <c r="F161" s="325"/>
      <c r="G161" s="325"/>
      <c r="H161" s="325"/>
      <c r="I161" s="325"/>
      <c r="J161" s="325"/>
      <c r="K161" s="325"/>
      <c r="L161" s="325"/>
      <c r="M161" s="325"/>
      <c r="N161" s="325"/>
      <c r="O161" s="325">
        <v>14.77</v>
      </c>
      <c r="P161" s="325"/>
      <c r="Q161" s="325"/>
      <c r="R161" s="325"/>
      <c r="S161" s="325"/>
      <c r="T161" s="325"/>
      <c r="U161" s="325"/>
      <c r="V161" s="325">
        <f>SUM(W161:AL161)</f>
        <v>-0.05</v>
      </c>
      <c r="W161" s="325"/>
      <c r="X161" s="325"/>
      <c r="Y161" s="325"/>
      <c r="Z161" s="325"/>
      <c r="AA161" s="325"/>
      <c r="AB161" s="325"/>
      <c r="AC161" s="325"/>
      <c r="AD161" s="325"/>
      <c r="AE161" s="325"/>
      <c r="AF161" s="325">
        <v>-0.05</v>
      </c>
      <c r="AG161" s="325"/>
      <c r="AH161" s="325"/>
      <c r="AI161" s="325"/>
      <c r="AJ161" s="325"/>
      <c r="AK161" s="325"/>
      <c r="AL161" s="325"/>
      <c r="AM161" s="325">
        <f>SUM(AN161:BC161)</f>
        <v>14.72</v>
      </c>
      <c r="AN161" s="325">
        <f t="shared" ref="AN161:BC161" si="188">F161+W161</f>
        <v>0</v>
      </c>
      <c r="AO161" s="325">
        <f t="shared" si="188"/>
        <v>0</v>
      </c>
      <c r="AP161" s="325">
        <f t="shared" si="188"/>
        <v>0</v>
      </c>
      <c r="AQ161" s="325">
        <f t="shared" si="188"/>
        <v>0</v>
      </c>
      <c r="AR161" s="325">
        <f t="shared" si="188"/>
        <v>0</v>
      </c>
      <c r="AS161" s="325">
        <f t="shared" si="188"/>
        <v>0</v>
      </c>
      <c r="AT161" s="325">
        <f t="shared" si="188"/>
        <v>0</v>
      </c>
      <c r="AU161" s="325">
        <f t="shared" si="188"/>
        <v>0</v>
      </c>
      <c r="AV161" s="325">
        <f t="shared" si="188"/>
        <v>0</v>
      </c>
      <c r="AW161" s="325">
        <f t="shared" si="188"/>
        <v>14.72</v>
      </c>
      <c r="AX161" s="325">
        <f t="shared" si="188"/>
        <v>0</v>
      </c>
      <c r="AY161" s="325">
        <f t="shared" si="188"/>
        <v>0</v>
      </c>
      <c r="AZ161" s="325">
        <f t="shared" si="188"/>
        <v>0</v>
      </c>
      <c r="BA161" s="325">
        <f t="shared" si="188"/>
        <v>0</v>
      </c>
      <c r="BB161" s="325">
        <f t="shared" si="188"/>
        <v>0</v>
      </c>
      <c r="BC161" s="325">
        <f t="shared" si="188"/>
        <v>0</v>
      </c>
      <c r="BD161" s="342"/>
      <c r="BE161" s="97"/>
    </row>
    <row r="162" ht="26" customHeight="1" spans="1:57">
      <c r="A162" s="284" t="s">
        <v>290</v>
      </c>
      <c r="B162" s="284" t="s">
        <v>199</v>
      </c>
      <c r="C162" s="284" t="s">
        <v>696</v>
      </c>
      <c r="D162" s="284" t="s">
        <v>697</v>
      </c>
      <c r="E162" s="325">
        <f>SUM(F162:U162)</f>
        <v>0</v>
      </c>
      <c r="F162" s="325"/>
      <c r="G162" s="325"/>
      <c r="H162" s="325"/>
      <c r="I162" s="325"/>
      <c r="J162" s="325"/>
      <c r="K162" s="325"/>
      <c r="L162" s="325"/>
      <c r="M162" s="325"/>
      <c r="N162" s="325"/>
      <c r="O162" s="325"/>
      <c r="P162" s="325"/>
      <c r="Q162" s="325"/>
      <c r="R162" s="325"/>
      <c r="S162" s="325"/>
      <c r="T162" s="325"/>
      <c r="U162" s="325"/>
      <c r="V162" s="325">
        <f>SUM(W162:AL162)</f>
        <v>0.36</v>
      </c>
      <c r="W162" s="325"/>
      <c r="X162" s="325"/>
      <c r="Y162" s="325"/>
      <c r="Z162" s="325"/>
      <c r="AA162" s="325"/>
      <c r="AB162" s="325">
        <v>0.36</v>
      </c>
      <c r="AC162" s="325"/>
      <c r="AD162" s="325"/>
      <c r="AE162" s="325"/>
      <c r="AF162" s="325"/>
      <c r="AG162" s="325"/>
      <c r="AH162" s="325"/>
      <c r="AI162" s="325"/>
      <c r="AJ162" s="325"/>
      <c r="AK162" s="325"/>
      <c r="AL162" s="325"/>
      <c r="AM162" s="325">
        <f>SUM(AN162:BC162)</f>
        <v>0.36</v>
      </c>
      <c r="AN162" s="325">
        <f t="shared" ref="AN162:BC162" si="189">F162+W162</f>
        <v>0</v>
      </c>
      <c r="AO162" s="325">
        <f t="shared" si="189"/>
        <v>0</v>
      </c>
      <c r="AP162" s="325">
        <f t="shared" si="189"/>
        <v>0</v>
      </c>
      <c r="AQ162" s="325">
        <f t="shared" si="189"/>
        <v>0</v>
      </c>
      <c r="AR162" s="325">
        <f t="shared" si="189"/>
        <v>0</v>
      </c>
      <c r="AS162" s="325">
        <f t="shared" si="189"/>
        <v>0.36</v>
      </c>
      <c r="AT162" s="325">
        <f t="shared" si="189"/>
        <v>0</v>
      </c>
      <c r="AU162" s="325">
        <f t="shared" si="189"/>
        <v>0</v>
      </c>
      <c r="AV162" s="325">
        <f t="shared" si="189"/>
        <v>0</v>
      </c>
      <c r="AW162" s="325">
        <f t="shared" si="189"/>
        <v>0</v>
      </c>
      <c r="AX162" s="325">
        <f t="shared" si="189"/>
        <v>0</v>
      </c>
      <c r="AY162" s="325">
        <f t="shared" si="189"/>
        <v>0</v>
      </c>
      <c r="AZ162" s="325">
        <f t="shared" si="189"/>
        <v>0</v>
      </c>
      <c r="BA162" s="325">
        <f t="shared" si="189"/>
        <v>0</v>
      </c>
      <c r="BB162" s="325">
        <f t="shared" si="189"/>
        <v>0</v>
      </c>
      <c r="BC162" s="325">
        <f t="shared" si="189"/>
        <v>0</v>
      </c>
      <c r="BD162" s="342" t="s">
        <v>933</v>
      </c>
      <c r="BE162" s="97"/>
    </row>
    <row r="163" s="311" customFormat="1" ht="20.15" customHeight="1" spans="1:57">
      <c r="A163" s="326"/>
      <c r="B163" s="327"/>
      <c r="C163" s="328" t="s">
        <v>144</v>
      </c>
      <c r="D163" s="329">
        <v>216</v>
      </c>
      <c r="E163" s="330">
        <f>SUM(E164)</f>
        <v>11.2644</v>
      </c>
      <c r="F163" s="330">
        <f t="shared" ref="F163:BC163" si="190">SUM(F164)</f>
        <v>0</v>
      </c>
      <c r="G163" s="330">
        <f t="shared" si="190"/>
        <v>0</v>
      </c>
      <c r="H163" s="330">
        <f t="shared" si="190"/>
        <v>0</v>
      </c>
      <c r="I163" s="330">
        <f t="shared" si="190"/>
        <v>0</v>
      </c>
      <c r="J163" s="330">
        <f t="shared" si="190"/>
        <v>0</v>
      </c>
      <c r="K163" s="330">
        <f t="shared" si="190"/>
        <v>0</v>
      </c>
      <c r="L163" s="330">
        <f t="shared" si="190"/>
        <v>0</v>
      </c>
      <c r="M163" s="330">
        <f t="shared" si="190"/>
        <v>0</v>
      </c>
      <c r="N163" s="330">
        <f t="shared" si="190"/>
        <v>0</v>
      </c>
      <c r="O163" s="330">
        <f t="shared" si="190"/>
        <v>11.2644</v>
      </c>
      <c r="P163" s="330">
        <f t="shared" si="190"/>
        <v>0</v>
      </c>
      <c r="Q163" s="330">
        <f t="shared" si="190"/>
        <v>0</v>
      </c>
      <c r="R163" s="330">
        <f t="shared" si="190"/>
        <v>0</v>
      </c>
      <c r="S163" s="330">
        <f t="shared" si="190"/>
        <v>0</v>
      </c>
      <c r="T163" s="330">
        <f t="shared" si="190"/>
        <v>0</v>
      </c>
      <c r="U163" s="330">
        <f t="shared" si="190"/>
        <v>0</v>
      </c>
      <c r="V163" s="330">
        <f t="shared" si="190"/>
        <v>1.52</v>
      </c>
      <c r="W163" s="330">
        <f t="shared" si="190"/>
        <v>0</v>
      </c>
      <c r="X163" s="330">
        <f t="shared" si="190"/>
        <v>0</v>
      </c>
      <c r="Y163" s="330">
        <f t="shared" si="190"/>
        <v>0</v>
      </c>
      <c r="Z163" s="330">
        <f t="shared" si="190"/>
        <v>0</v>
      </c>
      <c r="AA163" s="330">
        <f t="shared" si="190"/>
        <v>0</v>
      </c>
      <c r="AB163" s="330">
        <f t="shared" si="190"/>
        <v>0</v>
      </c>
      <c r="AC163" s="330">
        <f t="shared" si="190"/>
        <v>0</v>
      </c>
      <c r="AD163" s="330">
        <f t="shared" si="190"/>
        <v>0</v>
      </c>
      <c r="AE163" s="330">
        <f t="shared" si="190"/>
        <v>0</v>
      </c>
      <c r="AF163" s="330">
        <f t="shared" si="190"/>
        <v>0.95</v>
      </c>
      <c r="AG163" s="330">
        <f t="shared" si="190"/>
        <v>0</v>
      </c>
      <c r="AH163" s="330">
        <f t="shared" si="190"/>
        <v>0.57</v>
      </c>
      <c r="AI163" s="330">
        <f t="shared" si="190"/>
        <v>0</v>
      </c>
      <c r="AJ163" s="330">
        <f t="shared" si="190"/>
        <v>0</v>
      </c>
      <c r="AK163" s="330">
        <f t="shared" si="190"/>
        <v>0</v>
      </c>
      <c r="AL163" s="330">
        <f t="shared" si="190"/>
        <v>0</v>
      </c>
      <c r="AM163" s="330">
        <f t="shared" si="190"/>
        <v>12.7844</v>
      </c>
      <c r="AN163" s="330">
        <f t="shared" si="190"/>
        <v>0</v>
      </c>
      <c r="AO163" s="330">
        <f t="shared" si="190"/>
        <v>0</v>
      </c>
      <c r="AP163" s="330">
        <f t="shared" si="190"/>
        <v>0</v>
      </c>
      <c r="AQ163" s="330">
        <f t="shared" si="190"/>
        <v>0</v>
      </c>
      <c r="AR163" s="330">
        <f t="shared" si="190"/>
        <v>0</v>
      </c>
      <c r="AS163" s="330">
        <f t="shared" si="190"/>
        <v>0</v>
      </c>
      <c r="AT163" s="330">
        <f t="shared" si="190"/>
        <v>0</v>
      </c>
      <c r="AU163" s="330">
        <f t="shared" si="190"/>
        <v>0</v>
      </c>
      <c r="AV163" s="330">
        <f t="shared" si="190"/>
        <v>0</v>
      </c>
      <c r="AW163" s="330">
        <f t="shared" si="190"/>
        <v>12.2144</v>
      </c>
      <c r="AX163" s="330">
        <f t="shared" si="190"/>
        <v>0</v>
      </c>
      <c r="AY163" s="330">
        <f t="shared" si="190"/>
        <v>0.57</v>
      </c>
      <c r="AZ163" s="330">
        <f t="shared" si="190"/>
        <v>0</v>
      </c>
      <c r="BA163" s="330">
        <f t="shared" si="190"/>
        <v>0</v>
      </c>
      <c r="BB163" s="330">
        <f t="shared" si="190"/>
        <v>0</v>
      </c>
      <c r="BC163" s="330">
        <f t="shared" si="190"/>
        <v>0</v>
      </c>
      <c r="BD163" s="341"/>
      <c r="BE163" s="346"/>
    </row>
    <row r="164" ht="24" customHeight="1" spans="1:57">
      <c r="A164" s="304" t="s">
        <v>290</v>
      </c>
      <c r="B164" s="304" t="s">
        <v>196</v>
      </c>
      <c r="C164" s="304" t="s">
        <v>705</v>
      </c>
      <c r="D164" s="347" t="s">
        <v>706</v>
      </c>
      <c r="E164" s="325">
        <f>SUM(F164:U164)</f>
        <v>11.2644</v>
      </c>
      <c r="F164" s="325"/>
      <c r="G164" s="325"/>
      <c r="H164" s="325"/>
      <c r="I164" s="325"/>
      <c r="J164" s="325"/>
      <c r="K164" s="325"/>
      <c r="L164" s="325"/>
      <c r="M164" s="325"/>
      <c r="N164" s="325"/>
      <c r="O164" s="325">
        <v>11.2644</v>
      </c>
      <c r="P164" s="325"/>
      <c r="Q164" s="325"/>
      <c r="R164" s="325"/>
      <c r="S164" s="325"/>
      <c r="T164" s="325"/>
      <c r="U164" s="325"/>
      <c r="V164" s="325">
        <f>SUM(W164:AL164)</f>
        <v>1.52</v>
      </c>
      <c r="W164" s="325"/>
      <c r="X164" s="325"/>
      <c r="Y164" s="325"/>
      <c r="Z164" s="325"/>
      <c r="AA164" s="325"/>
      <c r="AB164" s="325"/>
      <c r="AC164" s="325"/>
      <c r="AD164" s="325"/>
      <c r="AE164" s="325"/>
      <c r="AF164" s="325">
        <v>0.95</v>
      </c>
      <c r="AG164" s="325"/>
      <c r="AH164" s="325">
        <v>0.57</v>
      </c>
      <c r="AI164" s="325"/>
      <c r="AJ164" s="325"/>
      <c r="AK164" s="325"/>
      <c r="AL164" s="325"/>
      <c r="AM164" s="325">
        <f>SUM(AN164:BC164)</f>
        <v>12.7844</v>
      </c>
      <c r="AN164" s="325">
        <f t="shared" ref="AN164:BC164" si="191">F164+W164</f>
        <v>0</v>
      </c>
      <c r="AO164" s="325">
        <f t="shared" si="191"/>
        <v>0</v>
      </c>
      <c r="AP164" s="325">
        <f t="shared" si="191"/>
        <v>0</v>
      </c>
      <c r="AQ164" s="325">
        <f t="shared" si="191"/>
        <v>0</v>
      </c>
      <c r="AR164" s="325">
        <f t="shared" si="191"/>
        <v>0</v>
      </c>
      <c r="AS164" s="325">
        <f t="shared" si="191"/>
        <v>0</v>
      </c>
      <c r="AT164" s="325">
        <f t="shared" si="191"/>
        <v>0</v>
      </c>
      <c r="AU164" s="325">
        <f t="shared" si="191"/>
        <v>0</v>
      </c>
      <c r="AV164" s="325">
        <f t="shared" si="191"/>
        <v>0</v>
      </c>
      <c r="AW164" s="325">
        <f t="shared" si="191"/>
        <v>12.2144</v>
      </c>
      <c r="AX164" s="325">
        <f t="shared" si="191"/>
        <v>0</v>
      </c>
      <c r="AY164" s="325">
        <f t="shared" si="191"/>
        <v>0.57</v>
      </c>
      <c r="AZ164" s="325">
        <f t="shared" si="191"/>
        <v>0</v>
      </c>
      <c r="BA164" s="325">
        <f t="shared" si="191"/>
        <v>0</v>
      </c>
      <c r="BB164" s="325">
        <f t="shared" si="191"/>
        <v>0</v>
      </c>
      <c r="BC164" s="325">
        <f t="shared" si="191"/>
        <v>0</v>
      </c>
      <c r="BD164" s="342"/>
      <c r="BE164" s="97"/>
    </row>
    <row r="165" s="311" customFormat="1" ht="20.15" customHeight="1" spans="1:57">
      <c r="A165" s="326"/>
      <c r="B165" s="327"/>
      <c r="C165" s="328" t="s">
        <v>146</v>
      </c>
      <c r="D165" s="329">
        <v>220</v>
      </c>
      <c r="E165" s="330">
        <f>SUM(E166:E167)</f>
        <v>4.26</v>
      </c>
      <c r="F165" s="330">
        <f t="shared" ref="F165:BC165" si="192">SUM(F166:F167)</f>
        <v>0</v>
      </c>
      <c r="G165" s="330">
        <f t="shared" si="192"/>
        <v>0</v>
      </c>
      <c r="H165" s="330">
        <f t="shared" si="192"/>
        <v>0</v>
      </c>
      <c r="I165" s="330">
        <f t="shared" si="192"/>
        <v>0</v>
      </c>
      <c r="J165" s="330">
        <f t="shared" si="192"/>
        <v>0</v>
      </c>
      <c r="K165" s="330">
        <f t="shared" si="192"/>
        <v>0</v>
      </c>
      <c r="L165" s="330">
        <f t="shared" si="192"/>
        <v>0</v>
      </c>
      <c r="M165" s="330">
        <f t="shared" si="192"/>
        <v>0</v>
      </c>
      <c r="N165" s="330">
        <f t="shared" si="192"/>
        <v>0</v>
      </c>
      <c r="O165" s="330">
        <f t="shared" si="192"/>
        <v>3.408</v>
      </c>
      <c r="P165" s="330">
        <f t="shared" si="192"/>
        <v>0.852</v>
      </c>
      <c r="Q165" s="330">
        <f t="shared" si="192"/>
        <v>0</v>
      </c>
      <c r="R165" s="330">
        <f t="shared" si="192"/>
        <v>0</v>
      </c>
      <c r="S165" s="330">
        <f t="shared" si="192"/>
        <v>0</v>
      </c>
      <c r="T165" s="330">
        <f t="shared" si="192"/>
        <v>0</v>
      </c>
      <c r="U165" s="330">
        <f t="shared" si="192"/>
        <v>0</v>
      </c>
      <c r="V165" s="330">
        <f t="shared" si="192"/>
        <v>1.21</v>
      </c>
      <c r="W165" s="330">
        <f t="shared" si="192"/>
        <v>0</v>
      </c>
      <c r="X165" s="330">
        <f t="shared" si="192"/>
        <v>0</v>
      </c>
      <c r="Y165" s="330">
        <f t="shared" si="192"/>
        <v>0</v>
      </c>
      <c r="Z165" s="330">
        <f t="shared" si="192"/>
        <v>0</v>
      </c>
      <c r="AA165" s="330">
        <f t="shared" si="192"/>
        <v>0</v>
      </c>
      <c r="AB165" s="330">
        <f t="shared" si="192"/>
        <v>0</v>
      </c>
      <c r="AC165" s="330">
        <f t="shared" si="192"/>
        <v>0</v>
      </c>
      <c r="AD165" s="330">
        <f t="shared" si="192"/>
        <v>0</v>
      </c>
      <c r="AE165" s="330">
        <f t="shared" si="192"/>
        <v>0</v>
      </c>
      <c r="AF165" s="330">
        <f t="shared" si="192"/>
        <v>0</v>
      </c>
      <c r="AG165" s="330">
        <f t="shared" si="192"/>
        <v>1.21</v>
      </c>
      <c r="AH165" s="330">
        <f t="shared" si="192"/>
        <v>0</v>
      </c>
      <c r="AI165" s="330">
        <f t="shared" si="192"/>
        <v>0</v>
      </c>
      <c r="AJ165" s="330">
        <f t="shared" si="192"/>
        <v>0</v>
      </c>
      <c r="AK165" s="330">
        <f t="shared" si="192"/>
        <v>0</v>
      </c>
      <c r="AL165" s="330">
        <f t="shared" si="192"/>
        <v>0</v>
      </c>
      <c r="AM165" s="330">
        <f t="shared" si="192"/>
        <v>5.47</v>
      </c>
      <c r="AN165" s="330">
        <f t="shared" si="192"/>
        <v>0</v>
      </c>
      <c r="AO165" s="330">
        <f t="shared" si="192"/>
        <v>0</v>
      </c>
      <c r="AP165" s="330">
        <f t="shared" si="192"/>
        <v>0</v>
      </c>
      <c r="AQ165" s="330">
        <f t="shared" si="192"/>
        <v>0</v>
      </c>
      <c r="AR165" s="330">
        <f t="shared" si="192"/>
        <v>0</v>
      </c>
      <c r="AS165" s="330">
        <f t="shared" si="192"/>
        <v>0</v>
      </c>
      <c r="AT165" s="330">
        <f t="shared" si="192"/>
        <v>0</v>
      </c>
      <c r="AU165" s="330">
        <f t="shared" si="192"/>
        <v>0</v>
      </c>
      <c r="AV165" s="330">
        <f t="shared" si="192"/>
        <v>0</v>
      </c>
      <c r="AW165" s="330">
        <f t="shared" si="192"/>
        <v>3.408</v>
      </c>
      <c r="AX165" s="330">
        <f t="shared" si="192"/>
        <v>2.062</v>
      </c>
      <c r="AY165" s="330">
        <f t="shared" si="192"/>
        <v>0</v>
      </c>
      <c r="AZ165" s="330">
        <f t="shared" si="192"/>
        <v>0</v>
      </c>
      <c r="BA165" s="330">
        <f t="shared" si="192"/>
        <v>0</v>
      </c>
      <c r="BB165" s="330">
        <f t="shared" si="192"/>
        <v>0</v>
      </c>
      <c r="BC165" s="330">
        <f t="shared" si="192"/>
        <v>0</v>
      </c>
      <c r="BD165" s="341"/>
      <c r="BE165" s="346"/>
    </row>
    <row r="166" ht="24" spans="1:57">
      <c r="A166" s="304" t="s">
        <v>665</v>
      </c>
      <c r="B166" s="304" t="s">
        <v>196</v>
      </c>
      <c r="C166" s="304" t="s">
        <v>709</v>
      </c>
      <c r="D166" s="347" t="s">
        <v>710</v>
      </c>
      <c r="E166" s="325">
        <f>SUM(F166:U166)</f>
        <v>3.408</v>
      </c>
      <c r="F166" s="325"/>
      <c r="G166" s="325"/>
      <c r="H166" s="325"/>
      <c r="I166" s="325"/>
      <c r="J166" s="325"/>
      <c r="K166" s="325"/>
      <c r="L166" s="325"/>
      <c r="M166" s="325"/>
      <c r="N166" s="325"/>
      <c r="O166" s="325">
        <v>3.408</v>
      </c>
      <c r="P166" s="325"/>
      <c r="Q166" s="325"/>
      <c r="R166" s="325"/>
      <c r="S166" s="325"/>
      <c r="T166" s="325"/>
      <c r="U166" s="325"/>
      <c r="V166" s="325">
        <f>SUM(W166:AL166)</f>
        <v>1.1</v>
      </c>
      <c r="W166" s="325"/>
      <c r="X166" s="325"/>
      <c r="Y166" s="325"/>
      <c r="Z166" s="325"/>
      <c r="AA166" s="325"/>
      <c r="AB166" s="325"/>
      <c r="AC166" s="325"/>
      <c r="AD166" s="325"/>
      <c r="AE166" s="325"/>
      <c r="AF166" s="325"/>
      <c r="AG166" s="325">
        <v>1.1</v>
      </c>
      <c r="AH166" s="325"/>
      <c r="AI166" s="325"/>
      <c r="AJ166" s="325"/>
      <c r="AK166" s="325"/>
      <c r="AL166" s="325"/>
      <c r="AM166" s="325">
        <f>SUM(AN166:BC166)</f>
        <v>4.508</v>
      </c>
      <c r="AN166" s="325">
        <f t="shared" ref="AN166:BC166" si="193">F166+W166</f>
        <v>0</v>
      </c>
      <c r="AO166" s="325">
        <f t="shared" si="193"/>
        <v>0</v>
      </c>
      <c r="AP166" s="325">
        <f t="shared" si="193"/>
        <v>0</v>
      </c>
      <c r="AQ166" s="325">
        <f t="shared" si="193"/>
        <v>0</v>
      </c>
      <c r="AR166" s="325">
        <f t="shared" si="193"/>
        <v>0</v>
      </c>
      <c r="AS166" s="325">
        <f t="shared" si="193"/>
        <v>0</v>
      </c>
      <c r="AT166" s="325">
        <f t="shared" si="193"/>
        <v>0</v>
      </c>
      <c r="AU166" s="325">
        <f t="shared" si="193"/>
        <v>0</v>
      </c>
      <c r="AV166" s="325">
        <f t="shared" si="193"/>
        <v>0</v>
      </c>
      <c r="AW166" s="325">
        <f t="shared" si="193"/>
        <v>3.408</v>
      </c>
      <c r="AX166" s="325">
        <f t="shared" si="193"/>
        <v>1.1</v>
      </c>
      <c r="AY166" s="325">
        <f t="shared" si="193"/>
        <v>0</v>
      </c>
      <c r="AZ166" s="325">
        <f t="shared" si="193"/>
        <v>0</v>
      </c>
      <c r="BA166" s="325">
        <f t="shared" si="193"/>
        <v>0</v>
      </c>
      <c r="BB166" s="325">
        <f t="shared" si="193"/>
        <v>0</v>
      </c>
      <c r="BC166" s="325">
        <f t="shared" si="193"/>
        <v>0</v>
      </c>
      <c r="BD166" s="342"/>
      <c r="BE166" s="97"/>
    </row>
    <row r="167" ht="24" spans="1:57">
      <c r="A167" s="304" t="s">
        <v>665</v>
      </c>
      <c r="B167" s="304" t="s">
        <v>199</v>
      </c>
      <c r="C167" s="304" t="s">
        <v>715</v>
      </c>
      <c r="D167" s="347" t="s">
        <v>714</v>
      </c>
      <c r="E167" s="325">
        <f>SUM(F167:U167)</f>
        <v>0.852</v>
      </c>
      <c r="F167" s="325"/>
      <c r="G167" s="325"/>
      <c r="H167" s="325"/>
      <c r="I167" s="325"/>
      <c r="J167" s="325"/>
      <c r="K167" s="325"/>
      <c r="L167" s="325"/>
      <c r="M167" s="325"/>
      <c r="N167" s="325"/>
      <c r="O167" s="325"/>
      <c r="P167" s="325">
        <v>0.852</v>
      </c>
      <c r="Q167" s="325"/>
      <c r="R167" s="325"/>
      <c r="S167" s="325"/>
      <c r="T167" s="325"/>
      <c r="U167" s="325"/>
      <c r="V167" s="325">
        <f>SUM(W167:AL167)</f>
        <v>0.11</v>
      </c>
      <c r="W167" s="325"/>
      <c r="X167" s="325"/>
      <c r="Y167" s="325"/>
      <c r="Z167" s="325"/>
      <c r="AA167" s="325"/>
      <c r="AB167" s="325"/>
      <c r="AC167" s="325"/>
      <c r="AD167" s="325"/>
      <c r="AE167" s="325"/>
      <c r="AF167" s="325"/>
      <c r="AG167" s="325">
        <v>0.11</v>
      </c>
      <c r="AH167" s="325"/>
      <c r="AI167" s="325"/>
      <c r="AJ167" s="325"/>
      <c r="AK167" s="325"/>
      <c r="AL167" s="325"/>
      <c r="AM167" s="325">
        <f>SUM(AN167:BC167)</f>
        <v>0.962</v>
      </c>
      <c r="AN167" s="325">
        <f t="shared" ref="AN167:BC167" si="194">F167+W167</f>
        <v>0</v>
      </c>
      <c r="AO167" s="325">
        <f t="shared" si="194"/>
        <v>0</v>
      </c>
      <c r="AP167" s="325">
        <f t="shared" si="194"/>
        <v>0</v>
      </c>
      <c r="AQ167" s="325">
        <f t="shared" si="194"/>
        <v>0</v>
      </c>
      <c r="AR167" s="325">
        <f t="shared" si="194"/>
        <v>0</v>
      </c>
      <c r="AS167" s="325">
        <f t="shared" si="194"/>
        <v>0</v>
      </c>
      <c r="AT167" s="325">
        <f t="shared" si="194"/>
        <v>0</v>
      </c>
      <c r="AU167" s="325">
        <f t="shared" si="194"/>
        <v>0</v>
      </c>
      <c r="AV167" s="325">
        <f t="shared" si="194"/>
        <v>0</v>
      </c>
      <c r="AW167" s="325">
        <f t="shared" si="194"/>
        <v>0</v>
      </c>
      <c r="AX167" s="325">
        <f t="shared" si="194"/>
        <v>0.962</v>
      </c>
      <c r="AY167" s="325">
        <f t="shared" si="194"/>
        <v>0</v>
      </c>
      <c r="AZ167" s="325">
        <f t="shared" si="194"/>
        <v>0</v>
      </c>
      <c r="BA167" s="325">
        <f t="shared" si="194"/>
        <v>0</v>
      </c>
      <c r="BB167" s="325">
        <f t="shared" si="194"/>
        <v>0</v>
      </c>
      <c r="BC167" s="325">
        <f t="shared" si="194"/>
        <v>0</v>
      </c>
      <c r="BD167" s="342"/>
      <c r="BE167" s="97"/>
    </row>
    <row r="168" s="311" customFormat="1" ht="20.15" customHeight="1" spans="1:57">
      <c r="A168" s="326"/>
      <c r="B168" s="327"/>
      <c r="C168" s="328" t="s">
        <v>148</v>
      </c>
      <c r="D168" s="329">
        <v>224</v>
      </c>
      <c r="E168" s="330">
        <f>SUM(E169)</f>
        <v>0</v>
      </c>
      <c r="F168" s="330">
        <f t="shared" ref="F168:BC168" si="195">SUM(F169)</f>
        <v>0</v>
      </c>
      <c r="G168" s="330">
        <f t="shared" si="195"/>
        <v>0</v>
      </c>
      <c r="H168" s="330">
        <f t="shared" si="195"/>
        <v>0</v>
      </c>
      <c r="I168" s="330">
        <f t="shared" si="195"/>
        <v>0</v>
      </c>
      <c r="J168" s="330">
        <f t="shared" si="195"/>
        <v>0</v>
      </c>
      <c r="K168" s="330">
        <f t="shared" si="195"/>
        <v>0</v>
      </c>
      <c r="L168" s="330">
        <f t="shared" si="195"/>
        <v>0</v>
      </c>
      <c r="M168" s="330">
        <f t="shared" si="195"/>
        <v>0</v>
      </c>
      <c r="N168" s="330">
        <f t="shared" si="195"/>
        <v>0</v>
      </c>
      <c r="O168" s="330">
        <f t="shared" si="195"/>
        <v>0</v>
      </c>
      <c r="P168" s="330">
        <f t="shared" si="195"/>
        <v>0</v>
      </c>
      <c r="Q168" s="330">
        <f t="shared" si="195"/>
        <v>0</v>
      </c>
      <c r="R168" s="330">
        <f t="shared" si="195"/>
        <v>0</v>
      </c>
      <c r="S168" s="330">
        <f t="shared" si="195"/>
        <v>0</v>
      </c>
      <c r="T168" s="330">
        <f t="shared" si="195"/>
        <v>0</v>
      </c>
      <c r="U168" s="330">
        <f t="shared" si="195"/>
        <v>0</v>
      </c>
      <c r="V168" s="330">
        <f t="shared" si="195"/>
        <v>0</v>
      </c>
      <c r="W168" s="330">
        <f t="shared" si="195"/>
        <v>0</v>
      </c>
      <c r="X168" s="330">
        <f t="shared" si="195"/>
        <v>0</v>
      </c>
      <c r="Y168" s="330">
        <f t="shared" si="195"/>
        <v>0</v>
      </c>
      <c r="Z168" s="330">
        <f t="shared" si="195"/>
        <v>0</v>
      </c>
      <c r="AA168" s="330">
        <f t="shared" si="195"/>
        <v>0</v>
      </c>
      <c r="AB168" s="330">
        <f t="shared" si="195"/>
        <v>0</v>
      </c>
      <c r="AC168" s="330">
        <f t="shared" si="195"/>
        <v>0</v>
      </c>
      <c r="AD168" s="330">
        <f t="shared" si="195"/>
        <v>0</v>
      </c>
      <c r="AE168" s="330">
        <f t="shared" si="195"/>
        <v>0</v>
      </c>
      <c r="AF168" s="330">
        <f t="shared" si="195"/>
        <v>0</v>
      </c>
      <c r="AG168" s="330">
        <f t="shared" si="195"/>
        <v>0</v>
      </c>
      <c r="AH168" s="330">
        <f t="shared" si="195"/>
        <v>0</v>
      </c>
      <c r="AI168" s="330">
        <f t="shared" si="195"/>
        <v>0</v>
      </c>
      <c r="AJ168" s="330">
        <f t="shared" si="195"/>
        <v>0</v>
      </c>
      <c r="AK168" s="330">
        <f t="shared" si="195"/>
        <v>0</v>
      </c>
      <c r="AL168" s="330">
        <f t="shared" si="195"/>
        <v>0</v>
      </c>
      <c r="AM168" s="330">
        <f t="shared" si="195"/>
        <v>0</v>
      </c>
      <c r="AN168" s="330">
        <f t="shared" si="195"/>
        <v>0</v>
      </c>
      <c r="AO168" s="330">
        <f t="shared" si="195"/>
        <v>0</v>
      </c>
      <c r="AP168" s="330">
        <f t="shared" si="195"/>
        <v>0</v>
      </c>
      <c r="AQ168" s="330">
        <f t="shared" si="195"/>
        <v>0</v>
      </c>
      <c r="AR168" s="330">
        <f t="shared" si="195"/>
        <v>0</v>
      </c>
      <c r="AS168" s="330">
        <f t="shared" si="195"/>
        <v>0</v>
      </c>
      <c r="AT168" s="330">
        <f t="shared" si="195"/>
        <v>0</v>
      </c>
      <c r="AU168" s="330">
        <f t="shared" si="195"/>
        <v>0</v>
      </c>
      <c r="AV168" s="330">
        <f t="shared" si="195"/>
        <v>0</v>
      </c>
      <c r="AW168" s="330">
        <f t="shared" si="195"/>
        <v>0</v>
      </c>
      <c r="AX168" s="330">
        <f t="shared" si="195"/>
        <v>0</v>
      </c>
      <c r="AY168" s="330">
        <f t="shared" si="195"/>
        <v>0</v>
      </c>
      <c r="AZ168" s="330">
        <f t="shared" si="195"/>
        <v>0</v>
      </c>
      <c r="BA168" s="330">
        <f t="shared" si="195"/>
        <v>0</v>
      </c>
      <c r="BB168" s="330">
        <f t="shared" si="195"/>
        <v>0</v>
      </c>
      <c r="BC168" s="330">
        <f t="shared" si="195"/>
        <v>0</v>
      </c>
      <c r="BD168" s="341"/>
      <c r="BE168" s="346"/>
    </row>
    <row r="169" ht="24" spans="1:57">
      <c r="A169" s="304" t="s">
        <v>290</v>
      </c>
      <c r="B169" s="304" t="s">
        <v>196</v>
      </c>
      <c r="C169" s="304" t="s">
        <v>728</v>
      </c>
      <c r="D169" s="347" t="s">
        <v>725</v>
      </c>
      <c r="E169" s="325">
        <f>SUM(F169:U169)</f>
        <v>0</v>
      </c>
      <c r="F169" s="325"/>
      <c r="G169" s="325"/>
      <c r="H169" s="325"/>
      <c r="I169" s="325"/>
      <c r="J169" s="325"/>
      <c r="K169" s="325"/>
      <c r="L169" s="325"/>
      <c r="M169" s="325"/>
      <c r="N169" s="325"/>
      <c r="O169" s="325"/>
      <c r="P169" s="325"/>
      <c r="Q169" s="325"/>
      <c r="R169" s="325"/>
      <c r="S169" s="325"/>
      <c r="T169" s="325"/>
      <c r="U169" s="325"/>
      <c r="V169" s="325">
        <f>SUM(W169:AL169)</f>
        <v>0</v>
      </c>
      <c r="W169" s="325"/>
      <c r="X169" s="325"/>
      <c r="Y169" s="325"/>
      <c r="Z169" s="325"/>
      <c r="AA169" s="325"/>
      <c r="AB169" s="325"/>
      <c r="AC169" s="325"/>
      <c r="AD169" s="325"/>
      <c r="AE169" s="325"/>
      <c r="AF169" s="325"/>
      <c r="AG169" s="325"/>
      <c r="AH169" s="325"/>
      <c r="AI169" s="325"/>
      <c r="AJ169" s="325"/>
      <c r="AK169" s="325"/>
      <c r="AL169" s="325"/>
      <c r="AM169" s="325">
        <f>SUM(AN169:BC169)</f>
        <v>0</v>
      </c>
      <c r="AN169" s="325">
        <f t="shared" ref="AN169:BC169" si="196">F169+W169</f>
        <v>0</v>
      </c>
      <c r="AO169" s="325">
        <f t="shared" si="196"/>
        <v>0</v>
      </c>
      <c r="AP169" s="325">
        <f t="shared" si="196"/>
        <v>0</v>
      </c>
      <c r="AQ169" s="325">
        <f t="shared" si="196"/>
        <v>0</v>
      </c>
      <c r="AR169" s="325">
        <f t="shared" si="196"/>
        <v>0</v>
      </c>
      <c r="AS169" s="325">
        <f t="shared" si="196"/>
        <v>0</v>
      </c>
      <c r="AT169" s="325">
        <f t="shared" si="196"/>
        <v>0</v>
      </c>
      <c r="AU169" s="325">
        <f t="shared" si="196"/>
        <v>0</v>
      </c>
      <c r="AV169" s="325">
        <f t="shared" si="196"/>
        <v>0</v>
      </c>
      <c r="AW169" s="325">
        <f t="shared" si="196"/>
        <v>0</v>
      </c>
      <c r="AX169" s="325">
        <f t="shared" si="196"/>
        <v>0</v>
      </c>
      <c r="AY169" s="325">
        <f t="shared" si="196"/>
        <v>0</v>
      </c>
      <c r="AZ169" s="325">
        <f t="shared" si="196"/>
        <v>0</v>
      </c>
      <c r="BA169" s="325">
        <f t="shared" si="196"/>
        <v>0</v>
      </c>
      <c r="BB169" s="325">
        <f t="shared" si="196"/>
        <v>0</v>
      </c>
      <c r="BC169" s="325">
        <f t="shared" si="196"/>
        <v>0</v>
      </c>
      <c r="BD169" s="342"/>
      <c r="BE169" s="97"/>
    </row>
  </sheetData>
  <autoFilter ref="A6:XFD169">
    <extLst/>
  </autoFilter>
  <sortState ref="A59:BE98">
    <sortCondition ref="C59:C98"/>
  </sortState>
  <mergeCells count="12">
    <mergeCell ref="E3:U3"/>
    <mergeCell ref="V3:AL3"/>
    <mergeCell ref="AM3:BC3"/>
    <mergeCell ref="E4:U4"/>
    <mergeCell ref="V4:AL4"/>
    <mergeCell ref="AM4:BC4"/>
    <mergeCell ref="A3:A5"/>
    <mergeCell ref="B3:B5"/>
    <mergeCell ref="C3:C5"/>
    <mergeCell ref="D3:D5"/>
    <mergeCell ref="BD3:BD5"/>
    <mergeCell ref="BE3:BE5"/>
  </mergeCells>
  <pageMargins left="0.75" right="0.75" top="1" bottom="1" header="0.509027777777778" footer="0.509027777777778"/>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B401"/>
  <sheetViews>
    <sheetView view="pageBreakPreview" zoomScaleNormal="90" workbookViewId="0">
      <pane xSplit="5" ySplit="9" topLeftCell="AC256" activePane="bottomRight" state="frozen"/>
      <selection/>
      <selection pane="topRight"/>
      <selection pane="bottomLeft"/>
      <selection pane="bottomRight" activeCell="BB7" sqref="BB7"/>
    </sheetView>
  </sheetViews>
  <sheetFormatPr defaultColWidth="9" defaultRowHeight="13.5"/>
  <cols>
    <col min="1" max="1" width="4.5" style="261" customWidth="1"/>
    <col min="2" max="2" width="8" style="262" hidden="1" customWidth="1"/>
    <col min="3" max="3" width="5.83333333333333" style="261" customWidth="1"/>
    <col min="4" max="4" width="21.1333333333333" style="203" customWidth="1"/>
    <col min="5" max="5" width="8.86666666666667" style="206" hidden="1" customWidth="1"/>
    <col min="6" max="6" width="9.86666666666667" style="203" customWidth="1"/>
    <col min="7" max="7" width="9.5" style="203" hidden="1" customWidth="1"/>
    <col min="8" max="8" width="8.86666666666667" style="203" hidden="1" customWidth="1"/>
    <col min="9" max="9" width="10.8666666666667" style="203" hidden="1" customWidth="1"/>
    <col min="10" max="10" width="8.5" style="203" hidden="1" customWidth="1"/>
    <col min="11" max="11" width="9.63333333333333" style="203" hidden="1" customWidth="1"/>
    <col min="12" max="12" width="19.375" style="262" hidden="1" customWidth="1"/>
    <col min="13" max="13" width="10.725" style="203" hidden="1" customWidth="1"/>
    <col min="14" max="14" width="11.1333333333333" style="203" hidden="1" customWidth="1"/>
    <col min="15" max="15" width="26" style="263" hidden="1" customWidth="1"/>
    <col min="16" max="17" width="11.9083333333333" style="203" hidden="1" customWidth="1"/>
    <col min="18" max="18" width="11.2583333333333" style="203" hidden="1" customWidth="1"/>
    <col min="19" max="19" width="10.3666666666667" style="203" hidden="1" customWidth="1"/>
    <col min="20" max="21" width="9" style="203" hidden="1" customWidth="1"/>
    <col min="22" max="22" width="10.3666666666667" style="203" customWidth="1"/>
    <col min="23" max="23" width="7.5" style="203" customWidth="1"/>
    <col min="24" max="24" width="7.75833333333333" style="203" customWidth="1"/>
    <col min="25" max="25" width="11.1333333333333" style="203" customWidth="1"/>
    <col min="26" max="26" width="10.5" style="203" customWidth="1"/>
    <col min="27" max="27" width="9.375" style="203"/>
    <col min="28" max="28" width="10.375" style="203"/>
    <col min="29" max="29" width="10.375" style="203" customWidth="1"/>
    <col min="30" max="30" width="9" style="203"/>
    <col min="31" max="31" width="23.3666666666667" style="203" customWidth="1"/>
    <col min="32" max="33" width="9" style="203" hidden="1" customWidth="1"/>
    <col min="34" max="34" width="10.875" style="203" hidden="1" customWidth="1"/>
    <col min="35" max="35" width="9.5" style="203" hidden="1" customWidth="1"/>
    <col min="36" max="37" width="9" style="203" hidden="1" customWidth="1"/>
    <col min="38" max="38" width="9.725" style="203" customWidth="1"/>
    <col min="39" max="39" width="8.86666666666667" style="203" customWidth="1"/>
    <col min="40" max="40" width="7.725" style="203" customWidth="1"/>
    <col min="41" max="41" width="11.8666666666667" style="203" customWidth="1"/>
    <col min="42" max="42" width="9" style="203" customWidth="1"/>
    <col min="43" max="43" width="8.36666666666667" style="203" customWidth="1"/>
    <col min="44" max="44" width="9.36666666666667" style="203" customWidth="1"/>
    <col min="45" max="45" width="11.1333333333333" style="203" hidden="1" customWidth="1"/>
    <col min="46" max="46" width="9.36666666666667" style="203" customWidth="1"/>
    <col min="47" max="48" width="10.3666666666667" style="203" customWidth="1"/>
    <col min="49" max="49" width="9.36666666666667" style="203" customWidth="1"/>
    <col min="50" max="50" width="9.58333333333333" style="203" customWidth="1"/>
    <col min="51" max="51" width="9" style="203" customWidth="1"/>
    <col min="52" max="52" width="9" style="203" hidden="1" customWidth="1"/>
    <col min="53" max="53" width="9.125" style="203" customWidth="1"/>
    <col min="54" max="54" width="9.375" style="203"/>
    <col min="55" max="16384" width="9" style="203"/>
  </cols>
  <sheetData>
    <row r="1" ht="30" customHeight="1" spans="1:51">
      <c r="A1" s="264"/>
      <c r="B1" s="265"/>
      <c r="C1" s="266" t="s">
        <v>934</v>
      </c>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c r="AY1" s="266"/>
    </row>
    <row r="2" s="257" customFormat="1" spans="1:51">
      <c r="A2" s="267"/>
      <c r="B2" s="268"/>
      <c r="C2" s="267"/>
      <c r="D2" s="267"/>
      <c r="E2" s="267"/>
      <c r="F2" s="267"/>
      <c r="G2" s="267"/>
      <c r="H2" s="267"/>
      <c r="I2" s="267"/>
      <c r="J2" s="267"/>
      <c r="K2" s="267"/>
      <c r="L2" s="267"/>
      <c r="M2" s="267"/>
      <c r="N2" s="267"/>
      <c r="O2" s="267"/>
      <c r="P2" s="286"/>
      <c r="Q2" s="286"/>
      <c r="R2" s="286"/>
      <c r="S2" s="286"/>
      <c r="T2" s="286"/>
      <c r="U2" s="286"/>
      <c r="AX2" s="300" t="s">
        <v>2</v>
      </c>
      <c r="AY2" s="300"/>
    </row>
    <row r="3" s="258" customFormat="1" ht="21" customHeight="1" spans="1:53">
      <c r="A3" s="269" t="s">
        <v>935</v>
      </c>
      <c r="B3" s="94" t="s">
        <v>162</v>
      </c>
      <c r="C3" s="270" t="s">
        <v>163</v>
      </c>
      <c r="D3" s="271" t="s">
        <v>164</v>
      </c>
      <c r="E3" s="271" t="s">
        <v>165</v>
      </c>
      <c r="F3" s="31" t="s">
        <v>122</v>
      </c>
      <c r="G3" s="31"/>
      <c r="H3" s="31"/>
      <c r="I3" s="31"/>
      <c r="J3" s="31"/>
      <c r="K3" s="31"/>
      <c r="L3" s="31"/>
      <c r="M3" s="31"/>
      <c r="N3" s="31"/>
      <c r="O3" s="31"/>
      <c r="P3" s="31"/>
      <c r="Q3" s="31"/>
      <c r="R3" s="31"/>
      <c r="S3" s="31"/>
      <c r="T3" s="31"/>
      <c r="U3" s="31"/>
      <c r="V3" s="292" t="s">
        <v>758</v>
      </c>
      <c r="W3" s="293"/>
      <c r="X3" s="293"/>
      <c r="Y3" s="293"/>
      <c r="Z3" s="293"/>
      <c r="AA3" s="293"/>
      <c r="AB3" s="293"/>
      <c r="AC3" s="293"/>
      <c r="AD3" s="293"/>
      <c r="AE3" s="293"/>
      <c r="AF3" s="293"/>
      <c r="AG3" s="293"/>
      <c r="AH3" s="293"/>
      <c r="AI3" s="293"/>
      <c r="AJ3" s="293"/>
      <c r="AK3" s="293"/>
      <c r="AL3" s="218" t="s">
        <v>759</v>
      </c>
      <c r="AM3" s="218"/>
      <c r="AN3" s="218"/>
      <c r="AO3" s="218"/>
      <c r="AP3" s="218"/>
      <c r="AQ3" s="218"/>
      <c r="AR3" s="218"/>
      <c r="AS3" s="218"/>
      <c r="AT3" s="218"/>
      <c r="AU3" s="218"/>
      <c r="AV3" s="218"/>
      <c r="AW3" s="218"/>
      <c r="AX3" s="218"/>
      <c r="AY3" s="218"/>
      <c r="AZ3" s="292"/>
      <c r="BA3" s="218" t="s">
        <v>936</v>
      </c>
    </row>
    <row r="4" s="258" customFormat="1" ht="12" spans="1:53">
      <c r="A4" s="272"/>
      <c r="B4" s="94"/>
      <c r="C4" s="273"/>
      <c r="D4" s="271"/>
      <c r="E4" s="271"/>
      <c r="F4" s="274" t="s">
        <v>124</v>
      </c>
      <c r="G4" s="275" t="s">
        <v>937</v>
      </c>
      <c r="H4" s="274" t="s">
        <v>938</v>
      </c>
      <c r="I4" s="275" t="s">
        <v>939</v>
      </c>
      <c r="J4" s="94" t="s">
        <v>940</v>
      </c>
      <c r="K4" s="94" t="s">
        <v>941</v>
      </c>
      <c r="L4" s="287" t="s">
        <v>942</v>
      </c>
      <c r="M4" s="288" t="s">
        <v>943</v>
      </c>
      <c r="N4" s="94" t="s">
        <v>944</v>
      </c>
      <c r="O4" s="287" t="s">
        <v>945</v>
      </c>
      <c r="P4" s="94" t="s">
        <v>946</v>
      </c>
      <c r="Q4" s="94"/>
      <c r="R4" s="94"/>
      <c r="S4" s="94"/>
      <c r="T4" s="94"/>
      <c r="U4" s="94"/>
      <c r="V4" s="94" t="s">
        <v>124</v>
      </c>
      <c r="W4" s="94" t="s">
        <v>937</v>
      </c>
      <c r="X4" s="94" t="s">
        <v>938</v>
      </c>
      <c r="Y4" s="94" t="s">
        <v>939</v>
      </c>
      <c r="Z4" s="94" t="s">
        <v>940</v>
      </c>
      <c r="AA4" s="94" t="s">
        <v>941</v>
      </c>
      <c r="AB4" s="94" t="s">
        <v>947</v>
      </c>
      <c r="AC4" s="94" t="s">
        <v>948</v>
      </c>
      <c r="AD4" s="94" t="s">
        <v>944</v>
      </c>
      <c r="AE4" s="287" t="s">
        <v>760</v>
      </c>
      <c r="AF4" s="94" t="s">
        <v>946</v>
      </c>
      <c r="AG4" s="94"/>
      <c r="AH4" s="94"/>
      <c r="AI4" s="94"/>
      <c r="AJ4" s="94"/>
      <c r="AK4" s="94"/>
      <c r="AL4" s="94" t="s">
        <v>124</v>
      </c>
      <c r="AM4" s="94" t="s">
        <v>937</v>
      </c>
      <c r="AN4" s="94" t="s">
        <v>938</v>
      </c>
      <c r="AO4" s="94" t="s">
        <v>939</v>
      </c>
      <c r="AP4" s="94" t="s">
        <v>940</v>
      </c>
      <c r="AQ4" s="94" t="s">
        <v>941</v>
      </c>
      <c r="AR4" s="94" t="s">
        <v>947</v>
      </c>
      <c r="AS4" s="94" t="s">
        <v>948</v>
      </c>
      <c r="AT4" s="94" t="s">
        <v>944</v>
      </c>
      <c r="AU4" s="94" t="s">
        <v>946</v>
      </c>
      <c r="AV4" s="94"/>
      <c r="AW4" s="94"/>
      <c r="AX4" s="94"/>
      <c r="AY4" s="94"/>
      <c r="AZ4" s="290"/>
      <c r="BA4" s="218"/>
    </row>
    <row r="5" s="258" customFormat="1" ht="12" spans="1:53">
      <c r="A5" s="272"/>
      <c r="B5" s="94"/>
      <c r="C5" s="273"/>
      <c r="D5" s="271"/>
      <c r="E5" s="271"/>
      <c r="F5" s="274"/>
      <c r="G5" s="275"/>
      <c r="H5" s="274"/>
      <c r="I5" s="275"/>
      <c r="J5" s="94"/>
      <c r="K5" s="94"/>
      <c r="L5" s="289"/>
      <c r="M5" s="275"/>
      <c r="N5" s="94"/>
      <c r="O5" s="289"/>
      <c r="P5" s="290" t="s">
        <v>949</v>
      </c>
      <c r="Q5" s="294"/>
      <c r="R5" s="294"/>
      <c r="S5" s="271"/>
      <c r="T5" s="295" t="s">
        <v>950</v>
      </c>
      <c r="U5" s="295" t="s">
        <v>951</v>
      </c>
      <c r="V5" s="94"/>
      <c r="W5" s="94"/>
      <c r="X5" s="94"/>
      <c r="Y5" s="94"/>
      <c r="Z5" s="94"/>
      <c r="AA5" s="94"/>
      <c r="AB5" s="94"/>
      <c r="AC5" s="94"/>
      <c r="AD5" s="94"/>
      <c r="AE5" s="289"/>
      <c r="AF5" s="290" t="s">
        <v>949</v>
      </c>
      <c r="AG5" s="294"/>
      <c r="AH5" s="294"/>
      <c r="AI5" s="271"/>
      <c r="AJ5" s="295" t="s">
        <v>950</v>
      </c>
      <c r="AK5" s="295" t="s">
        <v>951</v>
      </c>
      <c r="AL5" s="94"/>
      <c r="AM5" s="94"/>
      <c r="AN5" s="94"/>
      <c r="AO5" s="94"/>
      <c r="AP5" s="94"/>
      <c r="AQ5" s="94"/>
      <c r="AR5" s="94"/>
      <c r="AS5" s="94"/>
      <c r="AT5" s="94"/>
      <c r="AU5" s="290" t="s">
        <v>949</v>
      </c>
      <c r="AV5" s="294"/>
      <c r="AW5" s="294"/>
      <c r="AX5" s="271"/>
      <c r="AY5" s="295" t="s">
        <v>950</v>
      </c>
      <c r="AZ5" s="301" t="s">
        <v>951</v>
      </c>
      <c r="BA5" s="218"/>
    </row>
    <row r="6" s="258" customFormat="1" ht="24" customHeight="1" spans="1:53">
      <c r="A6" s="276"/>
      <c r="B6" s="94"/>
      <c r="C6" s="277"/>
      <c r="D6" s="271"/>
      <c r="E6" s="271"/>
      <c r="F6" s="94"/>
      <c r="G6" s="274"/>
      <c r="H6" s="94"/>
      <c r="I6" s="274"/>
      <c r="J6" s="94"/>
      <c r="K6" s="94"/>
      <c r="L6" s="291"/>
      <c r="M6" s="274"/>
      <c r="N6" s="94"/>
      <c r="O6" s="291"/>
      <c r="P6" s="115" t="s">
        <v>129</v>
      </c>
      <c r="Q6" s="115" t="s">
        <v>952</v>
      </c>
      <c r="R6" s="115" t="s">
        <v>953</v>
      </c>
      <c r="S6" s="115" t="s">
        <v>954</v>
      </c>
      <c r="T6" s="296"/>
      <c r="U6" s="296"/>
      <c r="V6" s="94"/>
      <c r="W6" s="94"/>
      <c r="X6" s="94"/>
      <c r="Y6" s="94"/>
      <c r="Z6" s="94"/>
      <c r="AA6" s="94"/>
      <c r="AB6" s="94"/>
      <c r="AC6" s="94"/>
      <c r="AD6" s="94"/>
      <c r="AE6" s="291"/>
      <c r="AF6" s="115" t="s">
        <v>129</v>
      </c>
      <c r="AG6" s="115" t="s">
        <v>952</v>
      </c>
      <c r="AH6" s="115" t="s">
        <v>953</v>
      </c>
      <c r="AI6" s="115" t="s">
        <v>954</v>
      </c>
      <c r="AJ6" s="296"/>
      <c r="AK6" s="296"/>
      <c r="AL6" s="94"/>
      <c r="AM6" s="94"/>
      <c r="AN6" s="94"/>
      <c r="AO6" s="94"/>
      <c r="AP6" s="94"/>
      <c r="AQ6" s="94"/>
      <c r="AR6" s="94"/>
      <c r="AS6" s="94"/>
      <c r="AT6" s="94"/>
      <c r="AU6" s="115" t="s">
        <v>129</v>
      </c>
      <c r="AV6" s="115" t="s">
        <v>952</v>
      </c>
      <c r="AW6" s="115" t="s">
        <v>953</v>
      </c>
      <c r="AX6" s="115" t="s">
        <v>954</v>
      </c>
      <c r="AY6" s="296"/>
      <c r="AZ6" s="302"/>
      <c r="BA6" s="218"/>
    </row>
    <row r="7" s="259" customFormat="1" ht="19" customHeight="1" spans="1:54">
      <c r="A7" s="278"/>
      <c r="B7" s="279"/>
      <c r="C7" s="280"/>
      <c r="D7" s="280" t="s">
        <v>124</v>
      </c>
      <c r="E7" s="280"/>
      <c r="F7" s="281">
        <f t="shared" ref="F7:K7" si="0">F8+F178+F191+F248+F251+F265+F289+F302+F304+F320+F362+F370+F376+F388+F373+F399</f>
        <v>27872.882</v>
      </c>
      <c r="G7" s="281">
        <f t="shared" si="0"/>
        <v>3382.09</v>
      </c>
      <c r="H7" s="281">
        <f t="shared" si="0"/>
        <v>184.4</v>
      </c>
      <c r="I7" s="281">
        <f t="shared" si="0"/>
        <v>1160.032</v>
      </c>
      <c r="J7" s="281">
        <f t="shared" si="0"/>
        <v>3912.87</v>
      </c>
      <c r="K7" s="281">
        <f t="shared" si="0"/>
        <v>4109.82</v>
      </c>
      <c r="L7" s="281"/>
      <c r="M7" s="281">
        <f>M8+M178+M191+M248+M251+M265+M289+M302+M304+M320+M362+M370+M376+M388+M373+M399</f>
        <v>5688</v>
      </c>
      <c r="N7" s="281">
        <f>N8+N178+N191+N248+N251+N265+N289+N302+N304+N320+N362+N370+N376+N388+N373+N399</f>
        <v>9435.67</v>
      </c>
      <c r="O7" s="281"/>
      <c r="P7" s="281">
        <f>P8+P178+P191+P248+P251+P265+P289+P302+P304+P320+P362+P370+P376+P388+P373+P399</f>
        <v>27872.882</v>
      </c>
      <c r="Q7" s="281">
        <f>Q8+Q178+Q191+Q248+Q251+Q265+Q289+Q302+Q304+Q320+Q362+Q370+Q376+Q388+Q373+Q399</f>
        <v>22184.882</v>
      </c>
      <c r="R7" s="281">
        <f t="shared" ref="R7:AZ7" si="1">R8+R178+R191+R248+R251+R265+R289+R302+R304+R320+R362+R370+R376+R388+R373+R399</f>
        <v>2318</v>
      </c>
      <c r="S7" s="281">
        <f t="shared" si="1"/>
        <v>3370</v>
      </c>
      <c r="T7" s="281">
        <f t="shared" si="1"/>
        <v>0</v>
      </c>
      <c r="U7" s="281">
        <f t="shared" si="1"/>
        <v>0</v>
      </c>
      <c r="V7" s="281">
        <f t="shared" si="1"/>
        <v>562.326171</v>
      </c>
      <c r="W7" s="281">
        <f t="shared" si="1"/>
        <v>18.17</v>
      </c>
      <c r="X7" s="281">
        <f t="shared" si="1"/>
        <v>0</v>
      </c>
      <c r="Y7" s="281">
        <f t="shared" si="1"/>
        <v>20.85</v>
      </c>
      <c r="Z7" s="281">
        <f t="shared" si="1"/>
        <v>-68.944629</v>
      </c>
      <c r="AA7" s="281">
        <f t="shared" si="1"/>
        <v>0</v>
      </c>
      <c r="AB7" s="281">
        <f t="shared" si="1"/>
        <v>491.8</v>
      </c>
      <c r="AC7" s="281">
        <f t="shared" si="1"/>
        <v>0</v>
      </c>
      <c r="AD7" s="281">
        <f t="shared" si="1"/>
        <v>100.4508</v>
      </c>
      <c r="AE7" s="281"/>
      <c r="AF7" s="281">
        <f t="shared" si="1"/>
        <v>-1568.003829</v>
      </c>
      <c r="AG7" s="281">
        <f t="shared" si="1"/>
        <v>1417.266171</v>
      </c>
      <c r="AH7" s="281">
        <f t="shared" si="1"/>
        <v>-1473.15</v>
      </c>
      <c r="AI7" s="281">
        <f t="shared" si="1"/>
        <v>-1512.12</v>
      </c>
      <c r="AJ7" s="281">
        <f t="shared" si="1"/>
        <v>2130.33</v>
      </c>
      <c r="AK7" s="281">
        <f t="shared" si="1"/>
        <v>0</v>
      </c>
      <c r="AL7" s="281">
        <f t="shared" si="1"/>
        <v>28435.208171</v>
      </c>
      <c r="AM7" s="281">
        <f t="shared" si="1"/>
        <v>3400.26</v>
      </c>
      <c r="AN7" s="281">
        <f t="shared" si="1"/>
        <v>184.4</v>
      </c>
      <c r="AO7" s="281">
        <f t="shared" si="1"/>
        <v>1180.882</v>
      </c>
      <c r="AP7" s="281">
        <f t="shared" si="1"/>
        <v>3843.925371</v>
      </c>
      <c r="AQ7" s="281">
        <f t="shared" si="1"/>
        <v>4109.82</v>
      </c>
      <c r="AR7" s="281">
        <f t="shared" si="1"/>
        <v>6179.8</v>
      </c>
      <c r="AS7" s="281">
        <f t="shared" si="1"/>
        <v>0</v>
      </c>
      <c r="AT7" s="281">
        <f t="shared" si="1"/>
        <v>9536.1208</v>
      </c>
      <c r="AU7" s="281">
        <f t="shared" si="1"/>
        <v>26304.878171</v>
      </c>
      <c r="AV7" s="281">
        <f t="shared" si="1"/>
        <v>23602.148171</v>
      </c>
      <c r="AW7" s="281">
        <f t="shared" si="1"/>
        <v>844.85</v>
      </c>
      <c r="AX7" s="281">
        <f t="shared" si="1"/>
        <v>1857.88</v>
      </c>
      <c r="AY7" s="281">
        <f t="shared" si="1"/>
        <v>2130.33</v>
      </c>
      <c r="AZ7" s="281">
        <f t="shared" si="1"/>
        <v>0</v>
      </c>
      <c r="BA7" s="303">
        <f>SUM(BA8:BA401)</f>
        <v>15624.868185</v>
      </c>
      <c r="BB7" s="259">
        <v>7355.974</v>
      </c>
    </row>
    <row r="8" s="259" customFormat="1" ht="19" customHeight="1" spans="1:53">
      <c r="A8" s="99">
        <v>1</v>
      </c>
      <c r="B8" s="279"/>
      <c r="C8" s="280" t="s">
        <v>744</v>
      </c>
      <c r="D8" s="282" t="s">
        <v>132</v>
      </c>
      <c r="E8" s="280">
        <v>201</v>
      </c>
      <c r="F8" s="281">
        <f t="shared" ref="F8:K8" si="2">SUM(F9:F177)</f>
        <v>12090.636</v>
      </c>
      <c r="G8" s="281">
        <f t="shared" si="2"/>
        <v>1623.5</v>
      </c>
      <c r="H8" s="281">
        <f t="shared" si="2"/>
        <v>86.4</v>
      </c>
      <c r="I8" s="281">
        <f t="shared" si="2"/>
        <v>618.786</v>
      </c>
      <c r="J8" s="281">
        <f t="shared" si="2"/>
        <v>0</v>
      </c>
      <c r="K8" s="281">
        <f t="shared" si="2"/>
        <v>3389.32</v>
      </c>
      <c r="L8" s="281"/>
      <c r="M8" s="281">
        <f>SUM(M9:M177)</f>
        <v>2748</v>
      </c>
      <c r="N8" s="281">
        <f>SUM(N9:N177)</f>
        <v>3624.63</v>
      </c>
      <c r="O8" s="281"/>
      <c r="P8" s="281">
        <f t="shared" ref="P8:V8" si="3">SUM(P9:P177)</f>
        <v>12090.636</v>
      </c>
      <c r="Q8" s="281">
        <f t="shared" si="3"/>
        <v>9342.63599999999</v>
      </c>
      <c r="R8" s="281">
        <f t="shared" si="3"/>
        <v>214</v>
      </c>
      <c r="S8" s="281">
        <f t="shared" si="3"/>
        <v>2534</v>
      </c>
      <c r="T8" s="281">
        <f t="shared" si="3"/>
        <v>0</v>
      </c>
      <c r="U8" s="281">
        <f t="shared" si="3"/>
        <v>0</v>
      </c>
      <c r="V8" s="297">
        <f t="shared" si="3"/>
        <v>1571.2358</v>
      </c>
      <c r="W8" s="297">
        <f t="shared" ref="W8:AD8" si="4">SUM(W9:W177)</f>
        <v>16.8</v>
      </c>
      <c r="X8" s="297">
        <f t="shared" si="4"/>
        <v>0</v>
      </c>
      <c r="Y8" s="297">
        <f t="shared" si="4"/>
        <v>35.635</v>
      </c>
      <c r="Z8" s="297">
        <f t="shared" si="4"/>
        <v>0</v>
      </c>
      <c r="AA8" s="297">
        <f t="shared" si="4"/>
        <v>0</v>
      </c>
      <c r="AB8" s="297">
        <f t="shared" si="4"/>
        <v>1603.5</v>
      </c>
      <c r="AC8" s="297">
        <f t="shared" si="4"/>
        <v>0</v>
      </c>
      <c r="AD8" s="297">
        <f t="shared" si="4"/>
        <v>-84.6992</v>
      </c>
      <c r="AE8" s="297"/>
      <c r="AF8" s="281">
        <f t="shared" ref="AF8:AL8" si="5">SUM(AF9:AF177)</f>
        <v>-469.7542</v>
      </c>
      <c r="AG8" s="281">
        <f t="shared" si="5"/>
        <v>1354.4758</v>
      </c>
      <c r="AH8" s="281">
        <f t="shared" si="5"/>
        <v>-99</v>
      </c>
      <c r="AI8" s="281">
        <f t="shared" si="5"/>
        <v>-1725.23</v>
      </c>
      <c r="AJ8" s="281">
        <f t="shared" si="5"/>
        <v>2040.99</v>
      </c>
      <c r="AK8" s="281">
        <f t="shared" si="5"/>
        <v>0</v>
      </c>
      <c r="AL8" s="297">
        <f t="shared" si="5"/>
        <v>13661.8718</v>
      </c>
      <c r="AM8" s="297">
        <f t="shared" ref="AM8:AZ8" si="6">SUM(AM9:AM177)</f>
        <v>1640.3</v>
      </c>
      <c r="AN8" s="297">
        <f t="shared" si="6"/>
        <v>86.4</v>
      </c>
      <c r="AO8" s="297">
        <f t="shared" si="6"/>
        <v>654.421</v>
      </c>
      <c r="AP8" s="297">
        <f t="shared" si="6"/>
        <v>0</v>
      </c>
      <c r="AQ8" s="297">
        <f t="shared" si="6"/>
        <v>3389.32</v>
      </c>
      <c r="AR8" s="297">
        <f t="shared" si="6"/>
        <v>4351.5</v>
      </c>
      <c r="AS8" s="297">
        <f t="shared" si="6"/>
        <v>0</v>
      </c>
      <c r="AT8" s="297">
        <f t="shared" si="6"/>
        <v>3539.9308</v>
      </c>
      <c r="AU8" s="297">
        <f t="shared" si="6"/>
        <v>11620.8818</v>
      </c>
      <c r="AV8" s="297">
        <f t="shared" si="6"/>
        <v>10697.1118</v>
      </c>
      <c r="AW8" s="297">
        <f t="shared" si="6"/>
        <v>115</v>
      </c>
      <c r="AX8" s="297">
        <f t="shared" si="6"/>
        <v>808.77</v>
      </c>
      <c r="AY8" s="297">
        <f t="shared" si="6"/>
        <v>2040.99</v>
      </c>
      <c r="AZ8" s="297">
        <f t="shared" si="6"/>
        <v>0</v>
      </c>
      <c r="BA8" s="281"/>
    </row>
    <row r="9" s="258" customFormat="1" ht="24" spans="1:53">
      <c r="A9" s="283">
        <v>2</v>
      </c>
      <c r="B9" s="284" t="s">
        <v>195</v>
      </c>
      <c r="C9" s="284" t="s">
        <v>196</v>
      </c>
      <c r="D9" s="284" t="s">
        <v>197</v>
      </c>
      <c r="E9" s="284" t="s">
        <v>198</v>
      </c>
      <c r="F9" s="285">
        <f>SUM(G9:N9)</f>
        <v>164.272</v>
      </c>
      <c r="G9" s="285">
        <v>60</v>
      </c>
      <c r="H9" s="285"/>
      <c r="I9" s="285">
        <v>19.272</v>
      </c>
      <c r="J9" s="285"/>
      <c r="K9" s="285"/>
      <c r="L9" s="285"/>
      <c r="M9" s="285"/>
      <c r="N9" s="285">
        <v>85</v>
      </c>
      <c r="O9" s="285" t="s">
        <v>955</v>
      </c>
      <c r="P9" s="285">
        <f t="shared" ref="P9:P72" si="7">SUM(Q9:S9)</f>
        <v>164.272</v>
      </c>
      <c r="Q9" s="285">
        <v>164.272</v>
      </c>
      <c r="R9" s="285"/>
      <c r="S9" s="285"/>
      <c r="T9" s="285"/>
      <c r="U9" s="285"/>
      <c r="V9" s="298">
        <f>SUM(W9:AD9)</f>
        <v>7.85</v>
      </c>
      <c r="W9" s="298"/>
      <c r="X9" s="298"/>
      <c r="Y9" s="298">
        <v>7.14</v>
      </c>
      <c r="Z9" s="298"/>
      <c r="AA9" s="298"/>
      <c r="AB9" s="298">
        <v>0.71</v>
      </c>
      <c r="AC9" s="298"/>
      <c r="AD9" s="298"/>
      <c r="AE9" s="285" t="s">
        <v>956</v>
      </c>
      <c r="AF9" s="299">
        <f t="shared" ref="AF9:AF72" si="8">SUM(AG9:AI9)</f>
        <v>7.85000000000001</v>
      </c>
      <c r="AG9" s="299">
        <f t="shared" ref="AG9:AG72" si="9">AV9-Q9</f>
        <v>7.14000000000001</v>
      </c>
      <c r="AH9" s="299">
        <f t="shared" ref="AH9:AH72" si="10">AW9-R9</f>
        <v>0</v>
      </c>
      <c r="AI9" s="299">
        <f t="shared" ref="AI9:AI72" si="11">AX9-S9</f>
        <v>0.71</v>
      </c>
      <c r="AJ9" s="299">
        <f t="shared" ref="AJ9:AJ72" si="12">AY9-T9</f>
        <v>0</v>
      </c>
      <c r="AK9" s="299">
        <f t="shared" ref="AK9:AK72" si="13">AZ9-U9</f>
        <v>0</v>
      </c>
      <c r="AL9" s="298">
        <f>SUM(AM9:AT9)</f>
        <v>172.122</v>
      </c>
      <c r="AM9" s="298">
        <f>G9+W9</f>
        <v>60</v>
      </c>
      <c r="AN9" s="298">
        <f>H9+X9</f>
        <v>0</v>
      </c>
      <c r="AO9" s="298">
        <f>I9+Y9</f>
        <v>26.412</v>
      </c>
      <c r="AP9" s="298">
        <f>J9+Z9</f>
        <v>0</v>
      </c>
      <c r="AQ9" s="298">
        <f>K9+AA9</f>
        <v>0</v>
      </c>
      <c r="AR9" s="298">
        <f>M9+AB9</f>
        <v>0.71</v>
      </c>
      <c r="AS9" s="298">
        <f>AC9</f>
        <v>0</v>
      </c>
      <c r="AT9" s="298">
        <f>N9+AD9</f>
        <v>85</v>
      </c>
      <c r="AU9" s="298">
        <f t="shared" ref="AU9:AU72" si="14">SUM(AV9:AX9)</f>
        <v>172.122</v>
      </c>
      <c r="AV9" s="298">
        <v>171.412</v>
      </c>
      <c r="AW9" s="298"/>
      <c r="AX9" s="298">
        <v>0.71</v>
      </c>
      <c r="AY9" s="298"/>
      <c r="AZ9" s="298"/>
      <c r="BA9" s="285">
        <v>400</v>
      </c>
    </row>
    <row r="10" s="258" customFormat="1" ht="24" spans="1:53">
      <c r="A10" s="283">
        <v>3</v>
      </c>
      <c r="B10" s="284" t="s">
        <v>195</v>
      </c>
      <c r="C10" s="284" t="s">
        <v>199</v>
      </c>
      <c r="D10" s="284" t="s">
        <v>200</v>
      </c>
      <c r="E10" s="284" t="s">
        <v>201</v>
      </c>
      <c r="F10" s="285">
        <f t="shared" ref="F10:F41" si="15">SUM(G10:N10)</f>
        <v>10</v>
      </c>
      <c r="G10" s="285">
        <v>10</v>
      </c>
      <c r="H10" s="285"/>
      <c r="I10" s="285"/>
      <c r="J10" s="285"/>
      <c r="K10" s="285"/>
      <c r="L10" s="285"/>
      <c r="M10" s="285"/>
      <c r="N10" s="285"/>
      <c r="O10" s="285"/>
      <c r="P10" s="285">
        <f t="shared" si="7"/>
        <v>10</v>
      </c>
      <c r="Q10" s="285">
        <v>10</v>
      </c>
      <c r="R10" s="285"/>
      <c r="S10" s="285"/>
      <c r="T10" s="285"/>
      <c r="U10" s="285"/>
      <c r="V10" s="298">
        <f t="shared" ref="V10:V41" si="16">SUM(W10:AD10)</f>
        <v>0</v>
      </c>
      <c r="W10" s="298"/>
      <c r="X10" s="298"/>
      <c r="Y10" s="298"/>
      <c r="Z10" s="298"/>
      <c r="AA10" s="298"/>
      <c r="AB10" s="298"/>
      <c r="AC10" s="298"/>
      <c r="AD10" s="298"/>
      <c r="AE10" s="285"/>
      <c r="AF10" s="299">
        <f t="shared" si="8"/>
        <v>0</v>
      </c>
      <c r="AG10" s="299">
        <f t="shared" si="9"/>
        <v>0</v>
      </c>
      <c r="AH10" s="299">
        <f t="shared" si="10"/>
        <v>0</v>
      </c>
      <c r="AI10" s="299">
        <f t="shared" si="11"/>
        <v>0</v>
      </c>
      <c r="AJ10" s="299">
        <f t="shared" si="12"/>
        <v>0</v>
      </c>
      <c r="AK10" s="299">
        <f t="shared" si="13"/>
        <v>0</v>
      </c>
      <c r="AL10" s="298">
        <f t="shared" ref="AL10:AL41" si="17">SUM(AM10:AT10)</f>
        <v>10</v>
      </c>
      <c r="AM10" s="298">
        <f t="shared" ref="AM10:AM41" si="18">G10+W10</f>
        <v>10</v>
      </c>
      <c r="AN10" s="298">
        <f t="shared" ref="AN10:AN41" si="19">H10+X10</f>
        <v>0</v>
      </c>
      <c r="AO10" s="298">
        <f t="shared" ref="AO10:AO41" si="20">I10+Y10</f>
        <v>0</v>
      </c>
      <c r="AP10" s="298">
        <f t="shared" ref="AP10:AP41" si="21">J10+Z10</f>
        <v>0</v>
      </c>
      <c r="AQ10" s="298">
        <f t="shared" ref="AQ10:AQ41" si="22">K10+AA10</f>
        <v>0</v>
      </c>
      <c r="AR10" s="298">
        <f t="shared" ref="AR10:AR41" si="23">M10+AB10</f>
        <v>0</v>
      </c>
      <c r="AS10" s="298">
        <f t="shared" ref="AS10:AS73" si="24">AC10</f>
        <v>0</v>
      </c>
      <c r="AT10" s="298">
        <f t="shared" ref="AT10:AT41" si="25">N10+AD10</f>
        <v>0</v>
      </c>
      <c r="AU10" s="285">
        <f t="shared" si="14"/>
        <v>10</v>
      </c>
      <c r="AV10" s="298">
        <v>10</v>
      </c>
      <c r="AW10" s="285"/>
      <c r="AX10" s="285"/>
      <c r="AY10" s="285"/>
      <c r="AZ10" s="285"/>
      <c r="BA10" s="285"/>
    </row>
    <row r="11" s="258" customFormat="1" ht="36" spans="1:53">
      <c r="A11" s="283">
        <v>4</v>
      </c>
      <c r="B11" s="284" t="s">
        <v>195</v>
      </c>
      <c r="C11" s="284" t="s">
        <v>196</v>
      </c>
      <c r="D11" s="284" t="s">
        <v>202</v>
      </c>
      <c r="E11" s="284" t="s">
        <v>203</v>
      </c>
      <c r="F11" s="285">
        <f t="shared" si="15"/>
        <v>166.17</v>
      </c>
      <c r="G11" s="285">
        <v>65</v>
      </c>
      <c r="H11" s="285"/>
      <c r="I11" s="285">
        <v>21.17</v>
      </c>
      <c r="J11" s="285"/>
      <c r="K11" s="285"/>
      <c r="L11" s="285"/>
      <c r="M11" s="285"/>
      <c r="N11" s="285">
        <v>80</v>
      </c>
      <c r="O11" s="285" t="s">
        <v>957</v>
      </c>
      <c r="P11" s="285">
        <f t="shared" si="7"/>
        <v>166.17</v>
      </c>
      <c r="Q11" s="285">
        <v>166.17</v>
      </c>
      <c r="R11" s="285"/>
      <c r="S11" s="285"/>
      <c r="T11" s="285"/>
      <c r="U11" s="285"/>
      <c r="V11" s="298">
        <f t="shared" si="16"/>
        <v>5.53</v>
      </c>
      <c r="W11" s="298"/>
      <c r="X11" s="298"/>
      <c r="Y11" s="298">
        <v>5.53</v>
      </c>
      <c r="Z11" s="298"/>
      <c r="AA11" s="298"/>
      <c r="AB11" s="298"/>
      <c r="AC11" s="298"/>
      <c r="AD11" s="298"/>
      <c r="AE11" s="285"/>
      <c r="AF11" s="299">
        <f t="shared" si="8"/>
        <v>5.53</v>
      </c>
      <c r="AG11" s="299">
        <f t="shared" si="9"/>
        <v>5.53</v>
      </c>
      <c r="AH11" s="299">
        <f t="shared" si="10"/>
        <v>0</v>
      </c>
      <c r="AI11" s="299">
        <f t="shared" si="11"/>
        <v>0</v>
      </c>
      <c r="AJ11" s="299">
        <f t="shared" si="12"/>
        <v>0</v>
      </c>
      <c r="AK11" s="299">
        <f t="shared" si="13"/>
        <v>0</v>
      </c>
      <c r="AL11" s="298">
        <f t="shared" si="17"/>
        <v>171.7</v>
      </c>
      <c r="AM11" s="298">
        <f t="shared" si="18"/>
        <v>65</v>
      </c>
      <c r="AN11" s="298">
        <f t="shared" si="19"/>
        <v>0</v>
      </c>
      <c r="AO11" s="298">
        <f t="shared" si="20"/>
        <v>26.7</v>
      </c>
      <c r="AP11" s="298">
        <f t="shared" si="21"/>
        <v>0</v>
      </c>
      <c r="AQ11" s="298">
        <f t="shared" si="22"/>
        <v>0</v>
      </c>
      <c r="AR11" s="298">
        <f t="shared" si="23"/>
        <v>0</v>
      </c>
      <c r="AS11" s="298">
        <f t="shared" si="24"/>
        <v>0</v>
      </c>
      <c r="AT11" s="298">
        <f t="shared" si="25"/>
        <v>80</v>
      </c>
      <c r="AU11" s="298">
        <f t="shared" si="14"/>
        <v>171.7</v>
      </c>
      <c r="AV11" s="298">
        <v>171.7</v>
      </c>
      <c r="AW11" s="298"/>
      <c r="AX11" s="298"/>
      <c r="AY11" s="298"/>
      <c r="AZ11" s="298"/>
      <c r="BA11" s="285">
        <v>370</v>
      </c>
    </row>
    <row r="12" s="258" customFormat="1" ht="24" spans="1:53">
      <c r="A12" s="283">
        <v>5</v>
      </c>
      <c r="B12" s="284" t="s">
        <v>195</v>
      </c>
      <c r="C12" s="284" t="s">
        <v>199</v>
      </c>
      <c r="D12" s="284" t="s">
        <v>204</v>
      </c>
      <c r="E12" s="284" t="s">
        <v>205</v>
      </c>
      <c r="F12" s="285">
        <f t="shared" si="15"/>
        <v>7.5</v>
      </c>
      <c r="G12" s="285">
        <v>7.5</v>
      </c>
      <c r="H12" s="285"/>
      <c r="I12" s="285"/>
      <c r="J12" s="285"/>
      <c r="K12" s="285"/>
      <c r="L12" s="285"/>
      <c r="M12" s="285"/>
      <c r="N12" s="285"/>
      <c r="O12" s="285"/>
      <c r="P12" s="285">
        <f t="shared" si="7"/>
        <v>7.5</v>
      </c>
      <c r="Q12" s="285">
        <v>7.5</v>
      </c>
      <c r="R12" s="285"/>
      <c r="S12" s="285"/>
      <c r="T12" s="285"/>
      <c r="U12" s="285"/>
      <c r="V12" s="298">
        <f t="shared" si="16"/>
        <v>0</v>
      </c>
      <c r="W12" s="298"/>
      <c r="X12" s="298"/>
      <c r="Y12" s="298"/>
      <c r="Z12" s="298"/>
      <c r="AA12" s="298"/>
      <c r="AB12" s="298"/>
      <c r="AC12" s="298"/>
      <c r="AD12" s="298"/>
      <c r="AE12" s="285"/>
      <c r="AF12" s="299">
        <f t="shared" si="8"/>
        <v>0</v>
      </c>
      <c r="AG12" s="299">
        <f t="shared" si="9"/>
        <v>0</v>
      </c>
      <c r="AH12" s="299">
        <f t="shared" si="10"/>
        <v>0</v>
      </c>
      <c r="AI12" s="299">
        <f t="shared" si="11"/>
        <v>0</v>
      </c>
      <c r="AJ12" s="299">
        <f t="shared" si="12"/>
        <v>0</v>
      </c>
      <c r="AK12" s="299">
        <f t="shared" si="13"/>
        <v>0</v>
      </c>
      <c r="AL12" s="298">
        <f t="shared" si="17"/>
        <v>7.5</v>
      </c>
      <c r="AM12" s="298">
        <f t="shared" si="18"/>
        <v>7.5</v>
      </c>
      <c r="AN12" s="298">
        <f t="shared" si="19"/>
        <v>0</v>
      </c>
      <c r="AO12" s="298">
        <f t="shared" si="20"/>
        <v>0</v>
      </c>
      <c r="AP12" s="298">
        <f t="shared" si="21"/>
        <v>0</v>
      </c>
      <c r="AQ12" s="298">
        <f t="shared" si="22"/>
        <v>0</v>
      </c>
      <c r="AR12" s="298">
        <f t="shared" si="23"/>
        <v>0</v>
      </c>
      <c r="AS12" s="298">
        <f t="shared" si="24"/>
        <v>0</v>
      </c>
      <c r="AT12" s="298">
        <f t="shared" si="25"/>
        <v>0</v>
      </c>
      <c r="AU12" s="285">
        <f t="shared" si="14"/>
        <v>7.5</v>
      </c>
      <c r="AV12" s="298">
        <v>7.5</v>
      </c>
      <c r="AW12" s="285"/>
      <c r="AX12" s="285"/>
      <c r="AY12" s="285"/>
      <c r="AZ12" s="285"/>
      <c r="BA12" s="285"/>
    </row>
    <row r="13" s="258" customFormat="1" ht="24" spans="1:53">
      <c r="A13" s="283">
        <v>6</v>
      </c>
      <c r="B13" s="284" t="s">
        <v>195</v>
      </c>
      <c r="C13" s="284" t="s">
        <v>196</v>
      </c>
      <c r="D13" s="284" t="s">
        <v>206</v>
      </c>
      <c r="E13" s="284" t="s">
        <v>207</v>
      </c>
      <c r="F13" s="285">
        <f t="shared" si="15"/>
        <v>575.55</v>
      </c>
      <c r="G13" s="285">
        <v>55</v>
      </c>
      <c r="H13" s="285"/>
      <c r="I13" s="285">
        <v>20.55</v>
      </c>
      <c r="J13" s="285"/>
      <c r="K13" s="285"/>
      <c r="L13" s="285"/>
      <c r="M13" s="285"/>
      <c r="N13" s="285">
        <v>500</v>
      </c>
      <c r="O13" s="285" t="s">
        <v>958</v>
      </c>
      <c r="P13" s="285">
        <f t="shared" si="7"/>
        <v>575.55</v>
      </c>
      <c r="Q13" s="285">
        <v>575.55</v>
      </c>
      <c r="R13" s="285"/>
      <c r="S13" s="285"/>
      <c r="T13" s="285"/>
      <c r="U13" s="285"/>
      <c r="V13" s="298">
        <f t="shared" si="16"/>
        <v>-1.02</v>
      </c>
      <c r="W13" s="298"/>
      <c r="X13" s="298"/>
      <c r="Y13" s="298">
        <v>-1.02</v>
      </c>
      <c r="Z13" s="298"/>
      <c r="AA13" s="298"/>
      <c r="AB13" s="298"/>
      <c r="AC13" s="298"/>
      <c r="AD13" s="298"/>
      <c r="AE13" s="285"/>
      <c r="AF13" s="299">
        <f t="shared" si="8"/>
        <v>-1.01999999999998</v>
      </c>
      <c r="AG13" s="299">
        <f t="shared" si="9"/>
        <v>-1.01999999999998</v>
      </c>
      <c r="AH13" s="299">
        <f t="shared" si="10"/>
        <v>0</v>
      </c>
      <c r="AI13" s="299">
        <f t="shared" si="11"/>
        <v>0</v>
      </c>
      <c r="AJ13" s="299">
        <f t="shared" si="12"/>
        <v>0</v>
      </c>
      <c r="AK13" s="299">
        <f t="shared" si="13"/>
        <v>0</v>
      </c>
      <c r="AL13" s="298">
        <f t="shared" si="17"/>
        <v>574.53</v>
      </c>
      <c r="AM13" s="298">
        <f t="shared" si="18"/>
        <v>55</v>
      </c>
      <c r="AN13" s="298">
        <f t="shared" si="19"/>
        <v>0</v>
      </c>
      <c r="AO13" s="298">
        <f t="shared" si="20"/>
        <v>19.53</v>
      </c>
      <c r="AP13" s="298">
        <f t="shared" si="21"/>
        <v>0</v>
      </c>
      <c r="AQ13" s="298">
        <f t="shared" si="22"/>
        <v>0</v>
      </c>
      <c r="AR13" s="298">
        <f t="shared" si="23"/>
        <v>0</v>
      </c>
      <c r="AS13" s="298">
        <f t="shared" si="24"/>
        <v>0</v>
      </c>
      <c r="AT13" s="298">
        <f t="shared" si="25"/>
        <v>500</v>
      </c>
      <c r="AU13" s="285">
        <f t="shared" si="14"/>
        <v>574.53</v>
      </c>
      <c r="AV13" s="298">
        <v>574.53</v>
      </c>
      <c r="AW13" s="285"/>
      <c r="AX13" s="285"/>
      <c r="AY13" s="285"/>
      <c r="AZ13" s="285"/>
      <c r="BA13" s="285">
        <v>440</v>
      </c>
    </row>
    <row r="14" s="258" customFormat="1" ht="36" spans="1:53">
      <c r="A14" s="283">
        <v>7</v>
      </c>
      <c r="B14" s="284" t="s">
        <v>195</v>
      </c>
      <c r="C14" s="284" t="s">
        <v>199</v>
      </c>
      <c r="D14" s="284" t="s">
        <v>214</v>
      </c>
      <c r="E14" s="284" t="s">
        <v>213</v>
      </c>
      <c r="F14" s="285">
        <f t="shared" si="15"/>
        <v>687.5</v>
      </c>
      <c r="G14" s="285">
        <v>7.5</v>
      </c>
      <c r="H14" s="285"/>
      <c r="I14" s="285"/>
      <c r="J14" s="285"/>
      <c r="K14" s="285">
        <v>650</v>
      </c>
      <c r="L14" s="285" t="s">
        <v>959</v>
      </c>
      <c r="M14" s="285"/>
      <c r="N14" s="285">
        <v>30</v>
      </c>
      <c r="O14" s="285" t="s">
        <v>960</v>
      </c>
      <c r="P14" s="285">
        <f t="shared" si="7"/>
        <v>687.5</v>
      </c>
      <c r="Q14" s="285">
        <v>687.5</v>
      </c>
      <c r="R14" s="285"/>
      <c r="S14" s="285"/>
      <c r="T14" s="285"/>
      <c r="U14" s="285"/>
      <c r="V14" s="298">
        <f t="shared" si="16"/>
        <v>0</v>
      </c>
      <c r="W14" s="298"/>
      <c r="X14" s="298"/>
      <c r="Y14" s="298"/>
      <c r="Z14" s="298"/>
      <c r="AA14" s="298"/>
      <c r="AB14" s="298"/>
      <c r="AC14" s="298"/>
      <c r="AD14" s="298"/>
      <c r="AE14" s="285"/>
      <c r="AF14" s="299">
        <f t="shared" si="8"/>
        <v>0</v>
      </c>
      <c r="AG14" s="299">
        <f t="shared" si="9"/>
        <v>0</v>
      </c>
      <c r="AH14" s="299">
        <f t="shared" si="10"/>
        <v>0</v>
      </c>
      <c r="AI14" s="299">
        <f t="shared" si="11"/>
        <v>0</v>
      </c>
      <c r="AJ14" s="299">
        <f t="shared" si="12"/>
        <v>0</v>
      </c>
      <c r="AK14" s="299">
        <f t="shared" si="13"/>
        <v>0</v>
      </c>
      <c r="AL14" s="298">
        <f t="shared" si="17"/>
        <v>687.5</v>
      </c>
      <c r="AM14" s="298">
        <f t="shared" si="18"/>
        <v>7.5</v>
      </c>
      <c r="AN14" s="298">
        <f t="shared" si="19"/>
        <v>0</v>
      </c>
      <c r="AO14" s="298">
        <f t="shared" si="20"/>
        <v>0</v>
      </c>
      <c r="AP14" s="298">
        <f t="shared" si="21"/>
        <v>0</v>
      </c>
      <c r="AQ14" s="298">
        <f t="shared" si="22"/>
        <v>650</v>
      </c>
      <c r="AR14" s="298">
        <f t="shared" si="23"/>
        <v>0</v>
      </c>
      <c r="AS14" s="298">
        <f t="shared" si="24"/>
        <v>0</v>
      </c>
      <c r="AT14" s="298">
        <f t="shared" si="25"/>
        <v>30</v>
      </c>
      <c r="AU14" s="285">
        <f t="shared" si="14"/>
        <v>687.5</v>
      </c>
      <c r="AV14" s="298">
        <v>687.5</v>
      </c>
      <c r="AW14" s="285"/>
      <c r="AX14" s="285"/>
      <c r="AY14" s="285"/>
      <c r="AZ14" s="285"/>
      <c r="BA14" s="285">
        <v>430</v>
      </c>
    </row>
    <row r="15" s="258" customFormat="1" ht="24" spans="1:53">
      <c r="A15" s="283">
        <v>8</v>
      </c>
      <c r="B15" s="284" t="s">
        <v>195</v>
      </c>
      <c r="C15" s="284" t="s">
        <v>199</v>
      </c>
      <c r="D15" s="284" t="s">
        <v>215</v>
      </c>
      <c r="E15" s="284" t="s">
        <v>213</v>
      </c>
      <c r="F15" s="285">
        <f t="shared" si="15"/>
        <v>5</v>
      </c>
      <c r="G15" s="285">
        <v>5</v>
      </c>
      <c r="H15" s="285"/>
      <c r="I15" s="285"/>
      <c r="J15" s="285"/>
      <c r="K15" s="285"/>
      <c r="L15" s="285"/>
      <c r="M15" s="285"/>
      <c r="N15" s="285"/>
      <c r="O15" s="285"/>
      <c r="P15" s="285">
        <f t="shared" si="7"/>
        <v>5</v>
      </c>
      <c r="Q15" s="285">
        <v>5</v>
      </c>
      <c r="R15" s="285"/>
      <c r="S15" s="285"/>
      <c r="T15" s="285"/>
      <c r="U15" s="285"/>
      <c r="V15" s="298">
        <f t="shared" si="16"/>
        <v>0</v>
      </c>
      <c r="W15" s="298"/>
      <c r="X15" s="298"/>
      <c r="Y15" s="298"/>
      <c r="Z15" s="298"/>
      <c r="AA15" s="298"/>
      <c r="AB15" s="298"/>
      <c r="AC15" s="298"/>
      <c r="AD15" s="298"/>
      <c r="AE15" s="285"/>
      <c r="AF15" s="299">
        <f t="shared" si="8"/>
        <v>0</v>
      </c>
      <c r="AG15" s="299">
        <f t="shared" si="9"/>
        <v>0</v>
      </c>
      <c r="AH15" s="299">
        <f t="shared" si="10"/>
        <v>0</v>
      </c>
      <c r="AI15" s="299">
        <f t="shared" si="11"/>
        <v>0</v>
      </c>
      <c r="AJ15" s="299">
        <f t="shared" si="12"/>
        <v>0</v>
      </c>
      <c r="AK15" s="299">
        <f t="shared" si="13"/>
        <v>0</v>
      </c>
      <c r="AL15" s="298">
        <f t="shared" si="17"/>
        <v>5</v>
      </c>
      <c r="AM15" s="298">
        <f t="shared" si="18"/>
        <v>5</v>
      </c>
      <c r="AN15" s="298">
        <f t="shared" si="19"/>
        <v>0</v>
      </c>
      <c r="AO15" s="298">
        <f t="shared" si="20"/>
        <v>0</v>
      </c>
      <c r="AP15" s="298">
        <f t="shared" si="21"/>
        <v>0</v>
      </c>
      <c r="AQ15" s="298">
        <f t="shared" si="22"/>
        <v>0</v>
      </c>
      <c r="AR15" s="298">
        <f t="shared" si="23"/>
        <v>0</v>
      </c>
      <c r="AS15" s="298">
        <f t="shared" si="24"/>
        <v>0</v>
      </c>
      <c r="AT15" s="298">
        <f t="shared" si="25"/>
        <v>0</v>
      </c>
      <c r="AU15" s="285">
        <f t="shared" si="14"/>
        <v>5</v>
      </c>
      <c r="AV15" s="298">
        <v>5</v>
      </c>
      <c r="AW15" s="285"/>
      <c r="AX15" s="285"/>
      <c r="AY15" s="285"/>
      <c r="AZ15" s="285"/>
      <c r="BA15" s="285"/>
    </row>
    <row r="16" s="258" customFormat="1" ht="24" spans="1:53">
      <c r="A16" s="283">
        <v>9</v>
      </c>
      <c r="B16" s="284" t="s">
        <v>195</v>
      </c>
      <c r="C16" s="284" t="s">
        <v>199</v>
      </c>
      <c r="D16" s="284" t="s">
        <v>216</v>
      </c>
      <c r="E16" s="284" t="s">
        <v>213</v>
      </c>
      <c r="F16" s="285">
        <f t="shared" si="15"/>
        <v>10</v>
      </c>
      <c r="G16" s="285">
        <v>10</v>
      </c>
      <c r="H16" s="285"/>
      <c r="I16" s="285"/>
      <c r="J16" s="285"/>
      <c r="K16" s="285"/>
      <c r="L16" s="285"/>
      <c r="M16" s="285"/>
      <c r="N16" s="285"/>
      <c r="O16" s="285"/>
      <c r="P16" s="285">
        <f t="shared" si="7"/>
        <v>10</v>
      </c>
      <c r="Q16" s="285">
        <v>10</v>
      </c>
      <c r="R16" s="285"/>
      <c r="S16" s="285"/>
      <c r="T16" s="285"/>
      <c r="U16" s="285"/>
      <c r="V16" s="298">
        <f t="shared" si="16"/>
        <v>0</v>
      </c>
      <c r="W16" s="298"/>
      <c r="X16" s="298"/>
      <c r="Y16" s="298"/>
      <c r="Z16" s="298"/>
      <c r="AA16" s="298"/>
      <c r="AB16" s="298"/>
      <c r="AC16" s="298"/>
      <c r="AD16" s="298"/>
      <c r="AE16" s="285"/>
      <c r="AF16" s="299">
        <f t="shared" si="8"/>
        <v>0</v>
      </c>
      <c r="AG16" s="299">
        <f t="shared" si="9"/>
        <v>0</v>
      </c>
      <c r="AH16" s="299">
        <f t="shared" si="10"/>
        <v>0</v>
      </c>
      <c r="AI16" s="299">
        <f t="shared" si="11"/>
        <v>0</v>
      </c>
      <c r="AJ16" s="299">
        <f t="shared" si="12"/>
        <v>0</v>
      </c>
      <c r="AK16" s="299">
        <f t="shared" si="13"/>
        <v>0</v>
      </c>
      <c r="AL16" s="298">
        <f t="shared" si="17"/>
        <v>10</v>
      </c>
      <c r="AM16" s="298">
        <f t="shared" si="18"/>
        <v>10</v>
      </c>
      <c r="AN16" s="298">
        <f t="shared" si="19"/>
        <v>0</v>
      </c>
      <c r="AO16" s="298">
        <f t="shared" si="20"/>
        <v>0</v>
      </c>
      <c r="AP16" s="298">
        <f t="shared" si="21"/>
        <v>0</v>
      </c>
      <c r="AQ16" s="298">
        <f t="shared" si="22"/>
        <v>0</v>
      </c>
      <c r="AR16" s="298">
        <f t="shared" si="23"/>
        <v>0</v>
      </c>
      <c r="AS16" s="298">
        <f t="shared" si="24"/>
        <v>0</v>
      </c>
      <c r="AT16" s="298">
        <f t="shared" si="25"/>
        <v>0</v>
      </c>
      <c r="AU16" s="285">
        <f t="shared" si="14"/>
        <v>10</v>
      </c>
      <c r="AV16" s="298">
        <v>10</v>
      </c>
      <c r="AW16" s="285"/>
      <c r="AX16" s="285"/>
      <c r="AY16" s="285"/>
      <c r="AZ16" s="285"/>
      <c r="BA16" s="285"/>
    </row>
    <row r="17" s="258" customFormat="1" ht="24" spans="1:53">
      <c r="A17" s="283">
        <v>10</v>
      </c>
      <c r="B17" s="284" t="s">
        <v>195</v>
      </c>
      <c r="C17" s="284" t="s">
        <v>199</v>
      </c>
      <c r="D17" s="284" t="s">
        <v>217</v>
      </c>
      <c r="E17" s="284" t="s">
        <v>213</v>
      </c>
      <c r="F17" s="285">
        <f t="shared" si="15"/>
        <v>20</v>
      </c>
      <c r="G17" s="285">
        <v>20</v>
      </c>
      <c r="H17" s="285"/>
      <c r="I17" s="285"/>
      <c r="J17" s="285"/>
      <c r="K17" s="285"/>
      <c r="L17" s="285"/>
      <c r="M17" s="285"/>
      <c r="N17" s="285"/>
      <c r="O17" s="285"/>
      <c r="P17" s="285">
        <f t="shared" si="7"/>
        <v>20</v>
      </c>
      <c r="Q17" s="285">
        <v>20</v>
      </c>
      <c r="R17" s="285"/>
      <c r="S17" s="285"/>
      <c r="T17" s="285"/>
      <c r="U17" s="285"/>
      <c r="V17" s="298">
        <f t="shared" si="16"/>
        <v>0</v>
      </c>
      <c r="W17" s="298"/>
      <c r="X17" s="298"/>
      <c r="Y17" s="298"/>
      <c r="Z17" s="298"/>
      <c r="AA17" s="298"/>
      <c r="AB17" s="298"/>
      <c r="AC17" s="298"/>
      <c r="AD17" s="298"/>
      <c r="AE17" s="285"/>
      <c r="AF17" s="299">
        <f t="shared" si="8"/>
        <v>0</v>
      </c>
      <c r="AG17" s="299">
        <f t="shared" si="9"/>
        <v>0</v>
      </c>
      <c r="AH17" s="299">
        <f t="shared" si="10"/>
        <v>0</v>
      </c>
      <c r="AI17" s="299">
        <f t="shared" si="11"/>
        <v>0</v>
      </c>
      <c r="AJ17" s="299">
        <f t="shared" si="12"/>
        <v>0</v>
      </c>
      <c r="AK17" s="299">
        <f t="shared" si="13"/>
        <v>0</v>
      </c>
      <c r="AL17" s="298">
        <f t="shared" si="17"/>
        <v>20</v>
      </c>
      <c r="AM17" s="298">
        <f t="shared" si="18"/>
        <v>20</v>
      </c>
      <c r="AN17" s="298">
        <f t="shared" si="19"/>
        <v>0</v>
      </c>
      <c r="AO17" s="298">
        <f t="shared" si="20"/>
        <v>0</v>
      </c>
      <c r="AP17" s="298">
        <f t="shared" si="21"/>
        <v>0</v>
      </c>
      <c r="AQ17" s="298">
        <f t="shared" si="22"/>
        <v>0</v>
      </c>
      <c r="AR17" s="298">
        <f t="shared" si="23"/>
        <v>0</v>
      </c>
      <c r="AS17" s="298">
        <f t="shared" si="24"/>
        <v>0</v>
      </c>
      <c r="AT17" s="298">
        <f t="shared" si="25"/>
        <v>0</v>
      </c>
      <c r="AU17" s="285">
        <f t="shared" si="14"/>
        <v>20</v>
      </c>
      <c r="AV17" s="298">
        <v>20</v>
      </c>
      <c r="AW17" s="285"/>
      <c r="AX17" s="285"/>
      <c r="AY17" s="285"/>
      <c r="AZ17" s="285"/>
      <c r="BA17" s="285"/>
    </row>
    <row r="18" s="258" customFormat="1" ht="24" spans="1:53">
      <c r="A18" s="283">
        <v>11</v>
      </c>
      <c r="B18" s="284" t="s">
        <v>195</v>
      </c>
      <c r="C18" s="284" t="s">
        <v>199</v>
      </c>
      <c r="D18" s="284" t="s">
        <v>218</v>
      </c>
      <c r="E18" s="284" t="s">
        <v>213</v>
      </c>
      <c r="F18" s="285">
        <f t="shared" si="15"/>
        <v>32.5</v>
      </c>
      <c r="G18" s="285">
        <v>32.5</v>
      </c>
      <c r="H18" s="285"/>
      <c r="I18" s="285"/>
      <c r="J18" s="285"/>
      <c r="K18" s="285"/>
      <c r="L18" s="285"/>
      <c r="M18" s="285"/>
      <c r="N18" s="285"/>
      <c r="O18" s="285"/>
      <c r="P18" s="285">
        <f t="shared" si="7"/>
        <v>32.5</v>
      </c>
      <c r="Q18" s="285">
        <v>32.5</v>
      </c>
      <c r="R18" s="285"/>
      <c r="S18" s="285"/>
      <c r="T18" s="285"/>
      <c r="U18" s="285"/>
      <c r="V18" s="298">
        <f t="shared" si="16"/>
        <v>0</v>
      </c>
      <c r="W18" s="298"/>
      <c r="X18" s="298"/>
      <c r="Y18" s="298"/>
      <c r="Z18" s="298"/>
      <c r="AA18" s="298"/>
      <c r="AB18" s="298"/>
      <c r="AC18" s="298"/>
      <c r="AD18" s="298"/>
      <c r="AE18" s="285"/>
      <c r="AF18" s="299">
        <f t="shared" si="8"/>
        <v>0</v>
      </c>
      <c r="AG18" s="299">
        <f t="shared" si="9"/>
        <v>0</v>
      </c>
      <c r="AH18" s="299">
        <f t="shared" si="10"/>
        <v>0</v>
      </c>
      <c r="AI18" s="299">
        <f t="shared" si="11"/>
        <v>0</v>
      </c>
      <c r="AJ18" s="299">
        <f t="shared" si="12"/>
        <v>0</v>
      </c>
      <c r="AK18" s="299">
        <f t="shared" si="13"/>
        <v>0</v>
      </c>
      <c r="AL18" s="298">
        <f t="shared" si="17"/>
        <v>32.5</v>
      </c>
      <c r="AM18" s="298">
        <f t="shared" si="18"/>
        <v>32.5</v>
      </c>
      <c r="AN18" s="298">
        <f t="shared" si="19"/>
        <v>0</v>
      </c>
      <c r="AO18" s="298">
        <f t="shared" si="20"/>
        <v>0</v>
      </c>
      <c r="AP18" s="298">
        <f t="shared" si="21"/>
        <v>0</v>
      </c>
      <c r="AQ18" s="298">
        <f t="shared" si="22"/>
        <v>0</v>
      </c>
      <c r="AR18" s="298">
        <f t="shared" si="23"/>
        <v>0</v>
      </c>
      <c r="AS18" s="298">
        <f t="shared" si="24"/>
        <v>0</v>
      </c>
      <c r="AT18" s="298">
        <f t="shared" si="25"/>
        <v>0</v>
      </c>
      <c r="AU18" s="285">
        <f t="shared" si="14"/>
        <v>32.5</v>
      </c>
      <c r="AV18" s="298">
        <v>32.5</v>
      </c>
      <c r="AW18" s="285"/>
      <c r="AX18" s="285"/>
      <c r="AY18" s="285"/>
      <c r="AZ18" s="285"/>
      <c r="BA18" s="285"/>
    </row>
    <row r="19" s="258" customFormat="1" ht="37" customHeight="1" spans="1:53">
      <c r="A19" s="283">
        <v>12</v>
      </c>
      <c r="B19" s="284" t="s">
        <v>208</v>
      </c>
      <c r="C19" s="284" t="s">
        <v>196</v>
      </c>
      <c r="D19" s="284" t="s">
        <v>209</v>
      </c>
      <c r="E19" s="284" t="s">
        <v>207</v>
      </c>
      <c r="F19" s="285">
        <f t="shared" si="15"/>
        <v>187.64</v>
      </c>
      <c r="G19" s="285">
        <v>1.8</v>
      </c>
      <c r="H19" s="285"/>
      <c r="I19" s="285">
        <v>2.34</v>
      </c>
      <c r="J19" s="285"/>
      <c r="K19" s="285">
        <v>60.72</v>
      </c>
      <c r="L19" s="285" t="s">
        <v>961</v>
      </c>
      <c r="M19" s="285"/>
      <c r="N19" s="285">
        <v>122.78</v>
      </c>
      <c r="O19" s="285" t="s">
        <v>962</v>
      </c>
      <c r="P19" s="285">
        <f t="shared" si="7"/>
        <v>187.64</v>
      </c>
      <c r="Q19" s="285">
        <v>187.64</v>
      </c>
      <c r="R19" s="285"/>
      <c r="S19" s="285"/>
      <c r="T19" s="285"/>
      <c r="U19" s="285"/>
      <c r="V19" s="298">
        <f t="shared" si="16"/>
        <v>0</v>
      </c>
      <c r="W19" s="298"/>
      <c r="X19" s="298"/>
      <c r="Y19" s="298"/>
      <c r="Z19" s="298"/>
      <c r="AA19" s="298"/>
      <c r="AB19" s="298"/>
      <c r="AC19" s="298"/>
      <c r="AD19" s="298"/>
      <c r="AE19" s="285"/>
      <c r="AF19" s="299">
        <f t="shared" si="8"/>
        <v>0</v>
      </c>
      <c r="AG19" s="299">
        <f t="shared" si="9"/>
        <v>0</v>
      </c>
      <c r="AH19" s="299">
        <f t="shared" si="10"/>
        <v>0</v>
      </c>
      <c r="AI19" s="299">
        <f t="shared" si="11"/>
        <v>0</v>
      </c>
      <c r="AJ19" s="299">
        <f t="shared" si="12"/>
        <v>0</v>
      </c>
      <c r="AK19" s="299">
        <f t="shared" si="13"/>
        <v>0</v>
      </c>
      <c r="AL19" s="298">
        <f t="shared" si="17"/>
        <v>187.64</v>
      </c>
      <c r="AM19" s="298">
        <f t="shared" si="18"/>
        <v>1.8</v>
      </c>
      <c r="AN19" s="298">
        <f t="shared" si="19"/>
        <v>0</v>
      </c>
      <c r="AO19" s="298">
        <f t="shared" si="20"/>
        <v>2.34</v>
      </c>
      <c r="AP19" s="298">
        <f t="shared" si="21"/>
        <v>0</v>
      </c>
      <c r="AQ19" s="298">
        <f t="shared" si="22"/>
        <v>60.72</v>
      </c>
      <c r="AR19" s="298">
        <f t="shared" si="23"/>
        <v>0</v>
      </c>
      <c r="AS19" s="298">
        <f t="shared" si="24"/>
        <v>0</v>
      </c>
      <c r="AT19" s="298">
        <f t="shared" si="25"/>
        <v>122.78</v>
      </c>
      <c r="AU19" s="285">
        <f t="shared" si="14"/>
        <v>187.64</v>
      </c>
      <c r="AV19" s="298">
        <v>187.64</v>
      </c>
      <c r="AW19" s="285"/>
      <c r="AX19" s="285"/>
      <c r="AY19" s="285"/>
      <c r="AZ19" s="285"/>
      <c r="BA19" s="285">
        <v>100</v>
      </c>
    </row>
    <row r="20" s="258" customFormat="1" ht="48" spans="1:53">
      <c r="A20" s="283">
        <v>13</v>
      </c>
      <c r="B20" s="284" t="s">
        <v>221</v>
      </c>
      <c r="C20" s="284" t="s">
        <v>196</v>
      </c>
      <c r="D20" s="284" t="s">
        <v>222</v>
      </c>
      <c r="E20" s="284" t="s">
        <v>207</v>
      </c>
      <c r="F20" s="285">
        <f t="shared" si="15"/>
        <v>135.58</v>
      </c>
      <c r="G20" s="285">
        <v>16.2</v>
      </c>
      <c r="H20" s="285"/>
      <c r="I20" s="285">
        <v>19.38</v>
      </c>
      <c r="J20" s="285"/>
      <c r="K20" s="285"/>
      <c r="L20" s="285"/>
      <c r="M20" s="285">
        <v>100</v>
      </c>
      <c r="N20" s="285"/>
      <c r="O20" s="284" t="s">
        <v>963</v>
      </c>
      <c r="P20" s="285">
        <f t="shared" si="7"/>
        <v>135.58</v>
      </c>
      <c r="Q20" s="285">
        <v>35.58</v>
      </c>
      <c r="R20" s="285"/>
      <c r="S20" s="285">
        <v>100</v>
      </c>
      <c r="T20" s="285"/>
      <c r="U20" s="285"/>
      <c r="V20" s="298">
        <f t="shared" si="16"/>
        <v>28.67</v>
      </c>
      <c r="W20" s="298"/>
      <c r="X20" s="298"/>
      <c r="Y20" s="298">
        <v>-1.57</v>
      </c>
      <c r="Z20" s="298"/>
      <c r="AA20" s="298"/>
      <c r="AB20" s="298">
        <f>-100+2+92.55+4.16+31.53</f>
        <v>30.24</v>
      </c>
      <c r="AC20" s="298"/>
      <c r="AD20" s="298"/>
      <c r="AE20" s="285" t="s">
        <v>964</v>
      </c>
      <c r="AF20" s="299">
        <f t="shared" si="8"/>
        <v>28.67</v>
      </c>
      <c r="AG20" s="299">
        <f t="shared" si="9"/>
        <v>124.51</v>
      </c>
      <c r="AH20" s="299">
        <f t="shared" si="10"/>
        <v>0</v>
      </c>
      <c r="AI20" s="299">
        <f t="shared" si="11"/>
        <v>-95.84</v>
      </c>
      <c r="AJ20" s="299">
        <f t="shared" si="12"/>
        <v>0</v>
      </c>
      <c r="AK20" s="299">
        <f t="shared" si="13"/>
        <v>0</v>
      </c>
      <c r="AL20" s="298">
        <f t="shared" si="17"/>
        <v>164.25</v>
      </c>
      <c r="AM20" s="298">
        <f t="shared" si="18"/>
        <v>16.2</v>
      </c>
      <c r="AN20" s="298">
        <f t="shared" si="19"/>
        <v>0</v>
      </c>
      <c r="AO20" s="298">
        <f t="shared" si="20"/>
        <v>17.81</v>
      </c>
      <c r="AP20" s="298">
        <f t="shared" si="21"/>
        <v>0</v>
      </c>
      <c r="AQ20" s="298">
        <f t="shared" si="22"/>
        <v>0</v>
      </c>
      <c r="AR20" s="298">
        <f t="shared" si="23"/>
        <v>130.24</v>
      </c>
      <c r="AS20" s="298">
        <f t="shared" si="24"/>
        <v>0</v>
      </c>
      <c r="AT20" s="298">
        <f t="shared" si="25"/>
        <v>0</v>
      </c>
      <c r="AU20" s="285">
        <f t="shared" si="14"/>
        <v>164.25</v>
      </c>
      <c r="AV20" s="298">
        <v>160.09</v>
      </c>
      <c r="AW20" s="285"/>
      <c r="AX20" s="285">
        <v>4.16</v>
      </c>
      <c r="AY20" s="285"/>
      <c r="AZ20" s="285"/>
      <c r="BA20" s="285"/>
    </row>
    <row r="21" s="258" customFormat="1" ht="24" spans="1:53">
      <c r="A21" s="283">
        <v>14</v>
      </c>
      <c r="B21" s="284" t="s">
        <v>221</v>
      </c>
      <c r="C21" s="284" t="s">
        <v>199</v>
      </c>
      <c r="D21" s="284" t="s">
        <v>223</v>
      </c>
      <c r="E21" s="284" t="s">
        <v>213</v>
      </c>
      <c r="F21" s="285">
        <f t="shared" si="15"/>
        <v>4.8</v>
      </c>
      <c r="G21" s="285">
        <v>4.8</v>
      </c>
      <c r="H21" s="285"/>
      <c r="I21" s="285"/>
      <c r="J21" s="285"/>
      <c r="K21" s="285"/>
      <c r="L21" s="285"/>
      <c r="M21" s="285"/>
      <c r="N21" s="285"/>
      <c r="O21" s="284"/>
      <c r="P21" s="285">
        <f t="shared" si="7"/>
        <v>4.8</v>
      </c>
      <c r="Q21" s="285">
        <v>4.8</v>
      </c>
      <c r="R21" s="285"/>
      <c r="S21" s="285"/>
      <c r="T21" s="285"/>
      <c r="U21" s="285"/>
      <c r="V21" s="298">
        <f t="shared" si="16"/>
        <v>0</v>
      </c>
      <c r="W21" s="298"/>
      <c r="X21" s="298"/>
      <c r="Y21" s="298"/>
      <c r="Z21" s="298"/>
      <c r="AA21" s="298"/>
      <c r="AB21" s="298"/>
      <c r="AC21" s="298"/>
      <c r="AD21" s="298"/>
      <c r="AE21" s="285"/>
      <c r="AF21" s="299">
        <f t="shared" si="8"/>
        <v>0</v>
      </c>
      <c r="AG21" s="299">
        <f t="shared" si="9"/>
        <v>0</v>
      </c>
      <c r="AH21" s="299">
        <f t="shared" si="10"/>
        <v>0</v>
      </c>
      <c r="AI21" s="299">
        <f t="shared" si="11"/>
        <v>0</v>
      </c>
      <c r="AJ21" s="299">
        <f t="shared" si="12"/>
        <v>0</v>
      </c>
      <c r="AK21" s="299">
        <f t="shared" si="13"/>
        <v>0</v>
      </c>
      <c r="AL21" s="298">
        <f t="shared" si="17"/>
        <v>4.8</v>
      </c>
      <c r="AM21" s="298">
        <f t="shared" si="18"/>
        <v>4.8</v>
      </c>
      <c r="AN21" s="298">
        <f t="shared" si="19"/>
        <v>0</v>
      </c>
      <c r="AO21" s="298">
        <f t="shared" si="20"/>
        <v>0</v>
      </c>
      <c r="AP21" s="298">
        <f t="shared" si="21"/>
        <v>0</v>
      </c>
      <c r="AQ21" s="298">
        <f t="shared" si="22"/>
        <v>0</v>
      </c>
      <c r="AR21" s="298">
        <f t="shared" si="23"/>
        <v>0</v>
      </c>
      <c r="AS21" s="298">
        <f t="shared" si="24"/>
        <v>0</v>
      </c>
      <c r="AT21" s="298">
        <f t="shared" si="25"/>
        <v>0</v>
      </c>
      <c r="AU21" s="285">
        <f t="shared" si="14"/>
        <v>4.8</v>
      </c>
      <c r="AV21" s="298">
        <v>4.8</v>
      </c>
      <c r="AW21" s="285"/>
      <c r="AX21" s="285"/>
      <c r="AY21" s="285"/>
      <c r="AZ21" s="285"/>
      <c r="BA21" s="285"/>
    </row>
    <row r="22" s="258" customFormat="1" ht="24" spans="1:53">
      <c r="A22" s="283">
        <v>15</v>
      </c>
      <c r="B22" s="284" t="s">
        <v>221</v>
      </c>
      <c r="C22" s="284" t="s">
        <v>199</v>
      </c>
      <c r="D22" s="284" t="s">
        <v>224</v>
      </c>
      <c r="E22" s="284" t="s">
        <v>213</v>
      </c>
      <c r="F22" s="285">
        <f t="shared" si="15"/>
        <v>6</v>
      </c>
      <c r="G22" s="285">
        <v>6</v>
      </c>
      <c r="H22" s="285"/>
      <c r="I22" s="285"/>
      <c r="J22" s="285"/>
      <c r="K22" s="285"/>
      <c r="L22" s="285"/>
      <c r="M22" s="285"/>
      <c r="N22" s="285"/>
      <c r="O22" s="284"/>
      <c r="P22" s="285">
        <f t="shared" si="7"/>
        <v>6</v>
      </c>
      <c r="Q22" s="285">
        <v>6</v>
      </c>
      <c r="R22" s="285"/>
      <c r="S22" s="285"/>
      <c r="T22" s="285"/>
      <c r="U22" s="285"/>
      <c r="V22" s="298">
        <f t="shared" si="16"/>
        <v>0</v>
      </c>
      <c r="W22" s="298"/>
      <c r="X22" s="298"/>
      <c r="Y22" s="298"/>
      <c r="Z22" s="298"/>
      <c r="AA22" s="298"/>
      <c r="AB22" s="298"/>
      <c r="AC22" s="298"/>
      <c r="AD22" s="298"/>
      <c r="AE22" s="285"/>
      <c r="AF22" s="299">
        <f t="shared" si="8"/>
        <v>0</v>
      </c>
      <c r="AG22" s="299">
        <f t="shared" si="9"/>
        <v>0</v>
      </c>
      <c r="AH22" s="299">
        <f t="shared" si="10"/>
        <v>0</v>
      </c>
      <c r="AI22" s="299">
        <f t="shared" si="11"/>
        <v>0</v>
      </c>
      <c r="AJ22" s="299">
        <f t="shared" si="12"/>
        <v>0</v>
      </c>
      <c r="AK22" s="299">
        <f t="shared" si="13"/>
        <v>0</v>
      </c>
      <c r="AL22" s="298">
        <f t="shared" si="17"/>
        <v>6</v>
      </c>
      <c r="AM22" s="298">
        <f t="shared" si="18"/>
        <v>6</v>
      </c>
      <c r="AN22" s="298">
        <f t="shared" si="19"/>
        <v>0</v>
      </c>
      <c r="AO22" s="298">
        <f t="shared" si="20"/>
        <v>0</v>
      </c>
      <c r="AP22" s="298">
        <f t="shared" si="21"/>
        <v>0</v>
      </c>
      <c r="AQ22" s="298">
        <f t="shared" si="22"/>
        <v>0</v>
      </c>
      <c r="AR22" s="298">
        <f t="shared" si="23"/>
        <v>0</v>
      </c>
      <c r="AS22" s="298">
        <f t="shared" si="24"/>
        <v>0</v>
      </c>
      <c r="AT22" s="298">
        <f t="shared" si="25"/>
        <v>0</v>
      </c>
      <c r="AU22" s="285">
        <f t="shared" si="14"/>
        <v>6</v>
      </c>
      <c r="AV22" s="298">
        <v>6</v>
      </c>
      <c r="AW22" s="285"/>
      <c r="AX22" s="285"/>
      <c r="AY22" s="285"/>
      <c r="AZ22" s="285"/>
      <c r="BA22" s="285"/>
    </row>
    <row r="23" s="258" customFormat="1" ht="24" spans="1:53">
      <c r="A23" s="283">
        <v>16</v>
      </c>
      <c r="B23" s="284" t="s">
        <v>221</v>
      </c>
      <c r="C23" s="284" t="s">
        <v>199</v>
      </c>
      <c r="D23" s="284" t="s">
        <v>225</v>
      </c>
      <c r="E23" s="284" t="s">
        <v>213</v>
      </c>
      <c r="F23" s="285">
        <f t="shared" si="15"/>
        <v>11.4</v>
      </c>
      <c r="G23" s="285">
        <v>11.4</v>
      </c>
      <c r="H23" s="285"/>
      <c r="I23" s="285"/>
      <c r="J23" s="285"/>
      <c r="K23" s="285"/>
      <c r="L23" s="285"/>
      <c r="M23" s="285"/>
      <c r="N23" s="285"/>
      <c r="O23" s="284"/>
      <c r="P23" s="285">
        <f t="shared" si="7"/>
        <v>11.4</v>
      </c>
      <c r="Q23" s="285">
        <v>11.4</v>
      </c>
      <c r="R23" s="285"/>
      <c r="S23" s="285"/>
      <c r="T23" s="285"/>
      <c r="U23" s="285"/>
      <c r="V23" s="298">
        <f t="shared" si="16"/>
        <v>0</v>
      </c>
      <c r="W23" s="298"/>
      <c r="X23" s="298"/>
      <c r="Y23" s="298"/>
      <c r="Z23" s="298"/>
      <c r="AA23" s="298"/>
      <c r="AB23" s="298"/>
      <c r="AC23" s="298"/>
      <c r="AD23" s="298"/>
      <c r="AE23" s="285"/>
      <c r="AF23" s="299">
        <f t="shared" si="8"/>
        <v>0</v>
      </c>
      <c r="AG23" s="299">
        <f t="shared" si="9"/>
        <v>0</v>
      </c>
      <c r="AH23" s="299">
        <f t="shared" si="10"/>
        <v>0</v>
      </c>
      <c r="AI23" s="299">
        <f t="shared" si="11"/>
        <v>0</v>
      </c>
      <c r="AJ23" s="299">
        <f t="shared" si="12"/>
        <v>0</v>
      </c>
      <c r="AK23" s="299">
        <f t="shared" si="13"/>
        <v>0</v>
      </c>
      <c r="AL23" s="298">
        <f t="shared" si="17"/>
        <v>11.4</v>
      </c>
      <c r="AM23" s="298">
        <f t="shared" si="18"/>
        <v>11.4</v>
      </c>
      <c r="AN23" s="298">
        <f t="shared" si="19"/>
        <v>0</v>
      </c>
      <c r="AO23" s="298">
        <f t="shared" si="20"/>
        <v>0</v>
      </c>
      <c r="AP23" s="298">
        <f t="shared" si="21"/>
        <v>0</v>
      </c>
      <c r="AQ23" s="298">
        <f t="shared" si="22"/>
        <v>0</v>
      </c>
      <c r="AR23" s="298">
        <f t="shared" si="23"/>
        <v>0</v>
      </c>
      <c r="AS23" s="298">
        <f t="shared" si="24"/>
        <v>0</v>
      </c>
      <c r="AT23" s="298">
        <f t="shared" si="25"/>
        <v>0</v>
      </c>
      <c r="AU23" s="285">
        <f t="shared" si="14"/>
        <v>11.4</v>
      </c>
      <c r="AV23" s="298">
        <v>11.4</v>
      </c>
      <c r="AW23" s="285"/>
      <c r="AX23" s="285"/>
      <c r="AY23" s="285"/>
      <c r="AZ23" s="285"/>
      <c r="BA23" s="285"/>
    </row>
    <row r="24" s="258" customFormat="1" ht="60" spans="1:53">
      <c r="A24" s="283">
        <v>17</v>
      </c>
      <c r="B24" s="284" t="s">
        <v>221</v>
      </c>
      <c r="C24" s="284" t="s">
        <v>196</v>
      </c>
      <c r="D24" s="284" t="s">
        <v>226</v>
      </c>
      <c r="E24" s="284" t="s">
        <v>207</v>
      </c>
      <c r="F24" s="285">
        <f t="shared" si="15"/>
        <v>263.32</v>
      </c>
      <c r="G24" s="285">
        <v>19.8</v>
      </c>
      <c r="H24" s="285"/>
      <c r="I24" s="285">
        <v>23.52</v>
      </c>
      <c r="J24" s="285"/>
      <c r="K24" s="285"/>
      <c r="L24" s="285"/>
      <c r="M24" s="285">
        <v>220</v>
      </c>
      <c r="N24" s="285"/>
      <c r="O24" s="284" t="s">
        <v>965</v>
      </c>
      <c r="P24" s="285">
        <f t="shared" si="7"/>
        <v>263.32</v>
      </c>
      <c r="Q24" s="285">
        <v>43.32</v>
      </c>
      <c r="R24" s="285"/>
      <c r="S24" s="285">
        <v>220</v>
      </c>
      <c r="T24" s="285"/>
      <c r="U24" s="285"/>
      <c r="V24" s="298">
        <f t="shared" si="16"/>
        <v>85.165</v>
      </c>
      <c r="W24" s="298"/>
      <c r="X24" s="298"/>
      <c r="Y24" s="298">
        <v>-2.765</v>
      </c>
      <c r="Z24" s="298"/>
      <c r="AA24" s="298"/>
      <c r="AB24" s="298">
        <f>-220+4+76.17+131.03+38.66+58.07</f>
        <v>87.93</v>
      </c>
      <c r="AC24" s="298"/>
      <c r="AD24" s="298"/>
      <c r="AE24" s="285" t="s">
        <v>966</v>
      </c>
      <c r="AF24" s="299">
        <f t="shared" si="8"/>
        <v>85.165</v>
      </c>
      <c r="AG24" s="299">
        <f t="shared" si="9"/>
        <v>266.505</v>
      </c>
      <c r="AH24" s="299">
        <f t="shared" si="10"/>
        <v>0</v>
      </c>
      <c r="AI24" s="299">
        <f t="shared" si="11"/>
        <v>-181.34</v>
      </c>
      <c r="AJ24" s="299">
        <f t="shared" si="12"/>
        <v>0</v>
      </c>
      <c r="AK24" s="299">
        <f t="shared" si="13"/>
        <v>0</v>
      </c>
      <c r="AL24" s="298">
        <f t="shared" si="17"/>
        <v>348.485</v>
      </c>
      <c r="AM24" s="298">
        <f t="shared" si="18"/>
        <v>19.8</v>
      </c>
      <c r="AN24" s="298">
        <f t="shared" si="19"/>
        <v>0</v>
      </c>
      <c r="AO24" s="298">
        <f t="shared" si="20"/>
        <v>20.755</v>
      </c>
      <c r="AP24" s="298">
        <f t="shared" si="21"/>
        <v>0</v>
      </c>
      <c r="AQ24" s="298">
        <f t="shared" si="22"/>
        <v>0</v>
      </c>
      <c r="AR24" s="298">
        <f t="shared" si="23"/>
        <v>307.93</v>
      </c>
      <c r="AS24" s="298">
        <f t="shared" si="24"/>
        <v>0</v>
      </c>
      <c r="AT24" s="298">
        <f t="shared" si="25"/>
        <v>0</v>
      </c>
      <c r="AU24" s="298">
        <f t="shared" si="14"/>
        <v>348.485</v>
      </c>
      <c r="AV24" s="298">
        <v>309.825</v>
      </c>
      <c r="AW24" s="298"/>
      <c r="AX24" s="298">
        <v>38.66</v>
      </c>
      <c r="AY24" s="298"/>
      <c r="AZ24" s="298"/>
      <c r="BA24" s="285">
        <v>5.9184</v>
      </c>
    </row>
    <row r="25" s="258" customFormat="1" ht="24" spans="1:53">
      <c r="A25" s="283">
        <v>18</v>
      </c>
      <c r="B25" s="284" t="s">
        <v>221</v>
      </c>
      <c r="C25" s="284" t="s">
        <v>199</v>
      </c>
      <c r="D25" s="284" t="s">
        <v>227</v>
      </c>
      <c r="E25" s="284" t="s">
        <v>213</v>
      </c>
      <c r="F25" s="285">
        <f t="shared" si="15"/>
        <v>2.4</v>
      </c>
      <c r="G25" s="285">
        <v>2.4</v>
      </c>
      <c r="H25" s="285"/>
      <c r="I25" s="285"/>
      <c r="J25" s="285"/>
      <c r="K25" s="285"/>
      <c r="L25" s="285"/>
      <c r="M25" s="285"/>
      <c r="N25" s="285"/>
      <c r="O25" s="284"/>
      <c r="P25" s="285">
        <f t="shared" si="7"/>
        <v>2.4</v>
      </c>
      <c r="Q25" s="285">
        <v>2.4</v>
      </c>
      <c r="R25" s="285"/>
      <c r="S25" s="285"/>
      <c r="T25" s="285"/>
      <c r="U25" s="285"/>
      <c r="V25" s="298">
        <f t="shared" si="16"/>
        <v>0</v>
      </c>
      <c r="W25" s="298"/>
      <c r="X25" s="298"/>
      <c r="Y25" s="298"/>
      <c r="Z25" s="298"/>
      <c r="AA25" s="298"/>
      <c r="AB25" s="298"/>
      <c r="AC25" s="298"/>
      <c r="AD25" s="298"/>
      <c r="AE25" s="285"/>
      <c r="AF25" s="299">
        <f t="shared" si="8"/>
        <v>0</v>
      </c>
      <c r="AG25" s="299">
        <f t="shared" si="9"/>
        <v>0</v>
      </c>
      <c r="AH25" s="299">
        <f t="shared" si="10"/>
        <v>0</v>
      </c>
      <c r="AI25" s="299">
        <f t="shared" si="11"/>
        <v>0</v>
      </c>
      <c r="AJ25" s="299">
        <f t="shared" si="12"/>
        <v>0</v>
      </c>
      <c r="AK25" s="299">
        <f t="shared" si="13"/>
        <v>0</v>
      </c>
      <c r="AL25" s="298">
        <f t="shared" si="17"/>
        <v>2.4</v>
      </c>
      <c r="AM25" s="298">
        <f t="shared" si="18"/>
        <v>2.4</v>
      </c>
      <c r="AN25" s="298">
        <f t="shared" si="19"/>
        <v>0</v>
      </c>
      <c r="AO25" s="298">
        <f t="shared" si="20"/>
        <v>0</v>
      </c>
      <c r="AP25" s="298">
        <f t="shared" si="21"/>
        <v>0</v>
      </c>
      <c r="AQ25" s="298">
        <f t="shared" si="22"/>
        <v>0</v>
      </c>
      <c r="AR25" s="298">
        <f t="shared" si="23"/>
        <v>0</v>
      </c>
      <c r="AS25" s="298">
        <f t="shared" si="24"/>
        <v>0</v>
      </c>
      <c r="AT25" s="298">
        <f t="shared" si="25"/>
        <v>0</v>
      </c>
      <c r="AU25" s="285">
        <f t="shared" si="14"/>
        <v>2.4</v>
      </c>
      <c r="AV25" s="298">
        <v>2.4</v>
      </c>
      <c r="AW25" s="285"/>
      <c r="AX25" s="285"/>
      <c r="AY25" s="285"/>
      <c r="AZ25" s="285"/>
      <c r="BA25" s="285"/>
    </row>
    <row r="26" s="258" customFormat="1" ht="24" spans="1:53">
      <c r="A26" s="283">
        <v>19</v>
      </c>
      <c r="B26" s="284" t="s">
        <v>221</v>
      </c>
      <c r="C26" s="284" t="s">
        <v>199</v>
      </c>
      <c r="D26" s="284" t="s">
        <v>228</v>
      </c>
      <c r="E26" s="284" t="s">
        <v>213</v>
      </c>
      <c r="F26" s="285">
        <f t="shared" si="15"/>
        <v>4.2</v>
      </c>
      <c r="G26" s="285">
        <v>4.2</v>
      </c>
      <c r="H26" s="285"/>
      <c r="I26" s="285"/>
      <c r="J26" s="285"/>
      <c r="K26" s="285"/>
      <c r="L26" s="285"/>
      <c r="M26" s="285"/>
      <c r="N26" s="285"/>
      <c r="O26" s="284"/>
      <c r="P26" s="285">
        <f t="shared" si="7"/>
        <v>4.2</v>
      </c>
      <c r="Q26" s="285">
        <v>4.2</v>
      </c>
      <c r="R26" s="285"/>
      <c r="S26" s="285"/>
      <c r="T26" s="285"/>
      <c r="U26" s="285"/>
      <c r="V26" s="298">
        <f t="shared" si="16"/>
        <v>0</v>
      </c>
      <c r="W26" s="298"/>
      <c r="X26" s="298"/>
      <c r="Y26" s="298"/>
      <c r="Z26" s="298"/>
      <c r="AA26" s="298"/>
      <c r="AB26" s="298"/>
      <c r="AC26" s="298"/>
      <c r="AD26" s="298"/>
      <c r="AE26" s="285"/>
      <c r="AF26" s="299">
        <f t="shared" si="8"/>
        <v>0</v>
      </c>
      <c r="AG26" s="299">
        <f t="shared" si="9"/>
        <v>0</v>
      </c>
      <c r="AH26" s="299">
        <f t="shared" si="10"/>
        <v>0</v>
      </c>
      <c r="AI26" s="299">
        <f t="shared" si="11"/>
        <v>0</v>
      </c>
      <c r="AJ26" s="299">
        <f t="shared" si="12"/>
        <v>0</v>
      </c>
      <c r="AK26" s="299">
        <f t="shared" si="13"/>
        <v>0</v>
      </c>
      <c r="AL26" s="298">
        <f t="shared" si="17"/>
        <v>4.2</v>
      </c>
      <c r="AM26" s="298">
        <f t="shared" si="18"/>
        <v>4.2</v>
      </c>
      <c r="AN26" s="298">
        <f t="shared" si="19"/>
        <v>0</v>
      </c>
      <c r="AO26" s="298">
        <f t="shared" si="20"/>
        <v>0</v>
      </c>
      <c r="AP26" s="298">
        <f t="shared" si="21"/>
        <v>0</v>
      </c>
      <c r="AQ26" s="298">
        <f t="shared" si="22"/>
        <v>0</v>
      </c>
      <c r="AR26" s="298">
        <f t="shared" si="23"/>
        <v>0</v>
      </c>
      <c r="AS26" s="298">
        <f t="shared" si="24"/>
        <v>0</v>
      </c>
      <c r="AT26" s="298">
        <f t="shared" si="25"/>
        <v>0</v>
      </c>
      <c r="AU26" s="285">
        <f t="shared" si="14"/>
        <v>4.2</v>
      </c>
      <c r="AV26" s="298">
        <v>4.2</v>
      </c>
      <c r="AW26" s="285"/>
      <c r="AX26" s="285"/>
      <c r="AY26" s="285"/>
      <c r="AZ26" s="285"/>
      <c r="BA26" s="285"/>
    </row>
    <row r="27" s="258" customFormat="1" ht="24" spans="1:53">
      <c r="A27" s="283">
        <v>20</v>
      </c>
      <c r="B27" s="284" t="s">
        <v>221</v>
      </c>
      <c r="C27" s="284" t="s">
        <v>199</v>
      </c>
      <c r="D27" s="284" t="s">
        <v>229</v>
      </c>
      <c r="E27" s="284" t="s">
        <v>213</v>
      </c>
      <c r="F27" s="285">
        <f t="shared" si="15"/>
        <v>18</v>
      </c>
      <c r="G27" s="285">
        <v>18</v>
      </c>
      <c r="H27" s="285"/>
      <c r="I27" s="285"/>
      <c r="J27" s="285"/>
      <c r="K27" s="285"/>
      <c r="L27" s="285"/>
      <c r="M27" s="285"/>
      <c r="N27" s="285"/>
      <c r="O27" s="284"/>
      <c r="P27" s="285">
        <f t="shared" si="7"/>
        <v>18</v>
      </c>
      <c r="Q27" s="285">
        <v>18</v>
      </c>
      <c r="R27" s="285"/>
      <c r="S27" s="285"/>
      <c r="T27" s="285"/>
      <c r="U27" s="285"/>
      <c r="V27" s="298">
        <f t="shared" si="16"/>
        <v>0</v>
      </c>
      <c r="W27" s="298"/>
      <c r="X27" s="298"/>
      <c r="Y27" s="298"/>
      <c r="Z27" s="298"/>
      <c r="AA27" s="298"/>
      <c r="AB27" s="298"/>
      <c r="AC27" s="298"/>
      <c r="AD27" s="298"/>
      <c r="AE27" s="285"/>
      <c r="AF27" s="299">
        <f t="shared" si="8"/>
        <v>0</v>
      </c>
      <c r="AG27" s="299">
        <f t="shared" si="9"/>
        <v>0</v>
      </c>
      <c r="AH27" s="299">
        <f t="shared" si="10"/>
        <v>0</v>
      </c>
      <c r="AI27" s="299">
        <f t="shared" si="11"/>
        <v>0</v>
      </c>
      <c r="AJ27" s="299">
        <f t="shared" si="12"/>
        <v>0</v>
      </c>
      <c r="AK27" s="299">
        <f t="shared" si="13"/>
        <v>0</v>
      </c>
      <c r="AL27" s="298">
        <f t="shared" si="17"/>
        <v>18</v>
      </c>
      <c r="AM27" s="298">
        <f t="shared" si="18"/>
        <v>18</v>
      </c>
      <c r="AN27" s="298">
        <f t="shared" si="19"/>
        <v>0</v>
      </c>
      <c r="AO27" s="298">
        <f t="shared" si="20"/>
        <v>0</v>
      </c>
      <c r="AP27" s="298">
        <f t="shared" si="21"/>
        <v>0</v>
      </c>
      <c r="AQ27" s="298">
        <f t="shared" si="22"/>
        <v>0</v>
      </c>
      <c r="AR27" s="298">
        <f t="shared" si="23"/>
        <v>0</v>
      </c>
      <c r="AS27" s="298">
        <f t="shared" si="24"/>
        <v>0</v>
      </c>
      <c r="AT27" s="298">
        <f t="shared" si="25"/>
        <v>0</v>
      </c>
      <c r="AU27" s="285">
        <f t="shared" si="14"/>
        <v>18</v>
      </c>
      <c r="AV27" s="298">
        <v>18</v>
      </c>
      <c r="AW27" s="285"/>
      <c r="AX27" s="285"/>
      <c r="AY27" s="285"/>
      <c r="AZ27" s="285"/>
      <c r="BA27" s="285"/>
    </row>
    <row r="28" s="258" customFormat="1" ht="48" spans="1:53">
      <c r="A28" s="283">
        <v>21</v>
      </c>
      <c r="B28" s="284" t="s">
        <v>221</v>
      </c>
      <c r="C28" s="284" t="s">
        <v>196</v>
      </c>
      <c r="D28" s="284" t="s">
        <v>230</v>
      </c>
      <c r="E28" s="284" t="s">
        <v>207</v>
      </c>
      <c r="F28" s="285">
        <f t="shared" si="15"/>
        <v>92.44</v>
      </c>
      <c r="G28" s="285">
        <v>10.2</v>
      </c>
      <c r="H28" s="285"/>
      <c r="I28" s="285">
        <v>12.24</v>
      </c>
      <c r="J28" s="285"/>
      <c r="K28" s="285"/>
      <c r="L28" s="285"/>
      <c r="M28" s="285">
        <v>70</v>
      </c>
      <c r="N28" s="285"/>
      <c r="O28" s="284" t="s">
        <v>967</v>
      </c>
      <c r="P28" s="285">
        <f t="shared" si="7"/>
        <v>92.44</v>
      </c>
      <c r="Q28" s="285">
        <v>22.44</v>
      </c>
      <c r="R28" s="285"/>
      <c r="S28" s="285">
        <v>70</v>
      </c>
      <c r="T28" s="285"/>
      <c r="U28" s="285"/>
      <c r="V28" s="298">
        <f t="shared" si="16"/>
        <v>107.76</v>
      </c>
      <c r="W28" s="298"/>
      <c r="X28" s="298"/>
      <c r="Y28" s="298">
        <v>0.06</v>
      </c>
      <c r="Z28" s="298"/>
      <c r="AA28" s="298"/>
      <c r="AB28" s="298">
        <f>-70+3.43+56.23+45.38+72.66</f>
        <v>107.7</v>
      </c>
      <c r="AC28" s="298"/>
      <c r="AD28" s="298"/>
      <c r="AE28" s="285" t="s">
        <v>968</v>
      </c>
      <c r="AF28" s="299">
        <f t="shared" si="8"/>
        <v>107.76</v>
      </c>
      <c r="AG28" s="299">
        <f t="shared" si="9"/>
        <v>132.38</v>
      </c>
      <c r="AH28" s="299">
        <f t="shared" si="10"/>
        <v>0</v>
      </c>
      <c r="AI28" s="299">
        <f t="shared" si="11"/>
        <v>-24.62</v>
      </c>
      <c r="AJ28" s="299">
        <f t="shared" si="12"/>
        <v>0</v>
      </c>
      <c r="AK28" s="299">
        <f t="shared" si="13"/>
        <v>0</v>
      </c>
      <c r="AL28" s="298">
        <f t="shared" si="17"/>
        <v>200.2</v>
      </c>
      <c r="AM28" s="298">
        <f t="shared" si="18"/>
        <v>10.2</v>
      </c>
      <c r="AN28" s="298">
        <f t="shared" si="19"/>
        <v>0</v>
      </c>
      <c r="AO28" s="298">
        <f t="shared" si="20"/>
        <v>12.3</v>
      </c>
      <c r="AP28" s="298">
        <f t="shared" si="21"/>
        <v>0</v>
      </c>
      <c r="AQ28" s="298">
        <f t="shared" si="22"/>
        <v>0</v>
      </c>
      <c r="AR28" s="298">
        <f t="shared" si="23"/>
        <v>177.7</v>
      </c>
      <c r="AS28" s="298">
        <f t="shared" si="24"/>
        <v>0</v>
      </c>
      <c r="AT28" s="298">
        <f t="shared" si="25"/>
        <v>0</v>
      </c>
      <c r="AU28" s="298">
        <f t="shared" si="14"/>
        <v>200.2</v>
      </c>
      <c r="AV28" s="298">
        <v>154.82</v>
      </c>
      <c r="AW28" s="298"/>
      <c r="AX28" s="298">
        <v>45.38</v>
      </c>
      <c r="AY28" s="298"/>
      <c r="AZ28" s="298"/>
      <c r="BA28" s="285">
        <v>92.15</v>
      </c>
    </row>
    <row r="29" s="258" customFormat="1" ht="24" spans="1:53">
      <c r="A29" s="283">
        <v>22</v>
      </c>
      <c r="B29" s="284" t="s">
        <v>221</v>
      </c>
      <c r="C29" s="284" t="s">
        <v>199</v>
      </c>
      <c r="D29" s="284" t="s">
        <v>231</v>
      </c>
      <c r="E29" s="284" t="s">
        <v>213</v>
      </c>
      <c r="F29" s="285">
        <f t="shared" si="15"/>
        <v>3.6</v>
      </c>
      <c r="G29" s="285">
        <v>3.6</v>
      </c>
      <c r="H29" s="285"/>
      <c r="I29" s="285"/>
      <c r="J29" s="285"/>
      <c r="K29" s="285"/>
      <c r="L29" s="285"/>
      <c r="M29" s="285"/>
      <c r="N29" s="285"/>
      <c r="O29" s="284"/>
      <c r="P29" s="285">
        <f t="shared" si="7"/>
        <v>3.6</v>
      </c>
      <c r="Q29" s="285">
        <v>3.6</v>
      </c>
      <c r="R29" s="285"/>
      <c r="S29" s="285"/>
      <c r="T29" s="285"/>
      <c r="U29" s="285"/>
      <c r="V29" s="298">
        <f t="shared" si="16"/>
        <v>0</v>
      </c>
      <c r="W29" s="298"/>
      <c r="X29" s="298"/>
      <c r="Y29" s="298"/>
      <c r="Z29" s="298"/>
      <c r="AA29" s="298"/>
      <c r="AB29" s="298"/>
      <c r="AC29" s="298"/>
      <c r="AD29" s="298"/>
      <c r="AE29" s="285"/>
      <c r="AF29" s="299">
        <f t="shared" si="8"/>
        <v>0</v>
      </c>
      <c r="AG29" s="299">
        <f t="shared" si="9"/>
        <v>0</v>
      </c>
      <c r="AH29" s="299">
        <f t="shared" si="10"/>
        <v>0</v>
      </c>
      <c r="AI29" s="299">
        <f t="shared" si="11"/>
        <v>0</v>
      </c>
      <c r="AJ29" s="299">
        <f t="shared" si="12"/>
        <v>0</v>
      </c>
      <c r="AK29" s="299">
        <f t="shared" si="13"/>
        <v>0</v>
      </c>
      <c r="AL29" s="298">
        <f t="shared" si="17"/>
        <v>3.6</v>
      </c>
      <c r="AM29" s="298">
        <f t="shared" si="18"/>
        <v>3.6</v>
      </c>
      <c r="AN29" s="298">
        <f t="shared" si="19"/>
        <v>0</v>
      </c>
      <c r="AO29" s="298">
        <f t="shared" si="20"/>
        <v>0</v>
      </c>
      <c r="AP29" s="298">
        <f t="shared" si="21"/>
        <v>0</v>
      </c>
      <c r="AQ29" s="298">
        <f t="shared" si="22"/>
        <v>0</v>
      </c>
      <c r="AR29" s="298">
        <f t="shared" si="23"/>
        <v>0</v>
      </c>
      <c r="AS29" s="298">
        <f t="shared" si="24"/>
        <v>0</v>
      </c>
      <c r="AT29" s="298">
        <f t="shared" si="25"/>
        <v>0</v>
      </c>
      <c r="AU29" s="285">
        <f t="shared" si="14"/>
        <v>3.6</v>
      </c>
      <c r="AV29" s="298">
        <v>3.6</v>
      </c>
      <c r="AW29" s="285"/>
      <c r="AX29" s="285"/>
      <c r="AY29" s="285"/>
      <c r="AZ29" s="285"/>
      <c r="BA29" s="285"/>
    </row>
    <row r="30" s="258" customFormat="1" ht="24" spans="1:53">
      <c r="A30" s="283">
        <v>23</v>
      </c>
      <c r="B30" s="284" t="s">
        <v>221</v>
      </c>
      <c r="C30" s="284" t="s">
        <v>199</v>
      </c>
      <c r="D30" s="284" t="s">
        <v>232</v>
      </c>
      <c r="E30" s="284" t="s">
        <v>213</v>
      </c>
      <c r="F30" s="285">
        <f t="shared" si="15"/>
        <v>4.8</v>
      </c>
      <c r="G30" s="285">
        <v>4.8</v>
      </c>
      <c r="H30" s="285"/>
      <c r="I30" s="285"/>
      <c r="J30" s="285"/>
      <c r="K30" s="285"/>
      <c r="L30" s="285"/>
      <c r="M30" s="285"/>
      <c r="N30" s="285"/>
      <c r="O30" s="284"/>
      <c r="P30" s="285">
        <f t="shared" si="7"/>
        <v>4.8</v>
      </c>
      <c r="Q30" s="285">
        <v>4.8</v>
      </c>
      <c r="R30" s="285"/>
      <c r="S30" s="285"/>
      <c r="T30" s="285"/>
      <c r="U30" s="285"/>
      <c r="V30" s="298">
        <f t="shared" si="16"/>
        <v>0</v>
      </c>
      <c r="W30" s="298"/>
      <c r="X30" s="298"/>
      <c r="Y30" s="298"/>
      <c r="Z30" s="298"/>
      <c r="AA30" s="298"/>
      <c r="AB30" s="298"/>
      <c r="AC30" s="298"/>
      <c r="AD30" s="298"/>
      <c r="AE30" s="285"/>
      <c r="AF30" s="299">
        <f t="shared" si="8"/>
        <v>0</v>
      </c>
      <c r="AG30" s="299">
        <f t="shared" si="9"/>
        <v>0</v>
      </c>
      <c r="AH30" s="299">
        <f t="shared" si="10"/>
        <v>0</v>
      </c>
      <c r="AI30" s="299">
        <f t="shared" si="11"/>
        <v>0</v>
      </c>
      <c r="AJ30" s="299">
        <f t="shared" si="12"/>
        <v>0</v>
      </c>
      <c r="AK30" s="299">
        <f t="shared" si="13"/>
        <v>0</v>
      </c>
      <c r="AL30" s="298">
        <f t="shared" si="17"/>
        <v>4.8</v>
      </c>
      <c r="AM30" s="298">
        <f t="shared" si="18"/>
        <v>4.8</v>
      </c>
      <c r="AN30" s="298">
        <f t="shared" si="19"/>
        <v>0</v>
      </c>
      <c r="AO30" s="298">
        <f t="shared" si="20"/>
        <v>0</v>
      </c>
      <c r="AP30" s="298">
        <f t="shared" si="21"/>
        <v>0</v>
      </c>
      <c r="AQ30" s="298">
        <f t="shared" si="22"/>
        <v>0</v>
      </c>
      <c r="AR30" s="298">
        <f t="shared" si="23"/>
        <v>0</v>
      </c>
      <c r="AS30" s="298">
        <f t="shared" si="24"/>
        <v>0</v>
      </c>
      <c r="AT30" s="298">
        <f t="shared" si="25"/>
        <v>0</v>
      </c>
      <c r="AU30" s="285">
        <f t="shared" si="14"/>
        <v>4.8</v>
      </c>
      <c r="AV30" s="298">
        <v>4.8</v>
      </c>
      <c r="AW30" s="285"/>
      <c r="AX30" s="285"/>
      <c r="AY30" s="285"/>
      <c r="AZ30" s="285"/>
      <c r="BA30" s="285"/>
    </row>
    <row r="31" s="258" customFormat="1" ht="24" spans="1:53">
      <c r="A31" s="283">
        <v>24</v>
      </c>
      <c r="B31" s="284" t="s">
        <v>221</v>
      </c>
      <c r="C31" s="284" t="s">
        <v>199</v>
      </c>
      <c r="D31" s="284" t="s">
        <v>233</v>
      </c>
      <c r="E31" s="284" t="s">
        <v>213</v>
      </c>
      <c r="F31" s="285">
        <f t="shared" si="15"/>
        <v>12.6</v>
      </c>
      <c r="G31" s="285">
        <v>12.6</v>
      </c>
      <c r="H31" s="285"/>
      <c r="I31" s="285"/>
      <c r="J31" s="285"/>
      <c r="K31" s="285"/>
      <c r="L31" s="285"/>
      <c r="M31" s="285"/>
      <c r="N31" s="285"/>
      <c r="O31" s="284"/>
      <c r="P31" s="285">
        <f t="shared" si="7"/>
        <v>12.6</v>
      </c>
      <c r="Q31" s="285">
        <v>12.6</v>
      </c>
      <c r="R31" s="285"/>
      <c r="S31" s="285"/>
      <c r="T31" s="285"/>
      <c r="U31" s="285"/>
      <c r="V31" s="298">
        <f t="shared" si="16"/>
        <v>0</v>
      </c>
      <c r="W31" s="298"/>
      <c r="X31" s="298"/>
      <c r="Y31" s="298"/>
      <c r="Z31" s="298"/>
      <c r="AA31" s="298"/>
      <c r="AB31" s="298"/>
      <c r="AC31" s="298"/>
      <c r="AD31" s="298"/>
      <c r="AE31" s="285"/>
      <c r="AF31" s="299">
        <f t="shared" si="8"/>
        <v>0</v>
      </c>
      <c r="AG31" s="299">
        <f t="shared" si="9"/>
        <v>0</v>
      </c>
      <c r="AH31" s="299">
        <f t="shared" si="10"/>
        <v>0</v>
      </c>
      <c r="AI31" s="299">
        <f t="shared" si="11"/>
        <v>0</v>
      </c>
      <c r="AJ31" s="299">
        <f t="shared" si="12"/>
        <v>0</v>
      </c>
      <c r="AK31" s="299">
        <f t="shared" si="13"/>
        <v>0</v>
      </c>
      <c r="AL31" s="298">
        <f t="shared" si="17"/>
        <v>12.6</v>
      </c>
      <c r="AM31" s="298">
        <f t="shared" si="18"/>
        <v>12.6</v>
      </c>
      <c r="AN31" s="298">
        <f t="shared" si="19"/>
        <v>0</v>
      </c>
      <c r="AO31" s="298">
        <f t="shared" si="20"/>
        <v>0</v>
      </c>
      <c r="AP31" s="298">
        <f t="shared" si="21"/>
        <v>0</v>
      </c>
      <c r="AQ31" s="298">
        <f t="shared" si="22"/>
        <v>0</v>
      </c>
      <c r="AR31" s="298">
        <f t="shared" si="23"/>
        <v>0</v>
      </c>
      <c r="AS31" s="298">
        <f t="shared" si="24"/>
        <v>0</v>
      </c>
      <c r="AT31" s="298">
        <f t="shared" si="25"/>
        <v>0</v>
      </c>
      <c r="AU31" s="285">
        <f t="shared" si="14"/>
        <v>12.6</v>
      </c>
      <c r="AV31" s="298">
        <v>12.6</v>
      </c>
      <c r="AW31" s="285"/>
      <c r="AX31" s="285"/>
      <c r="AY31" s="285"/>
      <c r="AZ31" s="285"/>
      <c r="BA31" s="285"/>
    </row>
    <row r="32" s="258" customFormat="1" ht="60" spans="1:53">
      <c r="A32" s="283">
        <v>25</v>
      </c>
      <c r="B32" s="284" t="s">
        <v>221</v>
      </c>
      <c r="C32" s="284" t="s">
        <v>196</v>
      </c>
      <c r="D32" s="284" t="s">
        <v>234</v>
      </c>
      <c r="E32" s="284" t="s">
        <v>207</v>
      </c>
      <c r="F32" s="285">
        <f t="shared" si="15"/>
        <v>164.2</v>
      </c>
      <c r="G32" s="285">
        <v>16.2</v>
      </c>
      <c r="H32" s="285"/>
      <c r="I32" s="285">
        <v>18</v>
      </c>
      <c r="J32" s="285"/>
      <c r="K32" s="285"/>
      <c r="L32" s="285"/>
      <c r="M32" s="285">
        <v>130</v>
      </c>
      <c r="N32" s="285"/>
      <c r="O32" s="284" t="s">
        <v>969</v>
      </c>
      <c r="P32" s="285">
        <f t="shared" si="7"/>
        <v>164.2</v>
      </c>
      <c r="Q32" s="285">
        <v>34.2</v>
      </c>
      <c r="R32" s="285"/>
      <c r="S32" s="285">
        <v>130</v>
      </c>
      <c r="T32" s="285"/>
      <c r="U32" s="285"/>
      <c r="V32" s="298">
        <f t="shared" si="16"/>
        <v>95.27</v>
      </c>
      <c r="W32" s="298"/>
      <c r="X32" s="298"/>
      <c r="Y32" s="298">
        <v>-2.11</v>
      </c>
      <c r="Z32" s="298"/>
      <c r="AA32" s="298"/>
      <c r="AB32" s="298">
        <f>-130+2+12.19+107.07+72.39+33.73</f>
        <v>97.38</v>
      </c>
      <c r="AC32" s="298"/>
      <c r="AD32" s="298"/>
      <c r="AE32" s="285" t="s">
        <v>970</v>
      </c>
      <c r="AF32" s="299">
        <f t="shared" si="8"/>
        <v>95.2700000000001</v>
      </c>
      <c r="AG32" s="299">
        <f t="shared" si="9"/>
        <v>152.88</v>
      </c>
      <c r="AH32" s="299">
        <f t="shared" si="10"/>
        <v>0</v>
      </c>
      <c r="AI32" s="299">
        <f t="shared" si="11"/>
        <v>-57.61</v>
      </c>
      <c r="AJ32" s="299">
        <f t="shared" si="12"/>
        <v>0</v>
      </c>
      <c r="AK32" s="299">
        <f t="shared" si="13"/>
        <v>0</v>
      </c>
      <c r="AL32" s="298">
        <f t="shared" si="17"/>
        <v>259.47</v>
      </c>
      <c r="AM32" s="298">
        <f t="shared" si="18"/>
        <v>16.2</v>
      </c>
      <c r="AN32" s="298">
        <f t="shared" si="19"/>
        <v>0</v>
      </c>
      <c r="AO32" s="298">
        <f t="shared" si="20"/>
        <v>15.89</v>
      </c>
      <c r="AP32" s="298">
        <f t="shared" si="21"/>
        <v>0</v>
      </c>
      <c r="AQ32" s="298">
        <f t="shared" si="22"/>
        <v>0</v>
      </c>
      <c r="AR32" s="298">
        <f t="shared" si="23"/>
        <v>227.38</v>
      </c>
      <c r="AS32" s="298">
        <f t="shared" si="24"/>
        <v>0</v>
      </c>
      <c r="AT32" s="298">
        <f t="shared" si="25"/>
        <v>0</v>
      </c>
      <c r="AU32" s="298">
        <f t="shared" si="14"/>
        <v>259.47</v>
      </c>
      <c r="AV32" s="298">
        <v>187.08</v>
      </c>
      <c r="AW32" s="298"/>
      <c r="AX32" s="298">
        <v>72.39</v>
      </c>
      <c r="AY32" s="298"/>
      <c r="AZ32" s="298"/>
      <c r="BA32" s="285">
        <v>1.49</v>
      </c>
    </row>
    <row r="33" s="258" customFormat="1" ht="24" spans="1:53">
      <c r="A33" s="283">
        <v>26</v>
      </c>
      <c r="B33" s="284" t="s">
        <v>221</v>
      </c>
      <c r="C33" s="284" t="s">
        <v>199</v>
      </c>
      <c r="D33" s="284" t="s">
        <v>235</v>
      </c>
      <c r="E33" s="284" t="s">
        <v>213</v>
      </c>
      <c r="F33" s="285">
        <f t="shared" si="15"/>
        <v>4.2</v>
      </c>
      <c r="G33" s="285">
        <v>4.2</v>
      </c>
      <c r="H33" s="285"/>
      <c r="I33" s="285"/>
      <c r="J33" s="285"/>
      <c r="K33" s="285"/>
      <c r="L33" s="285"/>
      <c r="M33" s="285"/>
      <c r="N33" s="285"/>
      <c r="O33" s="284"/>
      <c r="P33" s="285">
        <f t="shared" si="7"/>
        <v>4.2</v>
      </c>
      <c r="Q33" s="285">
        <v>4.2</v>
      </c>
      <c r="R33" s="285"/>
      <c r="S33" s="285"/>
      <c r="T33" s="285"/>
      <c r="U33" s="285"/>
      <c r="V33" s="298">
        <f t="shared" si="16"/>
        <v>0</v>
      </c>
      <c r="W33" s="298"/>
      <c r="X33" s="298"/>
      <c r="Y33" s="298"/>
      <c r="Z33" s="298"/>
      <c r="AA33" s="298"/>
      <c r="AB33" s="298"/>
      <c r="AC33" s="298"/>
      <c r="AD33" s="298"/>
      <c r="AE33" s="285"/>
      <c r="AF33" s="299">
        <f t="shared" si="8"/>
        <v>0</v>
      </c>
      <c r="AG33" s="299">
        <f t="shared" si="9"/>
        <v>0</v>
      </c>
      <c r="AH33" s="299">
        <f t="shared" si="10"/>
        <v>0</v>
      </c>
      <c r="AI33" s="299">
        <f t="shared" si="11"/>
        <v>0</v>
      </c>
      <c r="AJ33" s="299">
        <f t="shared" si="12"/>
        <v>0</v>
      </c>
      <c r="AK33" s="299">
        <f t="shared" si="13"/>
        <v>0</v>
      </c>
      <c r="AL33" s="298">
        <f t="shared" si="17"/>
        <v>4.2</v>
      </c>
      <c r="AM33" s="298">
        <f t="shared" si="18"/>
        <v>4.2</v>
      </c>
      <c r="AN33" s="298">
        <f t="shared" si="19"/>
        <v>0</v>
      </c>
      <c r="AO33" s="298">
        <f t="shared" si="20"/>
        <v>0</v>
      </c>
      <c r="AP33" s="298">
        <f t="shared" si="21"/>
        <v>0</v>
      </c>
      <c r="AQ33" s="298">
        <f t="shared" si="22"/>
        <v>0</v>
      </c>
      <c r="AR33" s="298">
        <f t="shared" si="23"/>
        <v>0</v>
      </c>
      <c r="AS33" s="298">
        <f t="shared" si="24"/>
        <v>0</v>
      </c>
      <c r="AT33" s="298">
        <f t="shared" si="25"/>
        <v>0</v>
      </c>
      <c r="AU33" s="285">
        <f t="shared" si="14"/>
        <v>4.2</v>
      </c>
      <c r="AV33" s="298">
        <v>4.2</v>
      </c>
      <c r="AW33" s="285"/>
      <c r="AX33" s="285"/>
      <c r="AY33" s="285"/>
      <c r="AZ33" s="285"/>
      <c r="BA33" s="285"/>
    </row>
    <row r="34" s="258" customFormat="1" ht="24" spans="1:53">
      <c r="A34" s="283">
        <v>27</v>
      </c>
      <c r="B34" s="284" t="s">
        <v>221</v>
      </c>
      <c r="C34" s="284" t="s">
        <v>199</v>
      </c>
      <c r="D34" s="284" t="s">
        <v>236</v>
      </c>
      <c r="E34" s="284" t="s">
        <v>213</v>
      </c>
      <c r="F34" s="285">
        <f t="shared" si="15"/>
        <v>6</v>
      </c>
      <c r="G34" s="285">
        <v>6</v>
      </c>
      <c r="H34" s="285"/>
      <c r="I34" s="285"/>
      <c r="J34" s="285"/>
      <c r="K34" s="285"/>
      <c r="L34" s="285"/>
      <c r="M34" s="285"/>
      <c r="N34" s="285"/>
      <c r="O34" s="284"/>
      <c r="P34" s="285">
        <f t="shared" si="7"/>
        <v>6</v>
      </c>
      <c r="Q34" s="285">
        <v>6</v>
      </c>
      <c r="R34" s="285"/>
      <c r="S34" s="285"/>
      <c r="T34" s="285"/>
      <c r="U34" s="285"/>
      <c r="V34" s="298">
        <f t="shared" si="16"/>
        <v>0</v>
      </c>
      <c r="W34" s="298"/>
      <c r="X34" s="298"/>
      <c r="Y34" s="298"/>
      <c r="Z34" s="298"/>
      <c r="AA34" s="298"/>
      <c r="AB34" s="298"/>
      <c r="AC34" s="298"/>
      <c r="AD34" s="298"/>
      <c r="AE34" s="285"/>
      <c r="AF34" s="299">
        <f t="shared" si="8"/>
        <v>0</v>
      </c>
      <c r="AG34" s="299">
        <f t="shared" si="9"/>
        <v>0</v>
      </c>
      <c r="AH34" s="299">
        <f t="shared" si="10"/>
        <v>0</v>
      </c>
      <c r="AI34" s="299">
        <f t="shared" si="11"/>
        <v>0</v>
      </c>
      <c r="AJ34" s="299">
        <f t="shared" si="12"/>
        <v>0</v>
      </c>
      <c r="AK34" s="299">
        <f t="shared" si="13"/>
        <v>0</v>
      </c>
      <c r="AL34" s="298">
        <f t="shared" si="17"/>
        <v>6</v>
      </c>
      <c r="AM34" s="298">
        <f t="shared" si="18"/>
        <v>6</v>
      </c>
      <c r="AN34" s="298">
        <f t="shared" si="19"/>
        <v>0</v>
      </c>
      <c r="AO34" s="298">
        <f t="shared" si="20"/>
        <v>0</v>
      </c>
      <c r="AP34" s="298">
        <f t="shared" si="21"/>
        <v>0</v>
      </c>
      <c r="AQ34" s="298">
        <f t="shared" si="22"/>
        <v>0</v>
      </c>
      <c r="AR34" s="298">
        <f t="shared" si="23"/>
        <v>0</v>
      </c>
      <c r="AS34" s="298">
        <f t="shared" si="24"/>
        <v>0</v>
      </c>
      <c r="AT34" s="298">
        <f t="shared" si="25"/>
        <v>0</v>
      </c>
      <c r="AU34" s="285">
        <f t="shared" si="14"/>
        <v>6</v>
      </c>
      <c r="AV34" s="298">
        <v>6</v>
      </c>
      <c r="AW34" s="285"/>
      <c r="AX34" s="285"/>
      <c r="AY34" s="285"/>
      <c r="AZ34" s="285"/>
      <c r="BA34" s="285"/>
    </row>
    <row r="35" s="258" customFormat="1" ht="24" spans="1:53">
      <c r="A35" s="283">
        <v>28</v>
      </c>
      <c r="B35" s="284" t="s">
        <v>221</v>
      </c>
      <c r="C35" s="284" t="s">
        <v>199</v>
      </c>
      <c r="D35" s="284" t="s">
        <v>237</v>
      </c>
      <c r="E35" s="284" t="s">
        <v>213</v>
      </c>
      <c r="F35" s="285">
        <f t="shared" si="15"/>
        <v>13.2</v>
      </c>
      <c r="G35" s="285">
        <v>13.2</v>
      </c>
      <c r="H35" s="285"/>
      <c r="I35" s="285"/>
      <c r="J35" s="285"/>
      <c r="K35" s="285"/>
      <c r="L35" s="285"/>
      <c r="M35" s="285"/>
      <c r="N35" s="285"/>
      <c r="O35" s="284"/>
      <c r="P35" s="285">
        <f t="shared" si="7"/>
        <v>13.2</v>
      </c>
      <c r="Q35" s="285">
        <v>13.2</v>
      </c>
      <c r="R35" s="285"/>
      <c r="S35" s="285"/>
      <c r="T35" s="285"/>
      <c r="U35" s="285"/>
      <c r="V35" s="298">
        <f t="shared" si="16"/>
        <v>0</v>
      </c>
      <c r="W35" s="298"/>
      <c r="X35" s="298"/>
      <c r="Y35" s="298"/>
      <c r="Z35" s="298"/>
      <c r="AA35" s="298"/>
      <c r="AB35" s="298"/>
      <c r="AC35" s="298"/>
      <c r="AD35" s="298"/>
      <c r="AE35" s="285"/>
      <c r="AF35" s="299">
        <f t="shared" si="8"/>
        <v>0</v>
      </c>
      <c r="AG35" s="299">
        <f t="shared" si="9"/>
        <v>0</v>
      </c>
      <c r="AH35" s="299">
        <f t="shared" si="10"/>
        <v>0</v>
      </c>
      <c r="AI35" s="299">
        <f t="shared" si="11"/>
        <v>0</v>
      </c>
      <c r="AJ35" s="299">
        <f t="shared" si="12"/>
        <v>0</v>
      </c>
      <c r="AK35" s="299">
        <f t="shared" si="13"/>
        <v>0</v>
      </c>
      <c r="AL35" s="298">
        <f t="shared" si="17"/>
        <v>13.2</v>
      </c>
      <c r="AM35" s="298">
        <f t="shared" si="18"/>
        <v>13.2</v>
      </c>
      <c r="AN35" s="298">
        <f t="shared" si="19"/>
        <v>0</v>
      </c>
      <c r="AO35" s="298">
        <f t="shared" si="20"/>
        <v>0</v>
      </c>
      <c r="AP35" s="298">
        <f t="shared" si="21"/>
        <v>0</v>
      </c>
      <c r="AQ35" s="298">
        <f t="shared" si="22"/>
        <v>0</v>
      </c>
      <c r="AR35" s="298">
        <f t="shared" si="23"/>
        <v>0</v>
      </c>
      <c r="AS35" s="298">
        <f t="shared" si="24"/>
        <v>0</v>
      </c>
      <c r="AT35" s="298">
        <f t="shared" si="25"/>
        <v>0</v>
      </c>
      <c r="AU35" s="285">
        <f t="shared" si="14"/>
        <v>13.2</v>
      </c>
      <c r="AV35" s="298">
        <v>13.2</v>
      </c>
      <c r="AW35" s="285"/>
      <c r="AX35" s="285"/>
      <c r="AY35" s="285"/>
      <c r="AZ35" s="285"/>
      <c r="BA35" s="285"/>
    </row>
    <row r="36" s="258" customFormat="1" ht="60" spans="1:53">
      <c r="A36" s="283">
        <v>29</v>
      </c>
      <c r="B36" s="284" t="s">
        <v>221</v>
      </c>
      <c r="C36" s="284" t="s">
        <v>196</v>
      </c>
      <c r="D36" s="284" t="s">
        <v>238</v>
      </c>
      <c r="E36" s="284" t="s">
        <v>207</v>
      </c>
      <c r="F36" s="285">
        <f t="shared" si="15"/>
        <v>127.26</v>
      </c>
      <c r="G36" s="285">
        <v>14.4</v>
      </c>
      <c r="H36" s="285"/>
      <c r="I36" s="285">
        <v>22.86</v>
      </c>
      <c r="J36" s="285"/>
      <c r="K36" s="285"/>
      <c r="L36" s="285"/>
      <c r="M36" s="285">
        <v>90</v>
      </c>
      <c r="N36" s="285"/>
      <c r="O36" s="284" t="s">
        <v>971</v>
      </c>
      <c r="P36" s="285">
        <f t="shared" si="7"/>
        <v>127.26</v>
      </c>
      <c r="Q36" s="285">
        <v>37.26</v>
      </c>
      <c r="R36" s="285"/>
      <c r="S36" s="285">
        <v>90</v>
      </c>
      <c r="T36" s="285"/>
      <c r="U36" s="285"/>
      <c r="V36" s="298">
        <f t="shared" si="16"/>
        <v>89.51</v>
      </c>
      <c r="W36" s="298"/>
      <c r="X36" s="298"/>
      <c r="Y36" s="298">
        <v>-1.19</v>
      </c>
      <c r="Z36" s="298"/>
      <c r="AA36" s="298"/>
      <c r="AB36" s="298">
        <f>-90+2+7.02+51.57+38.05+82.06</f>
        <v>90.7</v>
      </c>
      <c r="AC36" s="298"/>
      <c r="AD36" s="298"/>
      <c r="AE36" s="285" t="s">
        <v>972</v>
      </c>
      <c r="AF36" s="299">
        <f t="shared" si="8"/>
        <v>89.51</v>
      </c>
      <c r="AG36" s="299">
        <f t="shared" si="9"/>
        <v>141.46</v>
      </c>
      <c r="AH36" s="299">
        <f t="shared" si="10"/>
        <v>0</v>
      </c>
      <c r="AI36" s="299">
        <f t="shared" si="11"/>
        <v>-51.95</v>
      </c>
      <c r="AJ36" s="299">
        <f t="shared" si="12"/>
        <v>0</v>
      </c>
      <c r="AK36" s="299">
        <f t="shared" si="13"/>
        <v>0</v>
      </c>
      <c r="AL36" s="298">
        <f t="shared" si="17"/>
        <v>216.77</v>
      </c>
      <c r="AM36" s="298">
        <f t="shared" si="18"/>
        <v>14.4</v>
      </c>
      <c r="AN36" s="298">
        <f t="shared" si="19"/>
        <v>0</v>
      </c>
      <c r="AO36" s="298">
        <f t="shared" si="20"/>
        <v>21.67</v>
      </c>
      <c r="AP36" s="298">
        <f t="shared" si="21"/>
        <v>0</v>
      </c>
      <c r="AQ36" s="298">
        <f t="shared" si="22"/>
        <v>0</v>
      </c>
      <c r="AR36" s="298">
        <f t="shared" si="23"/>
        <v>180.7</v>
      </c>
      <c r="AS36" s="298">
        <f t="shared" si="24"/>
        <v>0</v>
      </c>
      <c r="AT36" s="298">
        <f t="shared" si="25"/>
        <v>0</v>
      </c>
      <c r="AU36" s="298">
        <f t="shared" si="14"/>
        <v>216.77</v>
      </c>
      <c r="AV36" s="298">
        <v>178.72</v>
      </c>
      <c r="AW36" s="298"/>
      <c r="AX36" s="298">
        <v>38.05</v>
      </c>
      <c r="AY36" s="298"/>
      <c r="AZ36" s="298"/>
      <c r="BA36" s="285">
        <v>0.86</v>
      </c>
    </row>
    <row r="37" s="258" customFormat="1" ht="24" spans="1:53">
      <c r="A37" s="283">
        <v>30</v>
      </c>
      <c r="B37" s="284" t="s">
        <v>221</v>
      </c>
      <c r="C37" s="284" t="s">
        <v>199</v>
      </c>
      <c r="D37" s="284" t="s">
        <v>239</v>
      </c>
      <c r="E37" s="284" t="s">
        <v>213</v>
      </c>
      <c r="F37" s="285">
        <f t="shared" si="15"/>
        <v>3</v>
      </c>
      <c r="G37" s="285">
        <v>3</v>
      </c>
      <c r="H37" s="285"/>
      <c r="I37" s="285"/>
      <c r="J37" s="285"/>
      <c r="K37" s="285"/>
      <c r="L37" s="285"/>
      <c r="M37" s="285"/>
      <c r="N37" s="285"/>
      <c r="O37" s="284"/>
      <c r="P37" s="285">
        <f t="shared" si="7"/>
        <v>3</v>
      </c>
      <c r="Q37" s="285">
        <v>3</v>
      </c>
      <c r="R37" s="285"/>
      <c r="S37" s="285"/>
      <c r="T37" s="285"/>
      <c r="U37" s="285"/>
      <c r="V37" s="298">
        <f t="shared" si="16"/>
        <v>0</v>
      </c>
      <c r="W37" s="298"/>
      <c r="X37" s="298"/>
      <c r="Y37" s="298"/>
      <c r="Z37" s="298"/>
      <c r="AA37" s="298"/>
      <c r="AB37" s="298"/>
      <c r="AC37" s="298"/>
      <c r="AD37" s="298"/>
      <c r="AE37" s="285"/>
      <c r="AF37" s="299">
        <f t="shared" si="8"/>
        <v>0</v>
      </c>
      <c r="AG37" s="299">
        <f t="shared" si="9"/>
        <v>0</v>
      </c>
      <c r="AH37" s="299">
        <f t="shared" si="10"/>
        <v>0</v>
      </c>
      <c r="AI37" s="299">
        <f t="shared" si="11"/>
        <v>0</v>
      </c>
      <c r="AJ37" s="299">
        <f t="shared" si="12"/>
        <v>0</v>
      </c>
      <c r="AK37" s="299">
        <f t="shared" si="13"/>
        <v>0</v>
      </c>
      <c r="AL37" s="298">
        <f t="shared" si="17"/>
        <v>3</v>
      </c>
      <c r="AM37" s="298">
        <f t="shared" si="18"/>
        <v>3</v>
      </c>
      <c r="AN37" s="298">
        <f t="shared" si="19"/>
        <v>0</v>
      </c>
      <c r="AO37" s="298">
        <f t="shared" si="20"/>
        <v>0</v>
      </c>
      <c r="AP37" s="298">
        <f t="shared" si="21"/>
        <v>0</v>
      </c>
      <c r="AQ37" s="298">
        <f t="shared" si="22"/>
        <v>0</v>
      </c>
      <c r="AR37" s="298">
        <f t="shared" si="23"/>
        <v>0</v>
      </c>
      <c r="AS37" s="298">
        <f t="shared" si="24"/>
        <v>0</v>
      </c>
      <c r="AT37" s="298">
        <f t="shared" si="25"/>
        <v>0</v>
      </c>
      <c r="AU37" s="285">
        <f t="shared" si="14"/>
        <v>3</v>
      </c>
      <c r="AV37" s="298">
        <v>3</v>
      </c>
      <c r="AW37" s="285"/>
      <c r="AX37" s="285"/>
      <c r="AY37" s="285"/>
      <c r="AZ37" s="285"/>
      <c r="BA37" s="285"/>
    </row>
    <row r="38" s="258" customFormat="1" ht="24" spans="1:53">
      <c r="A38" s="283">
        <v>31</v>
      </c>
      <c r="B38" s="284" t="s">
        <v>221</v>
      </c>
      <c r="C38" s="284" t="s">
        <v>199</v>
      </c>
      <c r="D38" s="284" t="s">
        <v>240</v>
      </c>
      <c r="E38" s="284" t="s">
        <v>213</v>
      </c>
      <c r="F38" s="285">
        <f t="shared" si="15"/>
        <v>4.2</v>
      </c>
      <c r="G38" s="285">
        <v>4.2</v>
      </c>
      <c r="H38" s="285"/>
      <c r="I38" s="285"/>
      <c r="J38" s="285"/>
      <c r="K38" s="285"/>
      <c r="L38" s="285"/>
      <c r="M38" s="285"/>
      <c r="N38" s="285"/>
      <c r="O38" s="284"/>
      <c r="P38" s="285">
        <f t="shared" si="7"/>
        <v>4.2</v>
      </c>
      <c r="Q38" s="285">
        <v>4.2</v>
      </c>
      <c r="R38" s="285"/>
      <c r="S38" s="285"/>
      <c r="T38" s="285"/>
      <c r="U38" s="285"/>
      <c r="V38" s="298">
        <f t="shared" si="16"/>
        <v>0</v>
      </c>
      <c r="W38" s="298"/>
      <c r="X38" s="298"/>
      <c r="Y38" s="298"/>
      <c r="Z38" s="298"/>
      <c r="AA38" s="298"/>
      <c r="AB38" s="298"/>
      <c r="AC38" s="298"/>
      <c r="AD38" s="298"/>
      <c r="AE38" s="285"/>
      <c r="AF38" s="299">
        <f t="shared" si="8"/>
        <v>0</v>
      </c>
      <c r="AG38" s="299">
        <f t="shared" si="9"/>
        <v>0</v>
      </c>
      <c r="AH38" s="299">
        <f t="shared" si="10"/>
        <v>0</v>
      </c>
      <c r="AI38" s="299">
        <f t="shared" si="11"/>
        <v>0</v>
      </c>
      <c r="AJ38" s="299">
        <f t="shared" si="12"/>
        <v>0</v>
      </c>
      <c r="AK38" s="299">
        <f t="shared" si="13"/>
        <v>0</v>
      </c>
      <c r="AL38" s="298">
        <f t="shared" si="17"/>
        <v>4.2</v>
      </c>
      <c r="AM38" s="298">
        <f t="shared" si="18"/>
        <v>4.2</v>
      </c>
      <c r="AN38" s="298">
        <f t="shared" si="19"/>
        <v>0</v>
      </c>
      <c r="AO38" s="298">
        <f t="shared" si="20"/>
        <v>0</v>
      </c>
      <c r="AP38" s="298">
        <f t="shared" si="21"/>
        <v>0</v>
      </c>
      <c r="AQ38" s="298">
        <f t="shared" si="22"/>
        <v>0</v>
      </c>
      <c r="AR38" s="298">
        <f t="shared" si="23"/>
        <v>0</v>
      </c>
      <c r="AS38" s="298">
        <f t="shared" si="24"/>
        <v>0</v>
      </c>
      <c r="AT38" s="298">
        <f t="shared" si="25"/>
        <v>0</v>
      </c>
      <c r="AU38" s="285">
        <f t="shared" si="14"/>
        <v>4.2</v>
      </c>
      <c r="AV38" s="298">
        <v>4.2</v>
      </c>
      <c r="AW38" s="285"/>
      <c r="AX38" s="285"/>
      <c r="AY38" s="285"/>
      <c r="AZ38" s="285"/>
      <c r="BA38" s="285"/>
    </row>
    <row r="39" s="258" customFormat="1" ht="24" spans="1:53">
      <c r="A39" s="283">
        <v>32</v>
      </c>
      <c r="B39" s="284" t="s">
        <v>221</v>
      </c>
      <c r="C39" s="284" t="s">
        <v>199</v>
      </c>
      <c r="D39" s="284" t="s">
        <v>241</v>
      </c>
      <c r="E39" s="284" t="s">
        <v>213</v>
      </c>
      <c r="F39" s="285">
        <f t="shared" si="15"/>
        <v>18.6</v>
      </c>
      <c r="G39" s="285">
        <v>18.6</v>
      </c>
      <c r="H39" s="285"/>
      <c r="I39" s="285"/>
      <c r="J39" s="285"/>
      <c r="K39" s="285"/>
      <c r="L39" s="285"/>
      <c r="M39" s="285"/>
      <c r="N39" s="285"/>
      <c r="O39" s="284"/>
      <c r="P39" s="285">
        <f t="shared" si="7"/>
        <v>18.6</v>
      </c>
      <c r="Q39" s="285">
        <v>18.6</v>
      </c>
      <c r="R39" s="285"/>
      <c r="S39" s="285"/>
      <c r="T39" s="285"/>
      <c r="U39" s="285"/>
      <c r="V39" s="298">
        <f t="shared" si="16"/>
        <v>0</v>
      </c>
      <c r="W39" s="298"/>
      <c r="X39" s="298"/>
      <c r="Y39" s="298"/>
      <c r="Z39" s="298"/>
      <c r="AA39" s="298"/>
      <c r="AB39" s="298"/>
      <c r="AC39" s="298"/>
      <c r="AD39" s="298"/>
      <c r="AE39" s="285"/>
      <c r="AF39" s="299">
        <f t="shared" si="8"/>
        <v>0</v>
      </c>
      <c r="AG39" s="299">
        <f t="shared" si="9"/>
        <v>0</v>
      </c>
      <c r="AH39" s="299">
        <f t="shared" si="10"/>
        <v>0</v>
      </c>
      <c r="AI39" s="299">
        <f t="shared" si="11"/>
        <v>0</v>
      </c>
      <c r="AJ39" s="299">
        <f t="shared" si="12"/>
        <v>0</v>
      </c>
      <c r="AK39" s="299">
        <f t="shared" si="13"/>
        <v>0</v>
      </c>
      <c r="AL39" s="298">
        <f t="shared" si="17"/>
        <v>18.6</v>
      </c>
      <c r="AM39" s="298">
        <f t="shared" si="18"/>
        <v>18.6</v>
      </c>
      <c r="AN39" s="298">
        <f t="shared" si="19"/>
        <v>0</v>
      </c>
      <c r="AO39" s="298">
        <f t="shared" si="20"/>
        <v>0</v>
      </c>
      <c r="AP39" s="298">
        <f t="shared" si="21"/>
        <v>0</v>
      </c>
      <c r="AQ39" s="298">
        <f t="shared" si="22"/>
        <v>0</v>
      </c>
      <c r="AR39" s="298">
        <f t="shared" si="23"/>
        <v>0</v>
      </c>
      <c r="AS39" s="298">
        <f t="shared" si="24"/>
        <v>0</v>
      </c>
      <c r="AT39" s="298">
        <f t="shared" si="25"/>
        <v>0</v>
      </c>
      <c r="AU39" s="285">
        <f t="shared" si="14"/>
        <v>18.6</v>
      </c>
      <c r="AV39" s="298">
        <v>18.6</v>
      </c>
      <c r="AW39" s="285"/>
      <c r="AX39" s="285"/>
      <c r="AY39" s="285"/>
      <c r="AZ39" s="285"/>
      <c r="BA39" s="285"/>
    </row>
    <row r="40" s="258" customFormat="1" ht="36" spans="1:53">
      <c r="A40" s="283">
        <v>33</v>
      </c>
      <c r="B40" s="284" t="s">
        <v>221</v>
      </c>
      <c r="C40" s="284" t="s">
        <v>196</v>
      </c>
      <c r="D40" s="284" t="s">
        <v>242</v>
      </c>
      <c r="E40" s="284" t="s">
        <v>207</v>
      </c>
      <c r="F40" s="285">
        <f t="shared" si="15"/>
        <v>81.18</v>
      </c>
      <c r="G40" s="285">
        <v>9.6</v>
      </c>
      <c r="H40" s="285"/>
      <c r="I40" s="285">
        <v>11.58</v>
      </c>
      <c r="J40" s="285"/>
      <c r="K40" s="285"/>
      <c r="L40" s="285"/>
      <c r="M40" s="285">
        <v>60</v>
      </c>
      <c r="N40" s="285"/>
      <c r="O40" s="284" t="s">
        <v>973</v>
      </c>
      <c r="P40" s="285">
        <f t="shared" si="7"/>
        <v>81.18</v>
      </c>
      <c r="Q40" s="285">
        <v>21.18</v>
      </c>
      <c r="R40" s="285"/>
      <c r="S40" s="285">
        <v>60</v>
      </c>
      <c r="T40" s="285"/>
      <c r="U40" s="285"/>
      <c r="V40" s="298">
        <f t="shared" si="16"/>
        <v>-7.36</v>
      </c>
      <c r="W40" s="298"/>
      <c r="X40" s="298"/>
      <c r="Y40" s="298">
        <v>-1.01</v>
      </c>
      <c r="Z40" s="298"/>
      <c r="AA40" s="298"/>
      <c r="AB40" s="298">
        <f>-60+31.32+9.82+12.51</f>
        <v>-6.35</v>
      </c>
      <c r="AC40" s="298"/>
      <c r="AD40" s="298"/>
      <c r="AE40" s="285" t="s">
        <v>974</v>
      </c>
      <c r="AF40" s="299">
        <f t="shared" si="8"/>
        <v>-7.36000000000001</v>
      </c>
      <c r="AG40" s="299">
        <f t="shared" si="9"/>
        <v>42.82</v>
      </c>
      <c r="AH40" s="299">
        <f t="shared" si="10"/>
        <v>0</v>
      </c>
      <c r="AI40" s="299">
        <f t="shared" si="11"/>
        <v>-50.18</v>
      </c>
      <c r="AJ40" s="299">
        <f t="shared" si="12"/>
        <v>0</v>
      </c>
      <c r="AK40" s="299">
        <f t="shared" si="13"/>
        <v>0</v>
      </c>
      <c r="AL40" s="298">
        <f t="shared" si="17"/>
        <v>73.82</v>
      </c>
      <c r="AM40" s="298">
        <f t="shared" si="18"/>
        <v>9.6</v>
      </c>
      <c r="AN40" s="298">
        <f t="shared" si="19"/>
        <v>0</v>
      </c>
      <c r="AO40" s="298">
        <f t="shared" si="20"/>
        <v>10.57</v>
      </c>
      <c r="AP40" s="298">
        <f t="shared" si="21"/>
        <v>0</v>
      </c>
      <c r="AQ40" s="298">
        <f t="shared" si="22"/>
        <v>0</v>
      </c>
      <c r="AR40" s="298">
        <f t="shared" si="23"/>
        <v>53.65</v>
      </c>
      <c r="AS40" s="298">
        <f t="shared" si="24"/>
        <v>0</v>
      </c>
      <c r="AT40" s="298">
        <f t="shared" si="25"/>
        <v>0</v>
      </c>
      <c r="AU40" s="298">
        <f t="shared" si="14"/>
        <v>73.82</v>
      </c>
      <c r="AV40" s="298">
        <v>64</v>
      </c>
      <c r="AW40" s="298"/>
      <c r="AX40" s="298">
        <v>9.82</v>
      </c>
      <c r="AY40" s="298"/>
      <c r="AZ40" s="298"/>
      <c r="BA40" s="285">
        <v>0.406</v>
      </c>
    </row>
    <row r="41" s="258" customFormat="1" ht="24" spans="1:53">
      <c r="A41" s="283">
        <v>34</v>
      </c>
      <c r="B41" s="284" t="s">
        <v>221</v>
      </c>
      <c r="C41" s="284" t="s">
        <v>199</v>
      </c>
      <c r="D41" s="284" t="s">
        <v>243</v>
      </c>
      <c r="E41" s="284" t="s">
        <v>213</v>
      </c>
      <c r="F41" s="285">
        <f t="shared" si="15"/>
        <v>2.4</v>
      </c>
      <c r="G41" s="285">
        <v>2.4</v>
      </c>
      <c r="H41" s="285"/>
      <c r="I41" s="285"/>
      <c r="J41" s="285"/>
      <c r="K41" s="285"/>
      <c r="L41" s="285"/>
      <c r="M41" s="285"/>
      <c r="N41" s="285"/>
      <c r="O41" s="284"/>
      <c r="P41" s="285">
        <f t="shared" si="7"/>
        <v>2.4</v>
      </c>
      <c r="Q41" s="285">
        <v>2.4</v>
      </c>
      <c r="R41" s="285"/>
      <c r="S41" s="285"/>
      <c r="T41" s="285"/>
      <c r="U41" s="285"/>
      <c r="V41" s="298">
        <f t="shared" si="16"/>
        <v>0</v>
      </c>
      <c r="W41" s="298"/>
      <c r="X41" s="298"/>
      <c r="Y41" s="298"/>
      <c r="Z41" s="298"/>
      <c r="AA41" s="298"/>
      <c r="AB41" s="298"/>
      <c r="AC41" s="298"/>
      <c r="AD41" s="298"/>
      <c r="AE41" s="285"/>
      <c r="AF41" s="299">
        <f t="shared" si="8"/>
        <v>0</v>
      </c>
      <c r="AG41" s="299">
        <f t="shared" si="9"/>
        <v>0</v>
      </c>
      <c r="AH41" s="299">
        <f t="shared" si="10"/>
        <v>0</v>
      </c>
      <c r="AI41" s="299">
        <f t="shared" si="11"/>
        <v>0</v>
      </c>
      <c r="AJ41" s="299">
        <f t="shared" si="12"/>
        <v>0</v>
      </c>
      <c r="AK41" s="299">
        <f t="shared" si="13"/>
        <v>0</v>
      </c>
      <c r="AL41" s="298">
        <f t="shared" si="17"/>
        <v>2.4</v>
      </c>
      <c r="AM41" s="298">
        <f t="shared" si="18"/>
        <v>2.4</v>
      </c>
      <c r="AN41" s="298">
        <f t="shared" si="19"/>
        <v>0</v>
      </c>
      <c r="AO41" s="298">
        <f t="shared" si="20"/>
        <v>0</v>
      </c>
      <c r="AP41" s="298">
        <f t="shared" si="21"/>
        <v>0</v>
      </c>
      <c r="AQ41" s="298">
        <f t="shared" si="22"/>
        <v>0</v>
      </c>
      <c r="AR41" s="298">
        <f t="shared" si="23"/>
        <v>0</v>
      </c>
      <c r="AS41" s="298">
        <f t="shared" si="24"/>
        <v>0</v>
      </c>
      <c r="AT41" s="298">
        <f t="shared" si="25"/>
        <v>0</v>
      </c>
      <c r="AU41" s="285">
        <f t="shared" si="14"/>
        <v>2.4</v>
      </c>
      <c r="AV41" s="298">
        <v>2.4</v>
      </c>
      <c r="AW41" s="285"/>
      <c r="AX41" s="285"/>
      <c r="AY41" s="285"/>
      <c r="AZ41" s="285"/>
      <c r="BA41" s="285"/>
    </row>
    <row r="42" s="258" customFormat="1" ht="24" spans="1:53">
      <c r="A42" s="283">
        <v>35</v>
      </c>
      <c r="B42" s="284" t="s">
        <v>221</v>
      </c>
      <c r="C42" s="284" t="s">
        <v>199</v>
      </c>
      <c r="D42" s="284" t="s">
        <v>244</v>
      </c>
      <c r="E42" s="284" t="s">
        <v>213</v>
      </c>
      <c r="F42" s="285">
        <f t="shared" ref="F42:F73" si="26">SUM(G42:N42)</f>
        <v>3</v>
      </c>
      <c r="G42" s="285">
        <v>3</v>
      </c>
      <c r="H42" s="285"/>
      <c r="I42" s="285"/>
      <c r="J42" s="285"/>
      <c r="K42" s="285"/>
      <c r="L42" s="285"/>
      <c r="M42" s="285"/>
      <c r="N42" s="285"/>
      <c r="O42" s="284"/>
      <c r="P42" s="285">
        <f t="shared" si="7"/>
        <v>3</v>
      </c>
      <c r="Q42" s="285">
        <v>3</v>
      </c>
      <c r="R42" s="285"/>
      <c r="S42" s="285"/>
      <c r="T42" s="285"/>
      <c r="U42" s="285"/>
      <c r="V42" s="298">
        <f t="shared" ref="V42:V73" si="27">SUM(W42:AD42)</f>
        <v>0</v>
      </c>
      <c r="W42" s="298"/>
      <c r="X42" s="298"/>
      <c r="Y42" s="298"/>
      <c r="Z42" s="298"/>
      <c r="AA42" s="298"/>
      <c r="AB42" s="298"/>
      <c r="AC42" s="298"/>
      <c r="AD42" s="298"/>
      <c r="AE42" s="285"/>
      <c r="AF42" s="299">
        <f t="shared" si="8"/>
        <v>0</v>
      </c>
      <c r="AG42" s="299">
        <f t="shared" si="9"/>
        <v>0</v>
      </c>
      <c r="AH42" s="299">
        <f t="shared" si="10"/>
        <v>0</v>
      </c>
      <c r="AI42" s="299">
        <f t="shared" si="11"/>
        <v>0</v>
      </c>
      <c r="AJ42" s="299">
        <f t="shared" si="12"/>
        <v>0</v>
      </c>
      <c r="AK42" s="299">
        <f t="shared" si="13"/>
        <v>0</v>
      </c>
      <c r="AL42" s="298">
        <f t="shared" ref="AL42:AL73" si="28">SUM(AM42:AT42)</f>
        <v>3</v>
      </c>
      <c r="AM42" s="298">
        <f t="shared" ref="AM42:AM73" si="29">G42+W42</f>
        <v>3</v>
      </c>
      <c r="AN42" s="298">
        <f t="shared" ref="AN42:AN73" si="30">H42+X42</f>
        <v>0</v>
      </c>
      <c r="AO42" s="298">
        <f t="shared" ref="AO42:AO73" si="31">I42+Y42</f>
        <v>0</v>
      </c>
      <c r="AP42" s="298">
        <f t="shared" ref="AP42:AP73" si="32">J42+Z42</f>
        <v>0</v>
      </c>
      <c r="AQ42" s="298">
        <f t="shared" ref="AQ42:AQ73" si="33">K42+AA42</f>
        <v>0</v>
      </c>
      <c r="AR42" s="298">
        <f t="shared" ref="AR42:AR73" si="34">M42+AB42</f>
        <v>0</v>
      </c>
      <c r="AS42" s="298">
        <f t="shared" si="24"/>
        <v>0</v>
      </c>
      <c r="AT42" s="298">
        <f t="shared" ref="AT42:AT73" si="35">N42+AD42</f>
        <v>0</v>
      </c>
      <c r="AU42" s="285">
        <f t="shared" si="14"/>
        <v>3</v>
      </c>
      <c r="AV42" s="298">
        <v>3</v>
      </c>
      <c r="AW42" s="285"/>
      <c r="AX42" s="285"/>
      <c r="AY42" s="285"/>
      <c r="AZ42" s="285"/>
      <c r="BA42" s="285"/>
    </row>
    <row r="43" s="258" customFormat="1" ht="24" spans="1:53">
      <c r="A43" s="283">
        <v>36</v>
      </c>
      <c r="B43" s="284" t="s">
        <v>221</v>
      </c>
      <c r="C43" s="284" t="s">
        <v>199</v>
      </c>
      <c r="D43" s="284" t="s">
        <v>245</v>
      </c>
      <c r="E43" s="284" t="s">
        <v>213</v>
      </c>
      <c r="F43" s="285">
        <f t="shared" si="26"/>
        <v>7.8</v>
      </c>
      <c r="G43" s="285">
        <v>7.8</v>
      </c>
      <c r="H43" s="285"/>
      <c r="I43" s="285"/>
      <c r="J43" s="285"/>
      <c r="K43" s="285"/>
      <c r="L43" s="285"/>
      <c r="M43" s="285"/>
      <c r="N43" s="285"/>
      <c r="O43" s="284"/>
      <c r="P43" s="285">
        <f t="shared" si="7"/>
        <v>7.8</v>
      </c>
      <c r="Q43" s="285">
        <v>7.8</v>
      </c>
      <c r="R43" s="285"/>
      <c r="S43" s="285"/>
      <c r="T43" s="285"/>
      <c r="U43" s="285"/>
      <c r="V43" s="298">
        <f t="shared" si="27"/>
        <v>0</v>
      </c>
      <c r="W43" s="298"/>
      <c r="X43" s="298"/>
      <c r="Y43" s="298"/>
      <c r="Z43" s="298"/>
      <c r="AA43" s="298"/>
      <c r="AB43" s="298"/>
      <c r="AC43" s="298"/>
      <c r="AD43" s="298"/>
      <c r="AE43" s="285"/>
      <c r="AF43" s="299">
        <f t="shared" si="8"/>
        <v>0</v>
      </c>
      <c r="AG43" s="299">
        <f t="shared" si="9"/>
        <v>0</v>
      </c>
      <c r="AH43" s="299">
        <f t="shared" si="10"/>
        <v>0</v>
      </c>
      <c r="AI43" s="299">
        <f t="shared" si="11"/>
        <v>0</v>
      </c>
      <c r="AJ43" s="299">
        <f t="shared" si="12"/>
        <v>0</v>
      </c>
      <c r="AK43" s="299">
        <f t="shared" si="13"/>
        <v>0</v>
      </c>
      <c r="AL43" s="298">
        <f t="shared" si="28"/>
        <v>7.8</v>
      </c>
      <c r="AM43" s="298">
        <f t="shared" si="29"/>
        <v>7.8</v>
      </c>
      <c r="AN43" s="298">
        <f t="shared" si="30"/>
        <v>0</v>
      </c>
      <c r="AO43" s="298">
        <f t="shared" si="31"/>
        <v>0</v>
      </c>
      <c r="AP43" s="298">
        <f t="shared" si="32"/>
        <v>0</v>
      </c>
      <c r="AQ43" s="298">
        <f t="shared" si="33"/>
        <v>0</v>
      </c>
      <c r="AR43" s="298">
        <f t="shared" si="34"/>
        <v>0</v>
      </c>
      <c r="AS43" s="298">
        <f t="shared" si="24"/>
        <v>0</v>
      </c>
      <c r="AT43" s="298">
        <f t="shared" si="35"/>
        <v>0</v>
      </c>
      <c r="AU43" s="285">
        <f t="shared" si="14"/>
        <v>7.8</v>
      </c>
      <c r="AV43" s="298">
        <v>7.8</v>
      </c>
      <c r="AW43" s="285"/>
      <c r="AX43" s="285"/>
      <c r="AY43" s="285"/>
      <c r="AZ43" s="285"/>
      <c r="BA43" s="285"/>
    </row>
    <row r="44" s="258" customFormat="1" ht="48" spans="1:53">
      <c r="A44" s="283">
        <v>37</v>
      </c>
      <c r="B44" s="284" t="s">
        <v>221</v>
      </c>
      <c r="C44" s="284" t="s">
        <v>196</v>
      </c>
      <c r="D44" s="284" t="s">
        <v>246</v>
      </c>
      <c r="E44" s="284" t="s">
        <v>207</v>
      </c>
      <c r="F44" s="285">
        <f t="shared" si="26"/>
        <v>80.82</v>
      </c>
      <c r="G44" s="285">
        <v>9.6</v>
      </c>
      <c r="H44" s="285"/>
      <c r="I44" s="285">
        <v>11.22</v>
      </c>
      <c r="J44" s="285"/>
      <c r="K44" s="285"/>
      <c r="L44" s="285"/>
      <c r="M44" s="285">
        <v>60</v>
      </c>
      <c r="N44" s="285"/>
      <c r="O44" s="284" t="s">
        <v>975</v>
      </c>
      <c r="P44" s="285">
        <f t="shared" si="7"/>
        <v>80.82</v>
      </c>
      <c r="Q44" s="285">
        <v>20.82</v>
      </c>
      <c r="R44" s="285"/>
      <c r="S44" s="285">
        <v>60</v>
      </c>
      <c r="T44" s="285"/>
      <c r="U44" s="285"/>
      <c r="V44" s="298">
        <f t="shared" si="27"/>
        <v>19.42</v>
      </c>
      <c r="W44" s="298"/>
      <c r="X44" s="298"/>
      <c r="Y44" s="298">
        <v>-0.46</v>
      </c>
      <c r="Z44" s="298"/>
      <c r="AA44" s="298"/>
      <c r="AB44" s="298">
        <f>-60+2+49.97+1.03+4.85+22.03</f>
        <v>19.88</v>
      </c>
      <c r="AC44" s="298"/>
      <c r="AD44" s="298"/>
      <c r="AE44" s="285" t="s">
        <v>976</v>
      </c>
      <c r="AF44" s="299">
        <f t="shared" si="8"/>
        <v>19.42</v>
      </c>
      <c r="AG44" s="299">
        <f t="shared" si="9"/>
        <v>74.57</v>
      </c>
      <c r="AH44" s="299">
        <f t="shared" si="10"/>
        <v>0</v>
      </c>
      <c r="AI44" s="299">
        <f t="shared" si="11"/>
        <v>-55.15</v>
      </c>
      <c r="AJ44" s="299">
        <f t="shared" si="12"/>
        <v>0</v>
      </c>
      <c r="AK44" s="299">
        <f t="shared" si="13"/>
        <v>0</v>
      </c>
      <c r="AL44" s="298">
        <f t="shared" si="28"/>
        <v>100.24</v>
      </c>
      <c r="AM44" s="298">
        <f t="shared" si="29"/>
        <v>9.6</v>
      </c>
      <c r="AN44" s="298">
        <f t="shared" si="30"/>
        <v>0</v>
      </c>
      <c r="AO44" s="298">
        <f t="shared" si="31"/>
        <v>10.76</v>
      </c>
      <c r="AP44" s="298">
        <f t="shared" si="32"/>
        <v>0</v>
      </c>
      <c r="AQ44" s="298">
        <f t="shared" si="33"/>
        <v>0</v>
      </c>
      <c r="AR44" s="298">
        <f t="shared" si="34"/>
        <v>79.88</v>
      </c>
      <c r="AS44" s="298">
        <f t="shared" si="24"/>
        <v>0</v>
      </c>
      <c r="AT44" s="298">
        <f t="shared" si="35"/>
        <v>0</v>
      </c>
      <c r="AU44" s="298">
        <f t="shared" si="14"/>
        <v>100.24</v>
      </c>
      <c r="AV44" s="298">
        <v>95.39</v>
      </c>
      <c r="AW44" s="298"/>
      <c r="AX44" s="298">
        <v>4.85</v>
      </c>
      <c r="AY44" s="298"/>
      <c r="AZ44" s="298"/>
      <c r="BA44" s="285">
        <v>0.104</v>
      </c>
    </row>
    <row r="45" s="258" customFormat="1" ht="24" spans="1:53">
      <c r="A45" s="283">
        <v>38</v>
      </c>
      <c r="B45" s="284" t="s">
        <v>221</v>
      </c>
      <c r="C45" s="284" t="s">
        <v>199</v>
      </c>
      <c r="D45" s="284" t="s">
        <v>247</v>
      </c>
      <c r="E45" s="284" t="s">
        <v>213</v>
      </c>
      <c r="F45" s="285">
        <f t="shared" si="26"/>
        <v>3</v>
      </c>
      <c r="G45" s="285">
        <v>3</v>
      </c>
      <c r="H45" s="285"/>
      <c r="I45" s="285"/>
      <c r="J45" s="285"/>
      <c r="K45" s="285"/>
      <c r="L45" s="285"/>
      <c r="M45" s="285"/>
      <c r="N45" s="285"/>
      <c r="O45" s="284"/>
      <c r="P45" s="285">
        <f t="shared" si="7"/>
        <v>3</v>
      </c>
      <c r="Q45" s="285">
        <v>3</v>
      </c>
      <c r="R45" s="285"/>
      <c r="S45" s="285"/>
      <c r="T45" s="285"/>
      <c r="U45" s="285"/>
      <c r="V45" s="298">
        <f t="shared" si="27"/>
        <v>0</v>
      </c>
      <c r="W45" s="298"/>
      <c r="X45" s="298"/>
      <c r="Y45" s="298"/>
      <c r="Z45" s="298"/>
      <c r="AA45" s="298"/>
      <c r="AB45" s="298"/>
      <c r="AC45" s="298"/>
      <c r="AD45" s="298"/>
      <c r="AE45" s="285"/>
      <c r="AF45" s="299">
        <f t="shared" si="8"/>
        <v>0</v>
      </c>
      <c r="AG45" s="299">
        <f t="shared" si="9"/>
        <v>0</v>
      </c>
      <c r="AH45" s="299">
        <f t="shared" si="10"/>
        <v>0</v>
      </c>
      <c r="AI45" s="299">
        <f t="shared" si="11"/>
        <v>0</v>
      </c>
      <c r="AJ45" s="299">
        <f t="shared" si="12"/>
        <v>0</v>
      </c>
      <c r="AK45" s="299">
        <f t="shared" si="13"/>
        <v>0</v>
      </c>
      <c r="AL45" s="298">
        <f t="shared" si="28"/>
        <v>3</v>
      </c>
      <c r="AM45" s="298">
        <f t="shared" si="29"/>
        <v>3</v>
      </c>
      <c r="AN45" s="298">
        <f t="shared" si="30"/>
        <v>0</v>
      </c>
      <c r="AO45" s="298">
        <f t="shared" si="31"/>
        <v>0</v>
      </c>
      <c r="AP45" s="298">
        <f t="shared" si="32"/>
        <v>0</v>
      </c>
      <c r="AQ45" s="298">
        <f t="shared" si="33"/>
        <v>0</v>
      </c>
      <c r="AR45" s="298">
        <f t="shared" si="34"/>
        <v>0</v>
      </c>
      <c r="AS45" s="298">
        <f t="shared" si="24"/>
        <v>0</v>
      </c>
      <c r="AT45" s="298">
        <f t="shared" si="35"/>
        <v>0</v>
      </c>
      <c r="AU45" s="285">
        <f t="shared" si="14"/>
        <v>3</v>
      </c>
      <c r="AV45" s="298">
        <v>3</v>
      </c>
      <c r="AW45" s="285"/>
      <c r="AX45" s="285"/>
      <c r="AY45" s="285"/>
      <c r="AZ45" s="285"/>
      <c r="BA45" s="285"/>
    </row>
    <row r="46" s="258" customFormat="1" ht="24" spans="1:53">
      <c r="A46" s="283">
        <v>39</v>
      </c>
      <c r="B46" s="284" t="s">
        <v>221</v>
      </c>
      <c r="C46" s="284" t="s">
        <v>199</v>
      </c>
      <c r="D46" s="284" t="s">
        <v>248</v>
      </c>
      <c r="E46" s="284" t="s">
        <v>213</v>
      </c>
      <c r="F46" s="285">
        <f t="shared" si="26"/>
        <v>2.4</v>
      </c>
      <c r="G46" s="285">
        <v>2.4</v>
      </c>
      <c r="H46" s="285"/>
      <c r="I46" s="285"/>
      <c r="J46" s="285"/>
      <c r="K46" s="285"/>
      <c r="L46" s="285"/>
      <c r="M46" s="285"/>
      <c r="N46" s="285"/>
      <c r="O46" s="284"/>
      <c r="P46" s="285">
        <f t="shared" si="7"/>
        <v>2.4</v>
      </c>
      <c r="Q46" s="285">
        <v>2.4</v>
      </c>
      <c r="R46" s="285"/>
      <c r="S46" s="285"/>
      <c r="T46" s="285"/>
      <c r="U46" s="285"/>
      <c r="V46" s="298">
        <f t="shared" si="27"/>
        <v>0</v>
      </c>
      <c r="W46" s="298"/>
      <c r="X46" s="298"/>
      <c r="Y46" s="298"/>
      <c r="Z46" s="298"/>
      <c r="AA46" s="298"/>
      <c r="AB46" s="298"/>
      <c r="AC46" s="298"/>
      <c r="AD46" s="298"/>
      <c r="AE46" s="285"/>
      <c r="AF46" s="299">
        <f t="shared" si="8"/>
        <v>0</v>
      </c>
      <c r="AG46" s="299">
        <f t="shared" si="9"/>
        <v>0</v>
      </c>
      <c r="AH46" s="299">
        <f t="shared" si="10"/>
        <v>0</v>
      </c>
      <c r="AI46" s="299">
        <f t="shared" si="11"/>
        <v>0</v>
      </c>
      <c r="AJ46" s="299">
        <f t="shared" si="12"/>
        <v>0</v>
      </c>
      <c r="AK46" s="299">
        <f t="shared" si="13"/>
        <v>0</v>
      </c>
      <c r="AL46" s="298">
        <f t="shared" si="28"/>
        <v>2.4</v>
      </c>
      <c r="AM46" s="298">
        <f t="shared" si="29"/>
        <v>2.4</v>
      </c>
      <c r="AN46" s="298">
        <f t="shared" si="30"/>
        <v>0</v>
      </c>
      <c r="AO46" s="298">
        <f t="shared" si="31"/>
        <v>0</v>
      </c>
      <c r="AP46" s="298">
        <f t="shared" si="32"/>
        <v>0</v>
      </c>
      <c r="AQ46" s="298">
        <f t="shared" si="33"/>
        <v>0</v>
      </c>
      <c r="AR46" s="298">
        <f t="shared" si="34"/>
        <v>0</v>
      </c>
      <c r="AS46" s="298">
        <f t="shared" si="24"/>
        <v>0</v>
      </c>
      <c r="AT46" s="298">
        <f t="shared" si="35"/>
        <v>0</v>
      </c>
      <c r="AU46" s="285">
        <f t="shared" si="14"/>
        <v>2.4</v>
      </c>
      <c r="AV46" s="298">
        <v>2.4</v>
      </c>
      <c r="AW46" s="285"/>
      <c r="AX46" s="285"/>
      <c r="AY46" s="285"/>
      <c r="AZ46" s="285"/>
      <c r="BA46" s="285"/>
    </row>
    <row r="47" s="258" customFormat="1" ht="24" spans="1:53">
      <c r="A47" s="283">
        <v>40</v>
      </c>
      <c r="B47" s="284" t="s">
        <v>221</v>
      </c>
      <c r="C47" s="284" t="s">
        <v>199</v>
      </c>
      <c r="D47" s="284" t="s">
        <v>249</v>
      </c>
      <c r="E47" s="284" t="s">
        <v>213</v>
      </c>
      <c r="F47" s="285">
        <f t="shared" si="26"/>
        <v>9</v>
      </c>
      <c r="G47" s="285">
        <v>9</v>
      </c>
      <c r="H47" s="285"/>
      <c r="I47" s="285"/>
      <c r="J47" s="285"/>
      <c r="K47" s="285"/>
      <c r="L47" s="285"/>
      <c r="M47" s="285"/>
      <c r="N47" s="285"/>
      <c r="O47" s="284"/>
      <c r="P47" s="285">
        <f t="shared" si="7"/>
        <v>9</v>
      </c>
      <c r="Q47" s="285">
        <v>9</v>
      </c>
      <c r="R47" s="285"/>
      <c r="S47" s="285"/>
      <c r="T47" s="285"/>
      <c r="U47" s="285"/>
      <c r="V47" s="298">
        <f t="shared" si="27"/>
        <v>0</v>
      </c>
      <c r="W47" s="298"/>
      <c r="X47" s="298"/>
      <c r="Y47" s="298"/>
      <c r="Z47" s="298"/>
      <c r="AA47" s="298"/>
      <c r="AB47" s="298"/>
      <c r="AC47" s="298"/>
      <c r="AD47" s="298"/>
      <c r="AE47" s="285"/>
      <c r="AF47" s="299">
        <f t="shared" si="8"/>
        <v>0</v>
      </c>
      <c r="AG47" s="299">
        <f t="shared" si="9"/>
        <v>0</v>
      </c>
      <c r="AH47" s="299">
        <f t="shared" si="10"/>
        <v>0</v>
      </c>
      <c r="AI47" s="299">
        <f t="shared" si="11"/>
        <v>0</v>
      </c>
      <c r="AJ47" s="299">
        <f t="shared" si="12"/>
        <v>0</v>
      </c>
      <c r="AK47" s="299">
        <f t="shared" si="13"/>
        <v>0</v>
      </c>
      <c r="AL47" s="298">
        <f t="shared" si="28"/>
        <v>9</v>
      </c>
      <c r="AM47" s="298">
        <f t="shared" si="29"/>
        <v>9</v>
      </c>
      <c r="AN47" s="298">
        <f t="shared" si="30"/>
        <v>0</v>
      </c>
      <c r="AO47" s="298">
        <f t="shared" si="31"/>
        <v>0</v>
      </c>
      <c r="AP47" s="298">
        <f t="shared" si="32"/>
        <v>0</v>
      </c>
      <c r="AQ47" s="298">
        <f t="shared" si="33"/>
        <v>0</v>
      </c>
      <c r="AR47" s="298">
        <f t="shared" si="34"/>
        <v>0</v>
      </c>
      <c r="AS47" s="298">
        <f t="shared" si="24"/>
        <v>0</v>
      </c>
      <c r="AT47" s="298">
        <f t="shared" si="35"/>
        <v>0</v>
      </c>
      <c r="AU47" s="285">
        <f t="shared" si="14"/>
        <v>9</v>
      </c>
      <c r="AV47" s="298">
        <v>9</v>
      </c>
      <c r="AW47" s="285"/>
      <c r="AX47" s="285"/>
      <c r="AY47" s="285"/>
      <c r="AZ47" s="285"/>
      <c r="BA47" s="285"/>
    </row>
    <row r="48" s="258" customFormat="1" ht="85" customHeight="1" spans="1:53">
      <c r="A48" s="283">
        <v>41</v>
      </c>
      <c r="B48" s="284" t="s">
        <v>221</v>
      </c>
      <c r="C48" s="284" t="s">
        <v>196</v>
      </c>
      <c r="D48" s="284" t="s">
        <v>250</v>
      </c>
      <c r="E48" s="284" t="s">
        <v>207</v>
      </c>
      <c r="F48" s="285">
        <f t="shared" si="26"/>
        <v>82.08</v>
      </c>
      <c r="G48" s="285">
        <v>10.2</v>
      </c>
      <c r="H48" s="285"/>
      <c r="I48" s="285">
        <v>11.88</v>
      </c>
      <c r="J48" s="285"/>
      <c r="K48" s="285"/>
      <c r="L48" s="285"/>
      <c r="M48" s="285">
        <v>60</v>
      </c>
      <c r="N48" s="285"/>
      <c r="O48" s="284" t="s">
        <v>977</v>
      </c>
      <c r="P48" s="285">
        <f t="shared" si="7"/>
        <v>82.08</v>
      </c>
      <c r="Q48" s="285">
        <v>22.08</v>
      </c>
      <c r="R48" s="285"/>
      <c r="S48" s="285">
        <v>60</v>
      </c>
      <c r="T48" s="285"/>
      <c r="U48" s="285"/>
      <c r="V48" s="298">
        <f t="shared" si="27"/>
        <v>27.77</v>
      </c>
      <c r="W48" s="298">
        <v>16.8</v>
      </c>
      <c r="X48" s="298"/>
      <c r="Y48" s="298">
        <v>-0.72</v>
      </c>
      <c r="Z48" s="298"/>
      <c r="AA48" s="298"/>
      <c r="AB48" s="298">
        <f>-60+30.02+12.64+9.29+19.74</f>
        <v>11.69</v>
      </c>
      <c r="AC48" s="298"/>
      <c r="AD48" s="298"/>
      <c r="AE48" s="285" t="s">
        <v>978</v>
      </c>
      <c r="AF48" s="299">
        <f t="shared" si="8"/>
        <v>27.77</v>
      </c>
      <c r="AG48" s="299">
        <f t="shared" si="9"/>
        <v>78.48</v>
      </c>
      <c r="AH48" s="299">
        <f t="shared" si="10"/>
        <v>0</v>
      </c>
      <c r="AI48" s="299">
        <f t="shared" si="11"/>
        <v>-50.71</v>
      </c>
      <c r="AJ48" s="299">
        <f t="shared" si="12"/>
        <v>0</v>
      </c>
      <c r="AK48" s="299">
        <f t="shared" si="13"/>
        <v>0</v>
      </c>
      <c r="AL48" s="298">
        <f t="shared" si="28"/>
        <v>109.85</v>
      </c>
      <c r="AM48" s="298">
        <f t="shared" si="29"/>
        <v>27</v>
      </c>
      <c r="AN48" s="298">
        <f t="shared" si="30"/>
        <v>0</v>
      </c>
      <c r="AO48" s="298">
        <f t="shared" si="31"/>
        <v>11.16</v>
      </c>
      <c r="AP48" s="298">
        <f t="shared" si="32"/>
        <v>0</v>
      </c>
      <c r="AQ48" s="298">
        <f t="shared" si="33"/>
        <v>0</v>
      </c>
      <c r="AR48" s="298">
        <f t="shared" si="34"/>
        <v>71.69</v>
      </c>
      <c r="AS48" s="298">
        <f t="shared" si="24"/>
        <v>0</v>
      </c>
      <c r="AT48" s="298">
        <f t="shared" si="35"/>
        <v>0</v>
      </c>
      <c r="AU48" s="298">
        <f t="shared" si="14"/>
        <v>109.85</v>
      </c>
      <c r="AV48" s="298">
        <v>100.56</v>
      </c>
      <c r="AW48" s="298"/>
      <c r="AX48" s="298">
        <v>9.29</v>
      </c>
      <c r="AY48" s="298"/>
      <c r="AZ48" s="298"/>
      <c r="BA48" s="285">
        <v>0.654</v>
      </c>
    </row>
    <row r="49" s="258" customFormat="1" ht="96" customHeight="1" spans="1:53">
      <c r="A49" s="283">
        <v>42</v>
      </c>
      <c r="B49" s="284" t="s">
        <v>221</v>
      </c>
      <c r="C49" s="284" t="s">
        <v>196</v>
      </c>
      <c r="D49" s="284" t="s">
        <v>254</v>
      </c>
      <c r="E49" s="284" t="s">
        <v>207</v>
      </c>
      <c r="F49" s="285">
        <f t="shared" si="26"/>
        <v>472.2</v>
      </c>
      <c r="G49" s="285">
        <v>22.2</v>
      </c>
      <c r="H49" s="285"/>
      <c r="I49" s="285"/>
      <c r="J49" s="285"/>
      <c r="K49" s="285"/>
      <c r="L49" s="285"/>
      <c r="M49" s="285">
        <v>450</v>
      </c>
      <c r="N49" s="285"/>
      <c r="O49" s="284" t="s">
        <v>979</v>
      </c>
      <c r="P49" s="285">
        <f t="shared" si="7"/>
        <v>472.2</v>
      </c>
      <c r="Q49" s="285">
        <v>22.2</v>
      </c>
      <c r="R49" s="285"/>
      <c r="S49" s="285">
        <v>450</v>
      </c>
      <c r="T49" s="285"/>
      <c r="U49" s="285"/>
      <c r="V49" s="298">
        <f t="shared" si="27"/>
        <v>414.46</v>
      </c>
      <c r="W49" s="298"/>
      <c r="X49" s="298"/>
      <c r="Y49" s="298">
        <v>23.26</v>
      </c>
      <c r="Z49" s="298"/>
      <c r="AA49" s="298"/>
      <c r="AB49" s="298">
        <f>-450+135+128.24+301.85+85.12+190.99</f>
        <v>391.2</v>
      </c>
      <c r="AC49" s="298"/>
      <c r="AD49" s="298"/>
      <c r="AE49" s="285" t="s">
        <v>980</v>
      </c>
      <c r="AF49" s="299">
        <f t="shared" si="8"/>
        <v>414.46</v>
      </c>
      <c r="AG49" s="299">
        <f t="shared" si="9"/>
        <v>779.34</v>
      </c>
      <c r="AH49" s="299">
        <f t="shared" si="10"/>
        <v>0</v>
      </c>
      <c r="AI49" s="299">
        <f t="shared" si="11"/>
        <v>-364.88</v>
      </c>
      <c r="AJ49" s="299">
        <f t="shared" si="12"/>
        <v>0</v>
      </c>
      <c r="AK49" s="299">
        <f t="shared" si="13"/>
        <v>0</v>
      </c>
      <c r="AL49" s="298">
        <f t="shared" si="28"/>
        <v>886.66</v>
      </c>
      <c r="AM49" s="298">
        <f t="shared" si="29"/>
        <v>22.2</v>
      </c>
      <c r="AN49" s="298">
        <f t="shared" si="30"/>
        <v>0</v>
      </c>
      <c r="AO49" s="298">
        <f t="shared" si="31"/>
        <v>23.26</v>
      </c>
      <c r="AP49" s="298">
        <f t="shared" si="32"/>
        <v>0</v>
      </c>
      <c r="AQ49" s="298">
        <f t="shared" si="33"/>
        <v>0</v>
      </c>
      <c r="AR49" s="298">
        <f t="shared" si="34"/>
        <v>841.2</v>
      </c>
      <c r="AS49" s="298">
        <f t="shared" si="24"/>
        <v>0</v>
      </c>
      <c r="AT49" s="298">
        <f t="shared" si="35"/>
        <v>0</v>
      </c>
      <c r="AU49" s="298">
        <f t="shared" si="14"/>
        <v>886.66</v>
      </c>
      <c r="AV49" s="298">
        <v>801.54</v>
      </c>
      <c r="AW49" s="298"/>
      <c r="AX49" s="298">
        <v>85.12</v>
      </c>
      <c r="AY49" s="298"/>
      <c r="AZ49" s="298"/>
      <c r="BA49" s="285">
        <v>584.93</v>
      </c>
    </row>
    <row r="50" s="258" customFormat="1" ht="24" spans="1:53">
      <c r="A50" s="283">
        <v>43</v>
      </c>
      <c r="B50" s="284" t="s">
        <v>221</v>
      </c>
      <c r="C50" s="284" t="s">
        <v>199</v>
      </c>
      <c r="D50" s="284" t="s">
        <v>255</v>
      </c>
      <c r="E50" s="284" t="s">
        <v>213</v>
      </c>
      <c r="F50" s="285">
        <f t="shared" si="26"/>
        <v>6</v>
      </c>
      <c r="G50" s="285">
        <v>6</v>
      </c>
      <c r="H50" s="285"/>
      <c r="I50" s="285"/>
      <c r="J50" s="285"/>
      <c r="K50" s="285"/>
      <c r="L50" s="285"/>
      <c r="M50" s="285"/>
      <c r="N50" s="285"/>
      <c r="O50" s="284"/>
      <c r="P50" s="285">
        <f t="shared" si="7"/>
        <v>6</v>
      </c>
      <c r="Q50" s="285">
        <v>6</v>
      </c>
      <c r="R50" s="285"/>
      <c r="S50" s="285"/>
      <c r="T50" s="285"/>
      <c r="U50" s="285"/>
      <c r="V50" s="298">
        <f t="shared" si="27"/>
        <v>0</v>
      </c>
      <c r="W50" s="298"/>
      <c r="X50" s="298"/>
      <c r="Y50" s="298"/>
      <c r="Z50" s="298"/>
      <c r="AA50" s="298"/>
      <c r="AB50" s="298"/>
      <c r="AC50" s="298"/>
      <c r="AD50" s="298"/>
      <c r="AE50" s="285"/>
      <c r="AF50" s="299">
        <f t="shared" si="8"/>
        <v>0</v>
      </c>
      <c r="AG50" s="299">
        <f t="shared" si="9"/>
        <v>0</v>
      </c>
      <c r="AH50" s="299">
        <f t="shared" si="10"/>
        <v>0</v>
      </c>
      <c r="AI50" s="299">
        <f t="shared" si="11"/>
        <v>0</v>
      </c>
      <c r="AJ50" s="299">
        <f t="shared" si="12"/>
        <v>0</v>
      </c>
      <c r="AK50" s="299">
        <f t="shared" si="13"/>
        <v>0</v>
      </c>
      <c r="AL50" s="298">
        <f t="shared" si="28"/>
        <v>6</v>
      </c>
      <c r="AM50" s="298">
        <f t="shared" si="29"/>
        <v>6</v>
      </c>
      <c r="AN50" s="298">
        <f t="shared" si="30"/>
        <v>0</v>
      </c>
      <c r="AO50" s="298">
        <f t="shared" si="31"/>
        <v>0</v>
      </c>
      <c r="AP50" s="298">
        <f t="shared" si="32"/>
        <v>0</v>
      </c>
      <c r="AQ50" s="298">
        <f t="shared" si="33"/>
        <v>0</v>
      </c>
      <c r="AR50" s="298">
        <f t="shared" si="34"/>
        <v>0</v>
      </c>
      <c r="AS50" s="298">
        <f t="shared" si="24"/>
        <v>0</v>
      </c>
      <c r="AT50" s="298">
        <f t="shared" si="35"/>
        <v>0</v>
      </c>
      <c r="AU50" s="285">
        <f t="shared" si="14"/>
        <v>6</v>
      </c>
      <c r="AV50" s="298">
        <v>6</v>
      </c>
      <c r="AW50" s="285"/>
      <c r="AX50" s="285"/>
      <c r="AY50" s="285"/>
      <c r="AZ50" s="285"/>
      <c r="BA50" s="285"/>
    </row>
    <row r="51" s="258" customFormat="1" ht="24" spans="1:53">
      <c r="A51" s="283">
        <v>44</v>
      </c>
      <c r="B51" s="284" t="s">
        <v>221</v>
      </c>
      <c r="C51" s="284" t="s">
        <v>199</v>
      </c>
      <c r="D51" s="284" t="s">
        <v>256</v>
      </c>
      <c r="E51" s="284" t="s">
        <v>213</v>
      </c>
      <c r="F51" s="285">
        <f t="shared" si="26"/>
        <v>6</v>
      </c>
      <c r="G51" s="285">
        <v>6</v>
      </c>
      <c r="H51" s="285"/>
      <c r="I51" s="285"/>
      <c r="J51" s="285"/>
      <c r="K51" s="285"/>
      <c r="L51" s="285"/>
      <c r="M51" s="285"/>
      <c r="N51" s="285"/>
      <c r="O51" s="284"/>
      <c r="P51" s="285">
        <f t="shared" si="7"/>
        <v>6</v>
      </c>
      <c r="Q51" s="285">
        <v>6</v>
      </c>
      <c r="R51" s="285"/>
      <c r="S51" s="285"/>
      <c r="T51" s="285"/>
      <c r="U51" s="285"/>
      <c r="V51" s="298">
        <f t="shared" si="27"/>
        <v>0</v>
      </c>
      <c r="W51" s="298"/>
      <c r="X51" s="298"/>
      <c r="Y51" s="298"/>
      <c r="Z51" s="298"/>
      <c r="AA51" s="298"/>
      <c r="AB51" s="298"/>
      <c r="AC51" s="298"/>
      <c r="AD51" s="298"/>
      <c r="AE51" s="285"/>
      <c r="AF51" s="299">
        <f t="shared" si="8"/>
        <v>0</v>
      </c>
      <c r="AG51" s="299">
        <f t="shared" si="9"/>
        <v>0</v>
      </c>
      <c r="AH51" s="299">
        <f t="shared" si="10"/>
        <v>0</v>
      </c>
      <c r="AI51" s="299">
        <f t="shared" si="11"/>
        <v>0</v>
      </c>
      <c r="AJ51" s="299">
        <f t="shared" si="12"/>
        <v>0</v>
      </c>
      <c r="AK51" s="299">
        <f t="shared" si="13"/>
        <v>0</v>
      </c>
      <c r="AL51" s="298">
        <f t="shared" si="28"/>
        <v>6</v>
      </c>
      <c r="AM51" s="298">
        <f t="shared" si="29"/>
        <v>6</v>
      </c>
      <c r="AN51" s="298">
        <f t="shared" si="30"/>
        <v>0</v>
      </c>
      <c r="AO51" s="298">
        <f t="shared" si="31"/>
        <v>0</v>
      </c>
      <c r="AP51" s="298">
        <f t="shared" si="32"/>
        <v>0</v>
      </c>
      <c r="AQ51" s="298">
        <f t="shared" si="33"/>
        <v>0</v>
      </c>
      <c r="AR51" s="298">
        <f t="shared" si="34"/>
        <v>0</v>
      </c>
      <c r="AS51" s="298">
        <f t="shared" si="24"/>
        <v>0</v>
      </c>
      <c r="AT51" s="298">
        <f t="shared" si="35"/>
        <v>0</v>
      </c>
      <c r="AU51" s="285">
        <f t="shared" si="14"/>
        <v>6</v>
      </c>
      <c r="AV51" s="298">
        <v>6</v>
      </c>
      <c r="AW51" s="285"/>
      <c r="AX51" s="285"/>
      <c r="AY51" s="285"/>
      <c r="AZ51" s="285"/>
      <c r="BA51" s="285"/>
    </row>
    <row r="52" s="258" customFormat="1" ht="24" spans="1:53">
      <c r="A52" s="283">
        <v>45</v>
      </c>
      <c r="B52" s="284" t="s">
        <v>221</v>
      </c>
      <c r="C52" s="284" t="s">
        <v>199</v>
      </c>
      <c r="D52" s="284" t="s">
        <v>257</v>
      </c>
      <c r="E52" s="284" t="s">
        <v>213</v>
      </c>
      <c r="F52" s="285">
        <f t="shared" si="26"/>
        <v>15</v>
      </c>
      <c r="G52" s="285">
        <v>15</v>
      </c>
      <c r="H52" s="285"/>
      <c r="I52" s="285"/>
      <c r="J52" s="285"/>
      <c r="K52" s="285"/>
      <c r="L52" s="285"/>
      <c r="M52" s="285"/>
      <c r="N52" s="285"/>
      <c r="O52" s="284"/>
      <c r="P52" s="285">
        <f t="shared" si="7"/>
        <v>15</v>
      </c>
      <c r="Q52" s="285">
        <v>15</v>
      </c>
      <c r="R52" s="285"/>
      <c r="S52" s="285"/>
      <c r="T52" s="285"/>
      <c r="U52" s="285"/>
      <c r="V52" s="298">
        <f t="shared" si="27"/>
        <v>0</v>
      </c>
      <c r="W52" s="298"/>
      <c r="X52" s="298"/>
      <c r="Y52" s="298"/>
      <c r="Z52" s="298"/>
      <c r="AA52" s="298"/>
      <c r="AB52" s="298"/>
      <c r="AC52" s="298"/>
      <c r="AD52" s="298"/>
      <c r="AE52" s="285"/>
      <c r="AF52" s="299">
        <f t="shared" si="8"/>
        <v>0</v>
      </c>
      <c r="AG52" s="299">
        <f t="shared" si="9"/>
        <v>0</v>
      </c>
      <c r="AH52" s="299">
        <f t="shared" si="10"/>
        <v>0</v>
      </c>
      <c r="AI52" s="299">
        <f t="shared" si="11"/>
        <v>0</v>
      </c>
      <c r="AJ52" s="299">
        <f t="shared" si="12"/>
        <v>0</v>
      </c>
      <c r="AK52" s="299">
        <f t="shared" si="13"/>
        <v>0</v>
      </c>
      <c r="AL52" s="298">
        <f t="shared" si="28"/>
        <v>15</v>
      </c>
      <c r="AM52" s="298">
        <f t="shared" si="29"/>
        <v>15</v>
      </c>
      <c r="AN52" s="298">
        <f t="shared" si="30"/>
        <v>0</v>
      </c>
      <c r="AO52" s="298">
        <f t="shared" si="31"/>
        <v>0</v>
      </c>
      <c r="AP52" s="298">
        <f t="shared" si="32"/>
        <v>0</v>
      </c>
      <c r="AQ52" s="298">
        <f t="shared" si="33"/>
        <v>0</v>
      </c>
      <c r="AR52" s="298">
        <f t="shared" si="34"/>
        <v>0</v>
      </c>
      <c r="AS52" s="298">
        <f t="shared" si="24"/>
        <v>0</v>
      </c>
      <c r="AT52" s="298">
        <f t="shared" si="35"/>
        <v>0</v>
      </c>
      <c r="AU52" s="285">
        <f t="shared" si="14"/>
        <v>15</v>
      </c>
      <c r="AV52" s="298">
        <v>15</v>
      </c>
      <c r="AW52" s="285"/>
      <c r="AX52" s="285"/>
      <c r="AY52" s="285"/>
      <c r="AZ52" s="285"/>
      <c r="BA52" s="285"/>
    </row>
    <row r="53" s="258" customFormat="1" ht="60" spans="1:53">
      <c r="A53" s="283">
        <v>46</v>
      </c>
      <c r="B53" s="284" t="s">
        <v>221</v>
      </c>
      <c r="C53" s="284" t="s">
        <v>196</v>
      </c>
      <c r="D53" s="284" t="s">
        <v>258</v>
      </c>
      <c r="E53" s="284" t="s">
        <v>207</v>
      </c>
      <c r="F53" s="285">
        <f t="shared" si="26"/>
        <v>283.28</v>
      </c>
      <c r="G53" s="285">
        <v>10.8</v>
      </c>
      <c r="H53" s="285"/>
      <c r="I53" s="285">
        <v>12.48</v>
      </c>
      <c r="J53" s="285"/>
      <c r="K53" s="285"/>
      <c r="L53" s="285"/>
      <c r="M53" s="285">
        <v>260</v>
      </c>
      <c r="N53" s="285"/>
      <c r="O53" s="284" t="s">
        <v>981</v>
      </c>
      <c r="P53" s="285">
        <f t="shared" si="7"/>
        <v>283.28</v>
      </c>
      <c r="Q53" s="285">
        <v>23.28</v>
      </c>
      <c r="R53" s="285"/>
      <c r="S53" s="285">
        <v>260</v>
      </c>
      <c r="T53" s="285"/>
      <c r="U53" s="285"/>
      <c r="V53" s="298">
        <f t="shared" si="27"/>
        <v>67.03</v>
      </c>
      <c r="W53" s="298"/>
      <c r="X53" s="298"/>
      <c r="Y53" s="298">
        <v>1.77</v>
      </c>
      <c r="Z53" s="298"/>
      <c r="AA53" s="298"/>
      <c r="AB53" s="298">
        <f>-260+4+15.47+223.98+4.93+76.88</f>
        <v>65.26</v>
      </c>
      <c r="AC53" s="298"/>
      <c r="AD53" s="298"/>
      <c r="AE53" s="285" t="s">
        <v>982</v>
      </c>
      <c r="AF53" s="299">
        <f t="shared" si="8"/>
        <v>67.03</v>
      </c>
      <c r="AG53" s="299">
        <f t="shared" si="9"/>
        <v>322.1</v>
      </c>
      <c r="AH53" s="299">
        <f t="shared" si="10"/>
        <v>0</v>
      </c>
      <c r="AI53" s="299">
        <f t="shared" si="11"/>
        <v>-255.07</v>
      </c>
      <c r="AJ53" s="299">
        <f t="shared" si="12"/>
        <v>0</v>
      </c>
      <c r="AK53" s="299">
        <f t="shared" si="13"/>
        <v>0</v>
      </c>
      <c r="AL53" s="298">
        <f t="shared" si="28"/>
        <v>350.31</v>
      </c>
      <c r="AM53" s="298">
        <f t="shared" si="29"/>
        <v>10.8</v>
      </c>
      <c r="AN53" s="298">
        <f t="shared" si="30"/>
        <v>0</v>
      </c>
      <c r="AO53" s="298">
        <f t="shared" si="31"/>
        <v>14.25</v>
      </c>
      <c r="AP53" s="298">
        <f t="shared" si="32"/>
        <v>0</v>
      </c>
      <c r="AQ53" s="298">
        <f t="shared" si="33"/>
        <v>0</v>
      </c>
      <c r="AR53" s="298">
        <f t="shared" si="34"/>
        <v>325.26</v>
      </c>
      <c r="AS53" s="298">
        <f t="shared" si="24"/>
        <v>0</v>
      </c>
      <c r="AT53" s="298">
        <f t="shared" si="35"/>
        <v>0</v>
      </c>
      <c r="AU53" s="298">
        <f t="shared" si="14"/>
        <v>350.31</v>
      </c>
      <c r="AV53" s="298">
        <v>345.38</v>
      </c>
      <c r="AW53" s="298"/>
      <c r="AX53" s="298">
        <v>4.93</v>
      </c>
      <c r="AY53" s="298"/>
      <c r="AZ53" s="298"/>
      <c r="BA53" s="285">
        <v>603.26</v>
      </c>
    </row>
    <row r="54" s="258" customFormat="1" ht="24" spans="1:53">
      <c r="A54" s="283">
        <v>47</v>
      </c>
      <c r="B54" s="284" t="s">
        <v>221</v>
      </c>
      <c r="C54" s="284" t="s">
        <v>199</v>
      </c>
      <c r="D54" s="284" t="s">
        <v>259</v>
      </c>
      <c r="E54" s="284" t="s">
        <v>213</v>
      </c>
      <c r="F54" s="285">
        <f t="shared" si="26"/>
        <v>4.8</v>
      </c>
      <c r="G54" s="285">
        <v>4.8</v>
      </c>
      <c r="H54" s="285"/>
      <c r="I54" s="285"/>
      <c r="J54" s="285"/>
      <c r="K54" s="285"/>
      <c r="L54" s="285"/>
      <c r="M54" s="285"/>
      <c r="N54" s="285"/>
      <c r="O54" s="284"/>
      <c r="P54" s="285">
        <f t="shared" si="7"/>
        <v>4.8</v>
      </c>
      <c r="Q54" s="285">
        <v>4.8</v>
      </c>
      <c r="R54" s="285"/>
      <c r="S54" s="285"/>
      <c r="T54" s="285"/>
      <c r="U54" s="285"/>
      <c r="V54" s="298">
        <f t="shared" si="27"/>
        <v>0</v>
      </c>
      <c r="W54" s="298"/>
      <c r="X54" s="298"/>
      <c r="Y54" s="298"/>
      <c r="Z54" s="298"/>
      <c r="AA54" s="298"/>
      <c r="AB54" s="298"/>
      <c r="AC54" s="298"/>
      <c r="AD54" s="298"/>
      <c r="AE54" s="285"/>
      <c r="AF54" s="299">
        <f t="shared" si="8"/>
        <v>0</v>
      </c>
      <c r="AG54" s="299">
        <f t="shared" si="9"/>
        <v>0</v>
      </c>
      <c r="AH54" s="299">
        <f t="shared" si="10"/>
        <v>0</v>
      </c>
      <c r="AI54" s="299">
        <f t="shared" si="11"/>
        <v>0</v>
      </c>
      <c r="AJ54" s="299">
        <f t="shared" si="12"/>
        <v>0</v>
      </c>
      <c r="AK54" s="299">
        <f t="shared" si="13"/>
        <v>0</v>
      </c>
      <c r="AL54" s="298">
        <f t="shared" si="28"/>
        <v>4.8</v>
      </c>
      <c r="AM54" s="298">
        <f t="shared" si="29"/>
        <v>4.8</v>
      </c>
      <c r="AN54" s="298">
        <f t="shared" si="30"/>
        <v>0</v>
      </c>
      <c r="AO54" s="298">
        <f t="shared" si="31"/>
        <v>0</v>
      </c>
      <c r="AP54" s="298">
        <f t="shared" si="32"/>
        <v>0</v>
      </c>
      <c r="AQ54" s="298">
        <f t="shared" si="33"/>
        <v>0</v>
      </c>
      <c r="AR54" s="298">
        <f t="shared" si="34"/>
        <v>0</v>
      </c>
      <c r="AS54" s="298">
        <f t="shared" si="24"/>
        <v>0</v>
      </c>
      <c r="AT54" s="298">
        <f t="shared" si="35"/>
        <v>0</v>
      </c>
      <c r="AU54" s="285">
        <f t="shared" si="14"/>
        <v>4.8</v>
      </c>
      <c r="AV54" s="298">
        <v>4.8</v>
      </c>
      <c r="AW54" s="285"/>
      <c r="AX54" s="285"/>
      <c r="AY54" s="285"/>
      <c r="AZ54" s="285"/>
      <c r="BA54" s="285"/>
    </row>
    <row r="55" s="258" customFormat="1" ht="24" spans="1:53">
      <c r="A55" s="283">
        <v>48</v>
      </c>
      <c r="B55" s="284" t="s">
        <v>221</v>
      </c>
      <c r="C55" s="284" t="s">
        <v>199</v>
      </c>
      <c r="D55" s="284" t="s">
        <v>260</v>
      </c>
      <c r="E55" s="284" t="s">
        <v>213</v>
      </c>
      <c r="F55" s="285">
        <f t="shared" si="26"/>
        <v>4.2</v>
      </c>
      <c r="G55" s="285">
        <v>4.2</v>
      </c>
      <c r="H55" s="285"/>
      <c r="I55" s="285"/>
      <c r="J55" s="285"/>
      <c r="K55" s="285"/>
      <c r="L55" s="285"/>
      <c r="M55" s="285"/>
      <c r="N55" s="285"/>
      <c r="O55" s="284"/>
      <c r="P55" s="285">
        <f t="shared" si="7"/>
        <v>4.2</v>
      </c>
      <c r="Q55" s="285">
        <v>4.2</v>
      </c>
      <c r="R55" s="285"/>
      <c r="S55" s="285"/>
      <c r="T55" s="285"/>
      <c r="U55" s="285"/>
      <c r="V55" s="298">
        <f t="shared" si="27"/>
        <v>0</v>
      </c>
      <c r="W55" s="298"/>
      <c r="X55" s="298"/>
      <c r="Y55" s="298"/>
      <c r="Z55" s="298"/>
      <c r="AA55" s="298"/>
      <c r="AB55" s="298"/>
      <c r="AC55" s="298"/>
      <c r="AD55" s="298"/>
      <c r="AE55" s="285"/>
      <c r="AF55" s="299">
        <f t="shared" si="8"/>
        <v>0</v>
      </c>
      <c r="AG55" s="299">
        <f t="shared" si="9"/>
        <v>0</v>
      </c>
      <c r="AH55" s="299">
        <f t="shared" si="10"/>
        <v>0</v>
      </c>
      <c r="AI55" s="299">
        <f t="shared" si="11"/>
        <v>0</v>
      </c>
      <c r="AJ55" s="299">
        <f t="shared" si="12"/>
        <v>0</v>
      </c>
      <c r="AK55" s="299">
        <f t="shared" si="13"/>
        <v>0</v>
      </c>
      <c r="AL55" s="298">
        <f t="shared" si="28"/>
        <v>4.2</v>
      </c>
      <c r="AM55" s="298">
        <f t="shared" si="29"/>
        <v>4.2</v>
      </c>
      <c r="AN55" s="298">
        <f t="shared" si="30"/>
        <v>0</v>
      </c>
      <c r="AO55" s="298">
        <f t="shared" si="31"/>
        <v>0</v>
      </c>
      <c r="AP55" s="298">
        <f t="shared" si="32"/>
        <v>0</v>
      </c>
      <c r="AQ55" s="298">
        <f t="shared" si="33"/>
        <v>0</v>
      </c>
      <c r="AR55" s="298">
        <f t="shared" si="34"/>
        <v>0</v>
      </c>
      <c r="AS55" s="298">
        <f t="shared" si="24"/>
        <v>0</v>
      </c>
      <c r="AT55" s="298">
        <f t="shared" si="35"/>
        <v>0</v>
      </c>
      <c r="AU55" s="285">
        <f t="shared" si="14"/>
        <v>4.2</v>
      </c>
      <c r="AV55" s="298">
        <v>4.2</v>
      </c>
      <c r="AW55" s="285"/>
      <c r="AX55" s="285"/>
      <c r="AY55" s="285"/>
      <c r="AZ55" s="285"/>
      <c r="BA55" s="285"/>
    </row>
    <row r="56" s="258" customFormat="1" ht="24" spans="1:53">
      <c r="A56" s="283">
        <v>49</v>
      </c>
      <c r="B56" s="284" t="s">
        <v>221</v>
      </c>
      <c r="C56" s="284" t="s">
        <v>199</v>
      </c>
      <c r="D56" s="284" t="s">
        <v>261</v>
      </c>
      <c r="E56" s="284" t="s">
        <v>213</v>
      </c>
      <c r="F56" s="285">
        <f t="shared" si="26"/>
        <v>9</v>
      </c>
      <c r="G56" s="285">
        <v>9</v>
      </c>
      <c r="H56" s="285"/>
      <c r="I56" s="285"/>
      <c r="J56" s="285"/>
      <c r="K56" s="285"/>
      <c r="L56" s="285"/>
      <c r="M56" s="285"/>
      <c r="N56" s="285"/>
      <c r="O56" s="284"/>
      <c r="P56" s="285">
        <f t="shared" si="7"/>
        <v>9</v>
      </c>
      <c r="Q56" s="285">
        <v>9</v>
      </c>
      <c r="R56" s="285"/>
      <c r="S56" s="285"/>
      <c r="T56" s="285"/>
      <c r="U56" s="285"/>
      <c r="V56" s="298">
        <f t="shared" si="27"/>
        <v>0</v>
      </c>
      <c r="W56" s="298"/>
      <c r="X56" s="298"/>
      <c r="Y56" s="298"/>
      <c r="Z56" s="298"/>
      <c r="AA56" s="298"/>
      <c r="AB56" s="298"/>
      <c r="AC56" s="298"/>
      <c r="AD56" s="298"/>
      <c r="AE56" s="285"/>
      <c r="AF56" s="299">
        <f t="shared" si="8"/>
        <v>0</v>
      </c>
      <c r="AG56" s="299">
        <f t="shared" si="9"/>
        <v>0</v>
      </c>
      <c r="AH56" s="299">
        <f t="shared" si="10"/>
        <v>0</v>
      </c>
      <c r="AI56" s="299">
        <f t="shared" si="11"/>
        <v>0</v>
      </c>
      <c r="AJ56" s="299">
        <f t="shared" si="12"/>
        <v>0</v>
      </c>
      <c r="AK56" s="299">
        <f t="shared" si="13"/>
        <v>0</v>
      </c>
      <c r="AL56" s="298">
        <f t="shared" si="28"/>
        <v>9</v>
      </c>
      <c r="AM56" s="298">
        <f t="shared" si="29"/>
        <v>9</v>
      </c>
      <c r="AN56" s="298">
        <f t="shared" si="30"/>
        <v>0</v>
      </c>
      <c r="AO56" s="298">
        <f t="shared" si="31"/>
        <v>0</v>
      </c>
      <c r="AP56" s="298">
        <f t="shared" si="32"/>
        <v>0</v>
      </c>
      <c r="AQ56" s="298">
        <f t="shared" si="33"/>
        <v>0</v>
      </c>
      <c r="AR56" s="298">
        <f t="shared" si="34"/>
        <v>0</v>
      </c>
      <c r="AS56" s="298">
        <f t="shared" si="24"/>
        <v>0</v>
      </c>
      <c r="AT56" s="298">
        <f t="shared" si="35"/>
        <v>0</v>
      </c>
      <c r="AU56" s="285">
        <f t="shared" si="14"/>
        <v>9</v>
      </c>
      <c r="AV56" s="298">
        <v>9</v>
      </c>
      <c r="AW56" s="285"/>
      <c r="AX56" s="285"/>
      <c r="AY56" s="285"/>
      <c r="AZ56" s="285"/>
      <c r="BA56" s="285"/>
    </row>
    <row r="57" s="258" customFormat="1" ht="60" spans="1:53">
      <c r="A57" s="283">
        <v>50</v>
      </c>
      <c r="B57" s="284" t="s">
        <v>221</v>
      </c>
      <c r="C57" s="284" t="s">
        <v>196</v>
      </c>
      <c r="D57" s="284" t="s">
        <v>262</v>
      </c>
      <c r="E57" s="284" t="s">
        <v>207</v>
      </c>
      <c r="F57" s="285">
        <f t="shared" si="26"/>
        <v>258.15</v>
      </c>
      <c r="G57" s="285">
        <v>17.4</v>
      </c>
      <c r="H57" s="285"/>
      <c r="I57" s="285">
        <v>20.75</v>
      </c>
      <c r="J57" s="285"/>
      <c r="K57" s="285"/>
      <c r="L57" s="285"/>
      <c r="M57" s="285">
        <v>220</v>
      </c>
      <c r="N57" s="285"/>
      <c r="O57" s="284" t="s">
        <v>983</v>
      </c>
      <c r="P57" s="285">
        <f t="shared" si="7"/>
        <v>258.15</v>
      </c>
      <c r="Q57" s="285">
        <v>38.15</v>
      </c>
      <c r="R57" s="285"/>
      <c r="S57" s="285">
        <v>220</v>
      </c>
      <c r="T57" s="285"/>
      <c r="U57" s="285"/>
      <c r="V57" s="298">
        <f t="shared" si="27"/>
        <v>72.64</v>
      </c>
      <c r="W57" s="298"/>
      <c r="X57" s="298"/>
      <c r="Y57" s="298">
        <v>0.88</v>
      </c>
      <c r="Z57" s="298"/>
      <c r="AA57" s="298"/>
      <c r="AB57" s="298">
        <f>-220+16.5+10.33+180.54+8.01+76.38</f>
        <v>71.76</v>
      </c>
      <c r="AC57" s="298"/>
      <c r="AD57" s="298"/>
      <c r="AE57" s="285" t="s">
        <v>984</v>
      </c>
      <c r="AF57" s="299">
        <f t="shared" si="8"/>
        <v>72.64</v>
      </c>
      <c r="AG57" s="299">
        <f t="shared" si="9"/>
        <v>284.63</v>
      </c>
      <c r="AH57" s="299">
        <f t="shared" si="10"/>
        <v>0</v>
      </c>
      <c r="AI57" s="299">
        <f t="shared" si="11"/>
        <v>-211.99</v>
      </c>
      <c r="AJ57" s="299">
        <f t="shared" si="12"/>
        <v>0</v>
      </c>
      <c r="AK57" s="299">
        <f t="shared" si="13"/>
        <v>0</v>
      </c>
      <c r="AL57" s="298">
        <f t="shared" si="28"/>
        <v>330.79</v>
      </c>
      <c r="AM57" s="298">
        <f t="shared" si="29"/>
        <v>17.4</v>
      </c>
      <c r="AN57" s="298">
        <f t="shared" si="30"/>
        <v>0</v>
      </c>
      <c r="AO57" s="298">
        <f t="shared" si="31"/>
        <v>21.63</v>
      </c>
      <c r="AP57" s="298">
        <f t="shared" si="32"/>
        <v>0</v>
      </c>
      <c r="AQ57" s="298">
        <f t="shared" si="33"/>
        <v>0</v>
      </c>
      <c r="AR57" s="298">
        <f t="shared" si="34"/>
        <v>291.76</v>
      </c>
      <c r="AS57" s="298">
        <f t="shared" si="24"/>
        <v>0</v>
      </c>
      <c r="AT57" s="298">
        <f t="shared" si="35"/>
        <v>0</v>
      </c>
      <c r="AU57" s="298">
        <f t="shared" si="14"/>
        <v>330.79</v>
      </c>
      <c r="AV57" s="298">
        <v>322.78</v>
      </c>
      <c r="AW57" s="298"/>
      <c r="AX57" s="298">
        <v>8.01</v>
      </c>
      <c r="AY57" s="298"/>
      <c r="AZ57" s="298"/>
      <c r="BA57" s="285">
        <v>435.87</v>
      </c>
    </row>
    <row r="58" s="258" customFormat="1" ht="24" spans="1:53">
      <c r="A58" s="283">
        <v>51</v>
      </c>
      <c r="B58" s="284" t="s">
        <v>221</v>
      </c>
      <c r="C58" s="284" t="s">
        <v>199</v>
      </c>
      <c r="D58" s="284" t="s">
        <v>263</v>
      </c>
      <c r="E58" s="284" t="s">
        <v>213</v>
      </c>
      <c r="F58" s="285">
        <f t="shared" si="26"/>
        <v>4.8</v>
      </c>
      <c r="G58" s="285">
        <v>4.8</v>
      </c>
      <c r="H58" s="285"/>
      <c r="I58" s="285"/>
      <c r="J58" s="285"/>
      <c r="K58" s="285"/>
      <c r="L58" s="285"/>
      <c r="M58" s="285"/>
      <c r="N58" s="285"/>
      <c r="O58" s="284"/>
      <c r="P58" s="285">
        <f t="shared" si="7"/>
        <v>4.8</v>
      </c>
      <c r="Q58" s="285">
        <v>4.8</v>
      </c>
      <c r="R58" s="285"/>
      <c r="S58" s="285"/>
      <c r="T58" s="285"/>
      <c r="U58" s="285"/>
      <c r="V58" s="298">
        <f t="shared" si="27"/>
        <v>0</v>
      </c>
      <c r="W58" s="298"/>
      <c r="X58" s="298"/>
      <c r="Y58" s="298"/>
      <c r="Z58" s="298"/>
      <c r="AA58" s="298"/>
      <c r="AB58" s="298"/>
      <c r="AC58" s="298"/>
      <c r="AD58" s="298"/>
      <c r="AE58" s="285"/>
      <c r="AF58" s="299">
        <f t="shared" si="8"/>
        <v>0</v>
      </c>
      <c r="AG58" s="299">
        <f t="shared" si="9"/>
        <v>0</v>
      </c>
      <c r="AH58" s="299">
        <f t="shared" si="10"/>
        <v>0</v>
      </c>
      <c r="AI58" s="299">
        <f t="shared" si="11"/>
        <v>0</v>
      </c>
      <c r="AJ58" s="299">
        <f t="shared" si="12"/>
        <v>0</v>
      </c>
      <c r="AK58" s="299">
        <f t="shared" si="13"/>
        <v>0</v>
      </c>
      <c r="AL58" s="298">
        <f t="shared" si="28"/>
        <v>4.8</v>
      </c>
      <c r="AM58" s="298">
        <f t="shared" si="29"/>
        <v>4.8</v>
      </c>
      <c r="AN58" s="298">
        <f t="shared" si="30"/>
        <v>0</v>
      </c>
      <c r="AO58" s="298">
        <f t="shared" si="31"/>
        <v>0</v>
      </c>
      <c r="AP58" s="298">
        <f t="shared" si="32"/>
        <v>0</v>
      </c>
      <c r="AQ58" s="298">
        <f t="shared" si="33"/>
        <v>0</v>
      </c>
      <c r="AR58" s="298">
        <f t="shared" si="34"/>
        <v>0</v>
      </c>
      <c r="AS58" s="298">
        <f t="shared" si="24"/>
        <v>0</v>
      </c>
      <c r="AT58" s="298">
        <f t="shared" si="35"/>
        <v>0</v>
      </c>
      <c r="AU58" s="285">
        <f t="shared" si="14"/>
        <v>4.8</v>
      </c>
      <c r="AV58" s="298">
        <v>4.8</v>
      </c>
      <c r="AW58" s="285"/>
      <c r="AX58" s="285"/>
      <c r="AY58" s="285"/>
      <c r="AZ58" s="285"/>
      <c r="BA58" s="285"/>
    </row>
    <row r="59" s="258" customFormat="1" ht="24" spans="1:53">
      <c r="A59" s="283">
        <v>52</v>
      </c>
      <c r="B59" s="284" t="s">
        <v>221</v>
      </c>
      <c r="C59" s="284" t="s">
        <v>199</v>
      </c>
      <c r="D59" s="284" t="s">
        <v>264</v>
      </c>
      <c r="E59" s="284" t="s">
        <v>213</v>
      </c>
      <c r="F59" s="285">
        <f t="shared" si="26"/>
        <v>6.6</v>
      </c>
      <c r="G59" s="285">
        <v>6.6</v>
      </c>
      <c r="H59" s="285"/>
      <c r="I59" s="285"/>
      <c r="J59" s="285"/>
      <c r="K59" s="285"/>
      <c r="L59" s="285"/>
      <c r="M59" s="285"/>
      <c r="N59" s="285"/>
      <c r="O59" s="284"/>
      <c r="P59" s="285">
        <f t="shared" si="7"/>
        <v>6.6</v>
      </c>
      <c r="Q59" s="285">
        <v>6.6</v>
      </c>
      <c r="R59" s="285"/>
      <c r="S59" s="285"/>
      <c r="T59" s="285"/>
      <c r="U59" s="285"/>
      <c r="V59" s="298">
        <f t="shared" si="27"/>
        <v>0</v>
      </c>
      <c r="W59" s="298"/>
      <c r="X59" s="298"/>
      <c r="Y59" s="298"/>
      <c r="Z59" s="298"/>
      <c r="AA59" s="298"/>
      <c r="AB59" s="298"/>
      <c r="AC59" s="298"/>
      <c r="AD59" s="298"/>
      <c r="AE59" s="285"/>
      <c r="AF59" s="299">
        <f t="shared" si="8"/>
        <v>0</v>
      </c>
      <c r="AG59" s="299">
        <f t="shared" si="9"/>
        <v>0</v>
      </c>
      <c r="AH59" s="299">
        <f t="shared" si="10"/>
        <v>0</v>
      </c>
      <c r="AI59" s="299">
        <f t="shared" si="11"/>
        <v>0</v>
      </c>
      <c r="AJ59" s="299">
        <f t="shared" si="12"/>
        <v>0</v>
      </c>
      <c r="AK59" s="299">
        <f t="shared" si="13"/>
        <v>0</v>
      </c>
      <c r="AL59" s="298">
        <f t="shared" si="28"/>
        <v>6.6</v>
      </c>
      <c r="AM59" s="298">
        <f t="shared" si="29"/>
        <v>6.6</v>
      </c>
      <c r="AN59" s="298">
        <f t="shared" si="30"/>
        <v>0</v>
      </c>
      <c r="AO59" s="298">
        <f t="shared" si="31"/>
        <v>0</v>
      </c>
      <c r="AP59" s="298">
        <f t="shared" si="32"/>
        <v>0</v>
      </c>
      <c r="AQ59" s="298">
        <f t="shared" si="33"/>
        <v>0</v>
      </c>
      <c r="AR59" s="298">
        <f t="shared" si="34"/>
        <v>0</v>
      </c>
      <c r="AS59" s="298">
        <f t="shared" si="24"/>
        <v>0</v>
      </c>
      <c r="AT59" s="298">
        <f t="shared" si="35"/>
        <v>0</v>
      </c>
      <c r="AU59" s="285">
        <f t="shared" si="14"/>
        <v>6.6</v>
      </c>
      <c r="AV59" s="298">
        <v>6.6</v>
      </c>
      <c r="AW59" s="285"/>
      <c r="AX59" s="285"/>
      <c r="AY59" s="285"/>
      <c r="AZ59" s="285"/>
      <c r="BA59" s="285"/>
    </row>
    <row r="60" s="258" customFormat="1" ht="24" spans="1:53">
      <c r="A60" s="283">
        <v>53</v>
      </c>
      <c r="B60" s="284" t="s">
        <v>221</v>
      </c>
      <c r="C60" s="284" t="s">
        <v>199</v>
      </c>
      <c r="D60" s="284" t="s">
        <v>265</v>
      </c>
      <c r="E60" s="284" t="s">
        <v>213</v>
      </c>
      <c r="F60" s="285">
        <f t="shared" si="26"/>
        <v>14.4</v>
      </c>
      <c r="G60" s="285">
        <v>14.4</v>
      </c>
      <c r="H60" s="285"/>
      <c r="I60" s="285"/>
      <c r="J60" s="285"/>
      <c r="K60" s="285"/>
      <c r="L60" s="285"/>
      <c r="M60" s="285"/>
      <c r="N60" s="285"/>
      <c r="O60" s="284"/>
      <c r="P60" s="285">
        <f t="shared" si="7"/>
        <v>14.4</v>
      </c>
      <c r="Q60" s="285">
        <v>14.4</v>
      </c>
      <c r="R60" s="285"/>
      <c r="S60" s="285"/>
      <c r="T60" s="285"/>
      <c r="U60" s="285"/>
      <c r="V60" s="298">
        <f t="shared" si="27"/>
        <v>0</v>
      </c>
      <c r="W60" s="298"/>
      <c r="X60" s="298"/>
      <c r="Y60" s="298"/>
      <c r="Z60" s="298"/>
      <c r="AA60" s="298"/>
      <c r="AB60" s="298"/>
      <c r="AC60" s="298"/>
      <c r="AD60" s="298"/>
      <c r="AE60" s="285"/>
      <c r="AF60" s="299">
        <f t="shared" si="8"/>
        <v>0</v>
      </c>
      <c r="AG60" s="299">
        <f t="shared" si="9"/>
        <v>0</v>
      </c>
      <c r="AH60" s="299">
        <f t="shared" si="10"/>
        <v>0</v>
      </c>
      <c r="AI60" s="299">
        <f t="shared" si="11"/>
        <v>0</v>
      </c>
      <c r="AJ60" s="299">
        <f t="shared" si="12"/>
        <v>0</v>
      </c>
      <c r="AK60" s="299">
        <f t="shared" si="13"/>
        <v>0</v>
      </c>
      <c r="AL60" s="298">
        <f t="shared" si="28"/>
        <v>14.4</v>
      </c>
      <c r="AM60" s="298">
        <f t="shared" si="29"/>
        <v>14.4</v>
      </c>
      <c r="AN60" s="298">
        <f t="shared" si="30"/>
        <v>0</v>
      </c>
      <c r="AO60" s="298">
        <f t="shared" si="31"/>
        <v>0</v>
      </c>
      <c r="AP60" s="298">
        <f t="shared" si="32"/>
        <v>0</v>
      </c>
      <c r="AQ60" s="298">
        <f t="shared" si="33"/>
        <v>0</v>
      </c>
      <c r="AR60" s="298">
        <f t="shared" si="34"/>
        <v>0</v>
      </c>
      <c r="AS60" s="298">
        <f t="shared" si="24"/>
        <v>0</v>
      </c>
      <c r="AT60" s="298">
        <f t="shared" si="35"/>
        <v>0</v>
      </c>
      <c r="AU60" s="285">
        <f t="shared" si="14"/>
        <v>14.4</v>
      </c>
      <c r="AV60" s="298">
        <v>14.4</v>
      </c>
      <c r="AW60" s="285"/>
      <c r="AX60" s="285"/>
      <c r="AY60" s="285"/>
      <c r="AZ60" s="285"/>
      <c r="BA60" s="285"/>
    </row>
    <row r="61" s="258" customFormat="1" ht="48" spans="1:53">
      <c r="A61" s="283">
        <v>54</v>
      </c>
      <c r="B61" s="284" t="s">
        <v>221</v>
      </c>
      <c r="C61" s="284" t="s">
        <v>196</v>
      </c>
      <c r="D61" s="284" t="s">
        <v>266</v>
      </c>
      <c r="E61" s="284" t="s">
        <v>207</v>
      </c>
      <c r="F61" s="285">
        <f t="shared" si="26"/>
        <v>215.7</v>
      </c>
      <c r="G61" s="285">
        <v>16.8</v>
      </c>
      <c r="H61" s="285"/>
      <c r="I61" s="285">
        <v>18.9</v>
      </c>
      <c r="J61" s="285"/>
      <c r="K61" s="285"/>
      <c r="L61" s="285"/>
      <c r="M61" s="285">
        <v>180</v>
      </c>
      <c r="N61" s="285"/>
      <c r="O61" s="284" t="s">
        <v>985</v>
      </c>
      <c r="P61" s="285">
        <f t="shared" si="7"/>
        <v>215.7</v>
      </c>
      <c r="Q61" s="285">
        <v>35.7</v>
      </c>
      <c r="R61" s="285"/>
      <c r="S61" s="285">
        <v>180</v>
      </c>
      <c r="T61" s="285"/>
      <c r="U61" s="285"/>
      <c r="V61" s="298">
        <f t="shared" si="27"/>
        <v>209.265</v>
      </c>
      <c r="W61" s="298"/>
      <c r="X61" s="298"/>
      <c r="Y61" s="298">
        <v>1.025</v>
      </c>
      <c r="Z61" s="298"/>
      <c r="AA61" s="298"/>
      <c r="AB61" s="298">
        <f>-180+4+13.32+126.94+44.81+199.17</f>
        <v>208.24</v>
      </c>
      <c r="AC61" s="298"/>
      <c r="AD61" s="298"/>
      <c r="AE61" s="285" t="s">
        <v>986</v>
      </c>
      <c r="AF61" s="299">
        <f t="shared" si="8"/>
        <v>209.265</v>
      </c>
      <c r="AG61" s="299">
        <f t="shared" si="9"/>
        <v>344.455</v>
      </c>
      <c r="AH61" s="299">
        <f t="shared" si="10"/>
        <v>0</v>
      </c>
      <c r="AI61" s="299">
        <f t="shared" si="11"/>
        <v>-135.19</v>
      </c>
      <c r="AJ61" s="299">
        <f t="shared" si="12"/>
        <v>0</v>
      </c>
      <c r="AK61" s="299">
        <f t="shared" si="13"/>
        <v>0</v>
      </c>
      <c r="AL61" s="298">
        <f t="shared" si="28"/>
        <v>424.965</v>
      </c>
      <c r="AM61" s="298">
        <f t="shared" si="29"/>
        <v>16.8</v>
      </c>
      <c r="AN61" s="298">
        <f t="shared" si="30"/>
        <v>0</v>
      </c>
      <c r="AO61" s="298">
        <f t="shared" si="31"/>
        <v>19.925</v>
      </c>
      <c r="AP61" s="298">
        <f t="shared" si="32"/>
        <v>0</v>
      </c>
      <c r="AQ61" s="298">
        <f t="shared" si="33"/>
        <v>0</v>
      </c>
      <c r="AR61" s="298">
        <f t="shared" si="34"/>
        <v>388.24</v>
      </c>
      <c r="AS61" s="298">
        <f t="shared" si="24"/>
        <v>0</v>
      </c>
      <c r="AT61" s="298">
        <f t="shared" si="35"/>
        <v>0</v>
      </c>
      <c r="AU61" s="298">
        <f t="shared" si="14"/>
        <v>424.965</v>
      </c>
      <c r="AV61" s="298">
        <v>380.155</v>
      </c>
      <c r="AW61" s="298"/>
      <c r="AX61" s="298">
        <v>44.81</v>
      </c>
      <c r="AY61" s="298"/>
      <c r="AZ61" s="298"/>
      <c r="BA61" s="285">
        <v>776.86</v>
      </c>
    </row>
    <row r="62" s="258" customFormat="1" ht="24" spans="1:53">
      <c r="A62" s="283">
        <v>55</v>
      </c>
      <c r="B62" s="284" t="s">
        <v>221</v>
      </c>
      <c r="C62" s="284" t="s">
        <v>199</v>
      </c>
      <c r="D62" s="284" t="s">
        <v>267</v>
      </c>
      <c r="E62" s="284" t="s">
        <v>213</v>
      </c>
      <c r="F62" s="285">
        <f t="shared" si="26"/>
        <v>3.6</v>
      </c>
      <c r="G62" s="285">
        <v>3.6</v>
      </c>
      <c r="H62" s="285"/>
      <c r="I62" s="285"/>
      <c r="J62" s="285"/>
      <c r="K62" s="285"/>
      <c r="L62" s="285"/>
      <c r="M62" s="285"/>
      <c r="N62" s="285"/>
      <c r="O62" s="284"/>
      <c r="P62" s="285">
        <f t="shared" si="7"/>
        <v>3.6</v>
      </c>
      <c r="Q62" s="285">
        <v>3.6</v>
      </c>
      <c r="R62" s="285"/>
      <c r="S62" s="285"/>
      <c r="T62" s="285"/>
      <c r="U62" s="285"/>
      <c r="V62" s="298">
        <f t="shared" si="27"/>
        <v>0</v>
      </c>
      <c r="W62" s="298"/>
      <c r="X62" s="298"/>
      <c r="Y62" s="298"/>
      <c r="Z62" s="298"/>
      <c r="AA62" s="298"/>
      <c r="AB62" s="298"/>
      <c r="AC62" s="298"/>
      <c r="AD62" s="298"/>
      <c r="AE62" s="285"/>
      <c r="AF62" s="299">
        <f t="shared" si="8"/>
        <v>0</v>
      </c>
      <c r="AG62" s="299">
        <f t="shared" si="9"/>
        <v>0</v>
      </c>
      <c r="AH62" s="299">
        <f t="shared" si="10"/>
        <v>0</v>
      </c>
      <c r="AI62" s="299">
        <f t="shared" si="11"/>
        <v>0</v>
      </c>
      <c r="AJ62" s="299">
        <f t="shared" si="12"/>
        <v>0</v>
      </c>
      <c r="AK62" s="299">
        <f t="shared" si="13"/>
        <v>0</v>
      </c>
      <c r="AL62" s="298">
        <f t="shared" si="28"/>
        <v>3.6</v>
      </c>
      <c r="AM62" s="298">
        <f t="shared" si="29"/>
        <v>3.6</v>
      </c>
      <c r="AN62" s="298">
        <f t="shared" si="30"/>
        <v>0</v>
      </c>
      <c r="AO62" s="298">
        <f t="shared" si="31"/>
        <v>0</v>
      </c>
      <c r="AP62" s="298">
        <f t="shared" si="32"/>
        <v>0</v>
      </c>
      <c r="AQ62" s="298">
        <f t="shared" si="33"/>
        <v>0</v>
      </c>
      <c r="AR62" s="298">
        <f t="shared" si="34"/>
        <v>0</v>
      </c>
      <c r="AS62" s="298">
        <f t="shared" si="24"/>
        <v>0</v>
      </c>
      <c r="AT62" s="298">
        <f t="shared" si="35"/>
        <v>0</v>
      </c>
      <c r="AU62" s="285">
        <f t="shared" si="14"/>
        <v>3.6</v>
      </c>
      <c r="AV62" s="298">
        <v>3.6</v>
      </c>
      <c r="AW62" s="285"/>
      <c r="AX62" s="285"/>
      <c r="AY62" s="285"/>
      <c r="AZ62" s="285"/>
      <c r="BA62" s="285"/>
    </row>
    <row r="63" s="258" customFormat="1" ht="24" spans="1:53">
      <c r="A63" s="283">
        <v>56</v>
      </c>
      <c r="B63" s="284" t="s">
        <v>221</v>
      </c>
      <c r="C63" s="284" t="s">
        <v>199</v>
      </c>
      <c r="D63" s="284" t="s">
        <v>268</v>
      </c>
      <c r="E63" s="284" t="s">
        <v>213</v>
      </c>
      <c r="F63" s="285">
        <f t="shared" si="26"/>
        <v>3.6</v>
      </c>
      <c r="G63" s="285">
        <v>3.6</v>
      </c>
      <c r="H63" s="285"/>
      <c r="I63" s="285"/>
      <c r="J63" s="285"/>
      <c r="K63" s="285"/>
      <c r="L63" s="285"/>
      <c r="M63" s="285"/>
      <c r="N63" s="285"/>
      <c r="O63" s="284"/>
      <c r="P63" s="285">
        <f t="shared" si="7"/>
        <v>3.6</v>
      </c>
      <c r="Q63" s="285">
        <v>3.6</v>
      </c>
      <c r="R63" s="285"/>
      <c r="S63" s="285"/>
      <c r="T63" s="285"/>
      <c r="U63" s="285"/>
      <c r="V63" s="298">
        <f t="shared" si="27"/>
        <v>0</v>
      </c>
      <c r="W63" s="298"/>
      <c r="X63" s="298"/>
      <c r="Y63" s="298"/>
      <c r="Z63" s="298"/>
      <c r="AA63" s="298"/>
      <c r="AB63" s="298"/>
      <c r="AC63" s="298"/>
      <c r="AD63" s="298"/>
      <c r="AE63" s="285"/>
      <c r="AF63" s="299">
        <f t="shared" si="8"/>
        <v>0</v>
      </c>
      <c r="AG63" s="299">
        <f t="shared" si="9"/>
        <v>0</v>
      </c>
      <c r="AH63" s="299">
        <f t="shared" si="10"/>
        <v>0</v>
      </c>
      <c r="AI63" s="299">
        <f t="shared" si="11"/>
        <v>0</v>
      </c>
      <c r="AJ63" s="299">
        <f t="shared" si="12"/>
        <v>0</v>
      </c>
      <c r="AK63" s="299">
        <f t="shared" si="13"/>
        <v>0</v>
      </c>
      <c r="AL63" s="298">
        <f t="shared" si="28"/>
        <v>3.6</v>
      </c>
      <c r="AM63" s="298">
        <f t="shared" si="29"/>
        <v>3.6</v>
      </c>
      <c r="AN63" s="298">
        <f t="shared" si="30"/>
        <v>0</v>
      </c>
      <c r="AO63" s="298">
        <f t="shared" si="31"/>
        <v>0</v>
      </c>
      <c r="AP63" s="298">
        <f t="shared" si="32"/>
        <v>0</v>
      </c>
      <c r="AQ63" s="298">
        <f t="shared" si="33"/>
        <v>0</v>
      </c>
      <c r="AR63" s="298">
        <f t="shared" si="34"/>
        <v>0</v>
      </c>
      <c r="AS63" s="298">
        <f t="shared" si="24"/>
        <v>0</v>
      </c>
      <c r="AT63" s="298">
        <f t="shared" si="35"/>
        <v>0</v>
      </c>
      <c r="AU63" s="285">
        <f t="shared" si="14"/>
        <v>3.6</v>
      </c>
      <c r="AV63" s="298">
        <v>3.6</v>
      </c>
      <c r="AW63" s="285"/>
      <c r="AX63" s="285"/>
      <c r="AY63" s="285"/>
      <c r="AZ63" s="285"/>
      <c r="BA63" s="285"/>
    </row>
    <row r="64" s="258" customFormat="1" ht="24" spans="1:53">
      <c r="A64" s="283">
        <v>57</v>
      </c>
      <c r="B64" s="284" t="s">
        <v>221</v>
      </c>
      <c r="C64" s="284" t="s">
        <v>199</v>
      </c>
      <c r="D64" s="284" t="s">
        <v>269</v>
      </c>
      <c r="E64" s="284" t="s">
        <v>213</v>
      </c>
      <c r="F64" s="285">
        <f t="shared" si="26"/>
        <v>13.2</v>
      </c>
      <c r="G64" s="285">
        <v>13.2</v>
      </c>
      <c r="H64" s="285"/>
      <c r="I64" s="285"/>
      <c r="J64" s="285"/>
      <c r="K64" s="285"/>
      <c r="L64" s="285"/>
      <c r="M64" s="285"/>
      <c r="N64" s="285"/>
      <c r="O64" s="284"/>
      <c r="P64" s="285">
        <f t="shared" si="7"/>
        <v>13.2</v>
      </c>
      <c r="Q64" s="285">
        <v>13.2</v>
      </c>
      <c r="R64" s="285"/>
      <c r="S64" s="285"/>
      <c r="T64" s="285"/>
      <c r="U64" s="285"/>
      <c r="V64" s="298">
        <f t="shared" si="27"/>
        <v>0</v>
      </c>
      <c r="W64" s="298"/>
      <c r="X64" s="298"/>
      <c r="Y64" s="298"/>
      <c r="Z64" s="298"/>
      <c r="AA64" s="298"/>
      <c r="AB64" s="298"/>
      <c r="AC64" s="298"/>
      <c r="AD64" s="298"/>
      <c r="AE64" s="285"/>
      <c r="AF64" s="299">
        <f t="shared" si="8"/>
        <v>0</v>
      </c>
      <c r="AG64" s="299">
        <f t="shared" si="9"/>
        <v>0</v>
      </c>
      <c r="AH64" s="299">
        <f t="shared" si="10"/>
        <v>0</v>
      </c>
      <c r="AI64" s="299">
        <f t="shared" si="11"/>
        <v>0</v>
      </c>
      <c r="AJ64" s="299">
        <f t="shared" si="12"/>
        <v>0</v>
      </c>
      <c r="AK64" s="299">
        <f t="shared" si="13"/>
        <v>0</v>
      </c>
      <c r="AL64" s="298">
        <f t="shared" si="28"/>
        <v>13.2</v>
      </c>
      <c r="AM64" s="298">
        <f t="shared" si="29"/>
        <v>13.2</v>
      </c>
      <c r="AN64" s="298">
        <f t="shared" si="30"/>
        <v>0</v>
      </c>
      <c r="AO64" s="298">
        <f t="shared" si="31"/>
        <v>0</v>
      </c>
      <c r="AP64" s="298">
        <f t="shared" si="32"/>
        <v>0</v>
      </c>
      <c r="AQ64" s="298">
        <f t="shared" si="33"/>
        <v>0</v>
      </c>
      <c r="AR64" s="298">
        <f t="shared" si="34"/>
        <v>0</v>
      </c>
      <c r="AS64" s="298">
        <f t="shared" si="24"/>
        <v>0</v>
      </c>
      <c r="AT64" s="298">
        <f t="shared" si="35"/>
        <v>0</v>
      </c>
      <c r="AU64" s="285">
        <f t="shared" si="14"/>
        <v>13.2</v>
      </c>
      <c r="AV64" s="298">
        <v>13.2</v>
      </c>
      <c r="AW64" s="285"/>
      <c r="AX64" s="285"/>
      <c r="AY64" s="285"/>
      <c r="AZ64" s="285"/>
      <c r="BA64" s="285"/>
    </row>
    <row r="65" s="258" customFormat="1" ht="48" spans="1:53">
      <c r="A65" s="283">
        <v>58</v>
      </c>
      <c r="B65" s="284" t="s">
        <v>221</v>
      </c>
      <c r="C65" s="284" t="s">
        <v>196</v>
      </c>
      <c r="D65" s="284" t="s">
        <v>270</v>
      </c>
      <c r="E65" s="284" t="s">
        <v>207</v>
      </c>
      <c r="F65" s="285">
        <f t="shared" si="26"/>
        <v>235.82</v>
      </c>
      <c r="G65" s="285">
        <v>16.8</v>
      </c>
      <c r="H65" s="285"/>
      <c r="I65" s="285">
        <v>19.02</v>
      </c>
      <c r="J65" s="285"/>
      <c r="K65" s="285"/>
      <c r="L65" s="285"/>
      <c r="M65" s="285">
        <v>200</v>
      </c>
      <c r="N65" s="285"/>
      <c r="O65" s="284" t="s">
        <v>987</v>
      </c>
      <c r="P65" s="285">
        <f t="shared" si="7"/>
        <v>235.82</v>
      </c>
      <c r="Q65" s="285">
        <v>35.82</v>
      </c>
      <c r="R65" s="285"/>
      <c r="S65" s="285">
        <v>200</v>
      </c>
      <c r="T65" s="285"/>
      <c r="U65" s="285"/>
      <c r="V65" s="298">
        <f t="shared" si="27"/>
        <v>85.95</v>
      </c>
      <c r="W65" s="298"/>
      <c r="X65" s="298"/>
      <c r="Y65" s="298">
        <v>-0.32</v>
      </c>
      <c r="Z65" s="298"/>
      <c r="AA65" s="298"/>
      <c r="AB65" s="298">
        <f>-200+18.14+169.54+36.47+62.12</f>
        <v>86.27</v>
      </c>
      <c r="AC65" s="298"/>
      <c r="AD65" s="298"/>
      <c r="AE65" s="285" t="s">
        <v>988</v>
      </c>
      <c r="AF65" s="299">
        <f t="shared" si="8"/>
        <v>85.95</v>
      </c>
      <c r="AG65" s="299">
        <f t="shared" si="9"/>
        <v>249.48</v>
      </c>
      <c r="AH65" s="299">
        <f t="shared" si="10"/>
        <v>0</v>
      </c>
      <c r="AI65" s="299">
        <f t="shared" si="11"/>
        <v>-163.53</v>
      </c>
      <c r="AJ65" s="299">
        <f t="shared" si="12"/>
        <v>0</v>
      </c>
      <c r="AK65" s="299">
        <f t="shared" si="13"/>
        <v>0</v>
      </c>
      <c r="AL65" s="298">
        <f t="shared" si="28"/>
        <v>321.77</v>
      </c>
      <c r="AM65" s="298">
        <f t="shared" si="29"/>
        <v>16.8</v>
      </c>
      <c r="AN65" s="298">
        <f t="shared" si="30"/>
        <v>0</v>
      </c>
      <c r="AO65" s="298">
        <f t="shared" si="31"/>
        <v>18.7</v>
      </c>
      <c r="AP65" s="298">
        <f t="shared" si="32"/>
        <v>0</v>
      </c>
      <c r="AQ65" s="298">
        <f t="shared" si="33"/>
        <v>0</v>
      </c>
      <c r="AR65" s="298">
        <f t="shared" si="34"/>
        <v>286.27</v>
      </c>
      <c r="AS65" s="298">
        <f t="shared" si="24"/>
        <v>0</v>
      </c>
      <c r="AT65" s="298">
        <f t="shared" si="35"/>
        <v>0</v>
      </c>
      <c r="AU65" s="298">
        <f t="shared" si="14"/>
        <v>321.77</v>
      </c>
      <c r="AV65" s="298">
        <v>285.3</v>
      </c>
      <c r="AW65" s="298"/>
      <c r="AX65" s="298">
        <v>36.47</v>
      </c>
      <c r="AY65" s="298"/>
      <c r="AZ65" s="298"/>
      <c r="BA65" s="285">
        <v>288.64</v>
      </c>
    </row>
    <row r="66" s="258" customFormat="1" ht="24" spans="1:53">
      <c r="A66" s="283">
        <v>59</v>
      </c>
      <c r="B66" s="284" t="s">
        <v>221</v>
      </c>
      <c r="C66" s="284" t="s">
        <v>199</v>
      </c>
      <c r="D66" s="284" t="s">
        <v>271</v>
      </c>
      <c r="E66" s="284" t="s">
        <v>213</v>
      </c>
      <c r="F66" s="285">
        <f t="shared" si="26"/>
        <v>3</v>
      </c>
      <c r="G66" s="285">
        <v>3</v>
      </c>
      <c r="H66" s="285"/>
      <c r="I66" s="285"/>
      <c r="J66" s="285"/>
      <c r="K66" s="285"/>
      <c r="L66" s="285"/>
      <c r="M66" s="285"/>
      <c r="N66" s="285"/>
      <c r="O66" s="284"/>
      <c r="P66" s="285">
        <f t="shared" si="7"/>
        <v>3</v>
      </c>
      <c r="Q66" s="285">
        <v>3</v>
      </c>
      <c r="R66" s="285"/>
      <c r="S66" s="285"/>
      <c r="T66" s="285"/>
      <c r="U66" s="285"/>
      <c r="V66" s="298">
        <f t="shared" si="27"/>
        <v>0</v>
      </c>
      <c r="W66" s="298"/>
      <c r="X66" s="298"/>
      <c r="Y66" s="298"/>
      <c r="Z66" s="298"/>
      <c r="AA66" s="298"/>
      <c r="AB66" s="298"/>
      <c r="AC66" s="298"/>
      <c r="AD66" s="298"/>
      <c r="AE66" s="285"/>
      <c r="AF66" s="299">
        <f t="shared" si="8"/>
        <v>0</v>
      </c>
      <c r="AG66" s="299">
        <f t="shared" si="9"/>
        <v>0</v>
      </c>
      <c r="AH66" s="299">
        <f t="shared" si="10"/>
        <v>0</v>
      </c>
      <c r="AI66" s="299">
        <f t="shared" si="11"/>
        <v>0</v>
      </c>
      <c r="AJ66" s="299">
        <f t="shared" si="12"/>
        <v>0</v>
      </c>
      <c r="AK66" s="299">
        <f t="shared" si="13"/>
        <v>0</v>
      </c>
      <c r="AL66" s="298">
        <f t="shared" si="28"/>
        <v>3</v>
      </c>
      <c r="AM66" s="298">
        <f t="shared" si="29"/>
        <v>3</v>
      </c>
      <c r="AN66" s="298">
        <f t="shared" si="30"/>
        <v>0</v>
      </c>
      <c r="AO66" s="298">
        <f t="shared" si="31"/>
        <v>0</v>
      </c>
      <c r="AP66" s="298">
        <f t="shared" si="32"/>
        <v>0</v>
      </c>
      <c r="AQ66" s="298">
        <f t="shared" si="33"/>
        <v>0</v>
      </c>
      <c r="AR66" s="298">
        <f t="shared" si="34"/>
        <v>0</v>
      </c>
      <c r="AS66" s="298">
        <f t="shared" si="24"/>
        <v>0</v>
      </c>
      <c r="AT66" s="298">
        <f t="shared" si="35"/>
        <v>0</v>
      </c>
      <c r="AU66" s="285">
        <f t="shared" si="14"/>
        <v>3</v>
      </c>
      <c r="AV66" s="298">
        <v>3</v>
      </c>
      <c r="AW66" s="285"/>
      <c r="AX66" s="285"/>
      <c r="AY66" s="285"/>
      <c r="AZ66" s="285"/>
      <c r="BA66" s="285"/>
    </row>
    <row r="67" s="258" customFormat="1" ht="24" spans="1:53">
      <c r="A67" s="283">
        <v>60</v>
      </c>
      <c r="B67" s="284" t="s">
        <v>221</v>
      </c>
      <c r="C67" s="284" t="s">
        <v>199</v>
      </c>
      <c r="D67" s="284" t="s">
        <v>272</v>
      </c>
      <c r="E67" s="284" t="s">
        <v>213</v>
      </c>
      <c r="F67" s="285">
        <f t="shared" si="26"/>
        <v>4.8</v>
      </c>
      <c r="G67" s="285">
        <v>4.8</v>
      </c>
      <c r="H67" s="285"/>
      <c r="I67" s="285"/>
      <c r="J67" s="285"/>
      <c r="K67" s="285"/>
      <c r="L67" s="285"/>
      <c r="M67" s="285"/>
      <c r="N67" s="285"/>
      <c r="O67" s="284"/>
      <c r="P67" s="285">
        <f t="shared" si="7"/>
        <v>4.8</v>
      </c>
      <c r="Q67" s="285">
        <v>4.8</v>
      </c>
      <c r="R67" s="285"/>
      <c r="S67" s="285"/>
      <c r="T67" s="285"/>
      <c r="U67" s="285"/>
      <c r="V67" s="298">
        <f t="shared" si="27"/>
        <v>0</v>
      </c>
      <c r="W67" s="298"/>
      <c r="X67" s="298"/>
      <c r="Y67" s="298"/>
      <c r="Z67" s="298"/>
      <c r="AA67" s="298"/>
      <c r="AB67" s="298"/>
      <c r="AC67" s="298"/>
      <c r="AD67" s="298"/>
      <c r="AE67" s="285"/>
      <c r="AF67" s="299">
        <f t="shared" si="8"/>
        <v>0</v>
      </c>
      <c r="AG67" s="299">
        <f t="shared" si="9"/>
        <v>0</v>
      </c>
      <c r="AH67" s="299">
        <f t="shared" si="10"/>
        <v>0</v>
      </c>
      <c r="AI67" s="299">
        <f t="shared" si="11"/>
        <v>0</v>
      </c>
      <c r="AJ67" s="299">
        <f t="shared" si="12"/>
        <v>0</v>
      </c>
      <c r="AK67" s="299">
        <f t="shared" si="13"/>
        <v>0</v>
      </c>
      <c r="AL67" s="298">
        <f t="shared" si="28"/>
        <v>4.8</v>
      </c>
      <c r="AM67" s="298">
        <f t="shared" si="29"/>
        <v>4.8</v>
      </c>
      <c r="AN67" s="298">
        <f t="shared" si="30"/>
        <v>0</v>
      </c>
      <c r="AO67" s="298">
        <f t="shared" si="31"/>
        <v>0</v>
      </c>
      <c r="AP67" s="298">
        <f t="shared" si="32"/>
        <v>0</v>
      </c>
      <c r="AQ67" s="298">
        <f t="shared" si="33"/>
        <v>0</v>
      </c>
      <c r="AR67" s="298">
        <f t="shared" si="34"/>
        <v>0</v>
      </c>
      <c r="AS67" s="298">
        <f t="shared" si="24"/>
        <v>0</v>
      </c>
      <c r="AT67" s="298">
        <f t="shared" si="35"/>
        <v>0</v>
      </c>
      <c r="AU67" s="285">
        <f t="shared" si="14"/>
        <v>4.8</v>
      </c>
      <c r="AV67" s="298">
        <v>4.8</v>
      </c>
      <c r="AW67" s="285"/>
      <c r="AX67" s="285"/>
      <c r="AY67" s="285"/>
      <c r="AZ67" s="285"/>
      <c r="BA67" s="285"/>
    </row>
    <row r="68" s="258" customFormat="1" ht="24" spans="1:53">
      <c r="A68" s="283">
        <v>61</v>
      </c>
      <c r="B68" s="284" t="s">
        <v>221</v>
      </c>
      <c r="C68" s="284" t="s">
        <v>199</v>
      </c>
      <c r="D68" s="284" t="s">
        <v>273</v>
      </c>
      <c r="E68" s="284" t="s">
        <v>213</v>
      </c>
      <c r="F68" s="285">
        <f t="shared" si="26"/>
        <v>13.8</v>
      </c>
      <c r="G68" s="285">
        <v>13.8</v>
      </c>
      <c r="H68" s="285"/>
      <c r="I68" s="285"/>
      <c r="J68" s="285"/>
      <c r="K68" s="285"/>
      <c r="L68" s="285"/>
      <c r="M68" s="285"/>
      <c r="N68" s="285"/>
      <c r="O68" s="284"/>
      <c r="P68" s="285">
        <f t="shared" si="7"/>
        <v>13.8</v>
      </c>
      <c r="Q68" s="285">
        <v>13.8</v>
      </c>
      <c r="R68" s="285"/>
      <c r="S68" s="285"/>
      <c r="T68" s="285"/>
      <c r="U68" s="285"/>
      <c r="V68" s="298">
        <f t="shared" si="27"/>
        <v>0</v>
      </c>
      <c r="W68" s="298"/>
      <c r="X68" s="298"/>
      <c r="Y68" s="298"/>
      <c r="Z68" s="298"/>
      <c r="AA68" s="298"/>
      <c r="AB68" s="298"/>
      <c r="AC68" s="298"/>
      <c r="AD68" s="298"/>
      <c r="AE68" s="285"/>
      <c r="AF68" s="299">
        <f t="shared" si="8"/>
        <v>0</v>
      </c>
      <c r="AG68" s="299">
        <f t="shared" si="9"/>
        <v>0</v>
      </c>
      <c r="AH68" s="299">
        <f t="shared" si="10"/>
        <v>0</v>
      </c>
      <c r="AI68" s="299">
        <f t="shared" si="11"/>
        <v>0</v>
      </c>
      <c r="AJ68" s="299">
        <f t="shared" si="12"/>
        <v>0</v>
      </c>
      <c r="AK68" s="299">
        <f t="shared" si="13"/>
        <v>0</v>
      </c>
      <c r="AL68" s="298">
        <f t="shared" si="28"/>
        <v>13.8</v>
      </c>
      <c r="AM68" s="298">
        <f t="shared" si="29"/>
        <v>13.8</v>
      </c>
      <c r="AN68" s="298">
        <f t="shared" si="30"/>
        <v>0</v>
      </c>
      <c r="AO68" s="298">
        <f t="shared" si="31"/>
        <v>0</v>
      </c>
      <c r="AP68" s="298">
        <f t="shared" si="32"/>
        <v>0</v>
      </c>
      <c r="AQ68" s="298">
        <f t="shared" si="33"/>
        <v>0</v>
      </c>
      <c r="AR68" s="298">
        <f t="shared" si="34"/>
        <v>0</v>
      </c>
      <c r="AS68" s="298">
        <f t="shared" si="24"/>
        <v>0</v>
      </c>
      <c r="AT68" s="298">
        <f t="shared" si="35"/>
        <v>0</v>
      </c>
      <c r="AU68" s="285">
        <f t="shared" si="14"/>
        <v>13.8</v>
      </c>
      <c r="AV68" s="298">
        <v>13.8</v>
      </c>
      <c r="AW68" s="285"/>
      <c r="AX68" s="285"/>
      <c r="AY68" s="285"/>
      <c r="AZ68" s="285"/>
      <c r="BA68" s="285"/>
    </row>
    <row r="69" s="258" customFormat="1" ht="60" spans="1:53">
      <c r="A69" s="283">
        <v>62</v>
      </c>
      <c r="B69" s="284" t="s">
        <v>221</v>
      </c>
      <c r="C69" s="284" t="s">
        <v>196</v>
      </c>
      <c r="D69" s="284" t="s">
        <v>274</v>
      </c>
      <c r="E69" s="284" t="s">
        <v>207</v>
      </c>
      <c r="F69" s="285">
        <f t="shared" si="26"/>
        <v>107.2</v>
      </c>
      <c r="G69" s="285">
        <v>32.4</v>
      </c>
      <c r="H69" s="285"/>
      <c r="I69" s="285">
        <v>14.8</v>
      </c>
      <c r="J69" s="285"/>
      <c r="K69" s="285"/>
      <c r="L69" s="285"/>
      <c r="M69" s="285">
        <v>60</v>
      </c>
      <c r="N69" s="285"/>
      <c r="O69" s="284" t="s">
        <v>989</v>
      </c>
      <c r="P69" s="285">
        <f t="shared" si="7"/>
        <v>107.2</v>
      </c>
      <c r="Q69" s="285">
        <v>47.2</v>
      </c>
      <c r="R69" s="285"/>
      <c r="S69" s="285">
        <v>60</v>
      </c>
      <c r="T69" s="285"/>
      <c r="U69" s="285"/>
      <c r="V69" s="298">
        <f t="shared" si="27"/>
        <v>103.61</v>
      </c>
      <c r="W69" s="298"/>
      <c r="X69" s="298"/>
      <c r="Y69" s="298">
        <v>1.05</v>
      </c>
      <c r="Z69" s="298"/>
      <c r="AA69" s="298"/>
      <c r="AB69" s="298">
        <f>-60+4+12.54+38.25+71.23+36.54</f>
        <v>102.56</v>
      </c>
      <c r="AC69" s="298"/>
      <c r="AD69" s="298"/>
      <c r="AE69" s="285" t="s">
        <v>990</v>
      </c>
      <c r="AF69" s="299">
        <f t="shared" si="8"/>
        <v>103.61</v>
      </c>
      <c r="AG69" s="299">
        <f t="shared" si="9"/>
        <v>92.38</v>
      </c>
      <c r="AH69" s="299">
        <f t="shared" si="10"/>
        <v>0</v>
      </c>
      <c r="AI69" s="299">
        <f t="shared" si="11"/>
        <v>11.23</v>
      </c>
      <c r="AJ69" s="299">
        <f t="shared" si="12"/>
        <v>0</v>
      </c>
      <c r="AK69" s="299">
        <f t="shared" si="13"/>
        <v>0</v>
      </c>
      <c r="AL69" s="298">
        <f t="shared" si="28"/>
        <v>210.81</v>
      </c>
      <c r="AM69" s="298">
        <f t="shared" si="29"/>
        <v>32.4</v>
      </c>
      <c r="AN69" s="298">
        <f t="shared" si="30"/>
        <v>0</v>
      </c>
      <c r="AO69" s="298">
        <f t="shared" si="31"/>
        <v>15.85</v>
      </c>
      <c r="AP69" s="298">
        <f t="shared" si="32"/>
        <v>0</v>
      </c>
      <c r="AQ69" s="298">
        <f t="shared" si="33"/>
        <v>0</v>
      </c>
      <c r="AR69" s="298">
        <f t="shared" si="34"/>
        <v>162.56</v>
      </c>
      <c r="AS69" s="298">
        <f t="shared" si="24"/>
        <v>0</v>
      </c>
      <c r="AT69" s="298">
        <f t="shared" si="35"/>
        <v>0</v>
      </c>
      <c r="AU69" s="298">
        <f t="shared" si="14"/>
        <v>210.81</v>
      </c>
      <c r="AV69" s="298">
        <v>139.58</v>
      </c>
      <c r="AW69" s="298"/>
      <c r="AX69" s="298">
        <v>71.23</v>
      </c>
      <c r="AY69" s="298"/>
      <c r="AZ69" s="298"/>
      <c r="BA69" s="285">
        <v>284.2</v>
      </c>
    </row>
    <row r="70" s="258" customFormat="1" ht="48" spans="1:53">
      <c r="A70" s="283">
        <v>63</v>
      </c>
      <c r="B70" s="284" t="s">
        <v>221</v>
      </c>
      <c r="C70" s="304" t="s">
        <v>196</v>
      </c>
      <c r="D70" s="304" t="s">
        <v>278</v>
      </c>
      <c r="E70" s="304" t="s">
        <v>207</v>
      </c>
      <c r="F70" s="285">
        <f t="shared" si="26"/>
        <v>158</v>
      </c>
      <c r="G70" s="285">
        <v>32.4</v>
      </c>
      <c r="H70" s="285"/>
      <c r="I70" s="285">
        <v>15.6</v>
      </c>
      <c r="J70" s="285"/>
      <c r="K70" s="285"/>
      <c r="L70" s="285"/>
      <c r="M70" s="285">
        <v>110</v>
      </c>
      <c r="N70" s="285"/>
      <c r="O70" s="284" t="s">
        <v>991</v>
      </c>
      <c r="P70" s="285">
        <f t="shared" si="7"/>
        <v>158</v>
      </c>
      <c r="Q70" s="285">
        <v>48</v>
      </c>
      <c r="R70" s="285"/>
      <c r="S70" s="285">
        <v>110</v>
      </c>
      <c r="T70" s="285"/>
      <c r="U70" s="285"/>
      <c r="V70" s="298">
        <f t="shared" si="27"/>
        <v>88.3</v>
      </c>
      <c r="W70" s="298"/>
      <c r="X70" s="298"/>
      <c r="Y70" s="298">
        <v>-0.92</v>
      </c>
      <c r="Z70" s="298"/>
      <c r="AA70" s="298"/>
      <c r="AB70" s="298">
        <f>-110+17.69+83.71+73.84+23.98</f>
        <v>89.22</v>
      </c>
      <c r="AC70" s="298"/>
      <c r="AD70" s="298"/>
      <c r="AE70" s="285" t="s">
        <v>992</v>
      </c>
      <c r="AF70" s="299">
        <f t="shared" si="8"/>
        <v>88.3</v>
      </c>
      <c r="AG70" s="299">
        <f t="shared" si="9"/>
        <v>124.46</v>
      </c>
      <c r="AH70" s="299">
        <f t="shared" si="10"/>
        <v>0</v>
      </c>
      <c r="AI70" s="299">
        <f t="shared" si="11"/>
        <v>-36.16</v>
      </c>
      <c r="AJ70" s="299">
        <f t="shared" si="12"/>
        <v>0</v>
      </c>
      <c r="AK70" s="299">
        <f t="shared" si="13"/>
        <v>0</v>
      </c>
      <c r="AL70" s="298">
        <f t="shared" si="28"/>
        <v>246.3</v>
      </c>
      <c r="AM70" s="298">
        <f t="shared" si="29"/>
        <v>32.4</v>
      </c>
      <c r="AN70" s="298">
        <f t="shared" si="30"/>
        <v>0</v>
      </c>
      <c r="AO70" s="298">
        <f t="shared" si="31"/>
        <v>14.68</v>
      </c>
      <c r="AP70" s="298">
        <f t="shared" si="32"/>
        <v>0</v>
      </c>
      <c r="AQ70" s="298">
        <f t="shared" si="33"/>
        <v>0</v>
      </c>
      <c r="AR70" s="298">
        <f t="shared" si="34"/>
        <v>199.22</v>
      </c>
      <c r="AS70" s="298">
        <f t="shared" si="24"/>
        <v>0</v>
      </c>
      <c r="AT70" s="298">
        <f t="shared" si="35"/>
        <v>0</v>
      </c>
      <c r="AU70" s="298">
        <f t="shared" si="14"/>
        <v>246.3</v>
      </c>
      <c r="AV70" s="298">
        <v>172.46</v>
      </c>
      <c r="AW70" s="298"/>
      <c r="AX70" s="298">
        <v>73.84</v>
      </c>
      <c r="AY70" s="298"/>
      <c r="AZ70" s="298"/>
      <c r="BA70" s="285">
        <v>216.828</v>
      </c>
    </row>
    <row r="71" s="258" customFormat="1" ht="48" spans="1:53">
      <c r="A71" s="283">
        <v>64</v>
      </c>
      <c r="B71" s="284" t="s">
        <v>221</v>
      </c>
      <c r="C71" s="284" t="s">
        <v>196</v>
      </c>
      <c r="D71" s="284" t="s">
        <v>282</v>
      </c>
      <c r="E71" s="284" t="s">
        <v>207</v>
      </c>
      <c r="F71" s="285">
        <f t="shared" si="26"/>
        <v>157.36</v>
      </c>
      <c r="G71" s="285">
        <v>12.6</v>
      </c>
      <c r="H71" s="285"/>
      <c r="I71" s="285">
        <v>14.76</v>
      </c>
      <c r="J71" s="285"/>
      <c r="K71" s="285"/>
      <c r="L71" s="285"/>
      <c r="M71" s="285">
        <v>130</v>
      </c>
      <c r="N71" s="285"/>
      <c r="O71" s="284" t="s">
        <v>993</v>
      </c>
      <c r="P71" s="285">
        <f t="shared" si="7"/>
        <v>157.36</v>
      </c>
      <c r="Q71" s="285">
        <v>27.36</v>
      </c>
      <c r="R71" s="285"/>
      <c r="S71" s="285">
        <v>130</v>
      </c>
      <c r="T71" s="285"/>
      <c r="U71" s="285"/>
      <c r="V71" s="298">
        <f t="shared" si="27"/>
        <v>19.06</v>
      </c>
      <c r="W71" s="298"/>
      <c r="X71" s="298"/>
      <c r="Y71" s="298">
        <v>-1.73</v>
      </c>
      <c r="Z71" s="298"/>
      <c r="AA71" s="298"/>
      <c r="AB71" s="298">
        <f>-130+70.98+51.16+5.81+22.84</f>
        <v>20.79</v>
      </c>
      <c r="AC71" s="298"/>
      <c r="AD71" s="298"/>
      <c r="AE71" s="285" t="s">
        <v>994</v>
      </c>
      <c r="AF71" s="299">
        <f t="shared" si="8"/>
        <v>19.06</v>
      </c>
      <c r="AG71" s="299">
        <f t="shared" si="9"/>
        <v>143.25</v>
      </c>
      <c r="AH71" s="299">
        <f t="shared" si="10"/>
        <v>0</v>
      </c>
      <c r="AI71" s="299">
        <f t="shared" si="11"/>
        <v>-124.19</v>
      </c>
      <c r="AJ71" s="299">
        <f t="shared" si="12"/>
        <v>0</v>
      </c>
      <c r="AK71" s="299">
        <f t="shared" si="13"/>
        <v>0</v>
      </c>
      <c r="AL71" s="298">
        <f t="shared" si="28"/>
        <v>176.42</v>
      </c>
      <c r="AM71" s="298">
        <f t="shared" si="29"/>
        <v>12.6</v>
      </c>
      <c r="AN71" s="298">
        <f t="shared" si="30"/>
        <v>0</v>
      </c>
      <c r="AO71" s="298">
        <f t="shared" si="31"/>
        <v>13.03</v>
      </c>
      <c r="AP71" s="298">
        <f t="shared" si="32"/>
        <v>0</v>
      </c>
      <c r="AQ71" s="298">
        <f t="shared" si="33"/>
        <v>0</v>
      </c>
      <c r="AR71" s="298">
        <f t="shared" si="34"/>
        <v>150.79</v>
      </c>
      <c r="AS71" s="298">
        <f t="shared" si="24"/>
        <v>0</v>
      </c>
      <c r="AT71" s="298">
        <f t="shared" si="35"/>
        <v>0</v>
      </c>
      <c r="AU71" s="298">
        <f t="shared" si="14"/>
        <v>176.42</v>
      </c>
      <c r="AV71" s="298">
        <v>170.61</v>
      </c>
      <c r="AW71" s="298"/>
      <c r="AX71" s="298">
        <v>5.81</v>
      </c>
      <c r="AY71" s="298"/>
      <c r="AZ71" s="298"/>
      <c r="BA71" s="285">
        <v>1.17</v>
      </c>
    </row>
    <row r="72" s="258" customFormat="1" ht="24" spans="1:53">
      <c r="A72" s="283">
        <v>65</v>
      </c>
      <c r="B72" s="284" t="s">
        <v>221</v>
      </c>
      <c r="C72" s="284" t="s">
        <v>199</v>
      </c>
      <c r="D72" s="284" t="s">
        <v>283</v>
      </c>
      <c r="E72" s="284" t="s">
        <v>213</v>
      </c>
      <c r="F72" s="285">
        <f t="shared" si="26"/>
        <v>3.6</v>
      </c>
      <c r="G72" s="285">
        <v>3.6</v>
      </c>
      <c r="H72" s="285"/>
      <c r="I72" s="285"/>
      <c r="J72" s="285"/>
      <c r="K72" s="285"/>
      <c r="L72" s="285"/>
      <c r="M72" s="285"/>
      <c r="N72" s="285"/>
      <c r="O72" s="284"/>
      <c r="P72" s="285">
        <f t="shared" si="7"/>
        <v>3.6</v>
      </c>
      <c r="Q72" s="285">
        <v>3.6</v>
      </c>
      <c r="R72" s="285"/>
      <c r="S72" s="285"/>
      <c r="T72" s="285"/>
      <c r="U72" s="285"/>
      <c r="V72" s="298">
        <f t="shared" si="27"/>
        <v>0</v>
      </c>
      <c r="W72" s="298"/>
      <c r="X72" s="298"/>
      <c r="Y72" s="298"/>
      <c r="Z72" s="298"/>
      <c r="AA72" s="298"/>
      <c r="AB72" s="298"/>
      <c r="AC72" s="298"/>
      <c r="AD72" s="298"/>
      <c r="AE72" s="285"/>
      <c r="AF72" s="299">
        <f t="shared" si="8"/>
        <v>0</v>
      </c>
      <c r="AG72" s="299">
        <f t="shared" si="9"/>
        <v>0</v>
      </c>
      <c r="AH72" s="299">
        <f t="shared" si="10"/>
        <v>0</v>
      </c>
      <c r="AI72" s="299">
        <f t="shared" si="11"/>
        <v>0</v>
      </c>
      <c r="AJ72" s="299">
        <f t="shared" si="12"/>
        <v>0</v>
      </c>
      <c r="AK72" s="299">
        <f t="shared" si="13"/>
        <v>0</v>
      </c>
      <c r="AL72" s="298">
        <f t="shared" si="28"/>
        <v>3.6</v>
      </c>
      <c r="AM72" s="298">
        <f t="shared" si="29"/>
        <v>3.6</v>
      </c>
      <c r="AN72" s="298">
        <f t="shared" si="30"/>
        <v>0</v>
      </c>
      <c r="AO72" s="298">
        <f t="shared" si="31"/>
        <v>0</v>
      </c>
      <c r="AP72" s="298">
        <f t="shared" si="32"/>
        <v>0</v>
      </c>
      <c r="AQ72" s="298">
        <f t="shared" si="33"/>
        <v>0</v>
      </c>
      <c r="AR72" s="298">
        <f t="shared" si="34"/>
        <v>0</v>
      </c>
      <c r="AS72" s="298">
        <f t="shared" si="24"/>
        <v>0</v>
      </c>
      <c r="AT72" s="298">
        <f t="shared" si="35"/>
        <v>0</v>
      </c>
      <c r="AU72" s="285">
        <f t="shared" si="14"/>
        <v>3.6</v>
      </c>
      <c r="AV72" s="298">
        <v>3.6</v>
      </c>
      <c r="AW72" s="285"/>
      <c r="AX72" s="285"/>
      <c r="AY72" s="285"/>
      <c r="AZ72" s="285"/>
      <c r="BA72" s="285"/>
    </row>
    <row r="73" s="258" customFormat="1" ht="24" spans="1:53">
      <c r="A73" s="283">
        <v>66</v>
      </c>
      <c r="B73" s="284" t="s">
        <v>221</v>
      </c>
      <c r="C73" s="284" t="s">
        <v>199</v>
      </c>
      <c r="D73" s="284" t="s">
        <v>284</v>
      </c>
      <c r="E73" s="284" t="s">
        <v>213</v>
      </c>
      <c r="F73" s="285">
        <f t="shared" si="26"/>
        <v>3</v>
      </c>
      <c r="G73" s="285">
        <v>3</v>
      </c>
      <c r="H73" s="285"/>
      <c r="I73" s="285"/>
      <c r="J73" s="285"/>
      <c r="K73" s="285"/>
      <c r="L73" s="285"/>
      <c r="M73" s="285"/>
      <c r="N73" s="285"/>
      <c r="O73" s="284"/>
      <c r="P73" s="285">
        <f t="shared" ref="P73:P136" si="36">SUM(Q73:S73)</f>
        <v>3</v>
      </c>
      <c r="Q73" s="285">
        <v>3</v>
      </c>
      <c r="R73" s="285"/>
      <c r="S73" s="285"/>
      <c r="T73" s="285"/>
      <c r="U73" s="285"/>
      <c r="V73" s="298">
        <f t="shared" si="27"/>
        <v>0</v>
      </c>
      <c r="W73" s="298"/>
      <c r="X73" s="298"/>
      <c r="Y73" s="298"/>
      <c r="Z73" s="298"/>
      <c r="AA73" s="298"/>
      <c r="AB73" s="298"/>
      <c r="AC73" s="298"/>
      <c r="AD73" s="298"/>
      <c r="AE73" s="285"/>
      <c r="AF73" s="299">
        <f t="shared" ref="AF73:AF136" si="37">SUM(AG73:AI73)</f>
        <v>0</v>
      </c>
      <c r="AG73" s="299">
        <f t="shared" ref="AG73:AG136" si="38">AV73-Q73</f>
        <v>0</v>
      </c>
      <c r="AH73" s="299">
        <f t="shared" ref="AH73:AH136" si="39">AW73-R73</f>
        <v>0</v>
      </c>
      <c r="AI73" s="299">
        <f t="shared" ref="AI73:AI136" si="40">AX73-S73</f>
        <v>0</v>
      </c>
      <c r="AJ73" s="299">
        <f t="shared" ref="AJ73:AJ136" si="41">AY73-T73</f>
        <v>0</v>
      </c>
      <c r="AK73" s="299">
        <f t="shared" ref="AK73:AK136" si="42">AZ73-U73</f>
        <v>0</v>
      </c>
      <c r="AL73" s="298">
        <f t="shared" si="28"/>
        <v>3</v>
      </c>
      <c r="AM73" s="298">
        <f t="shared" si="29"/>
        <v>3</v>
      </c>
      <c r="AN73" s="298">
        <f t="shared" si="30"/>
        <v>0</v>
      </c>
      <c r="AO73" s="298">
        <f t="shared" si="31"/>
        <v>0</v>
      </c>
      <c r="AP73" s="298">
        <f t="shared" si="32"/>
        <v>0</v>
      </c>
      <c r="AQ73" s="298">
        <f t="shared" si="33"/>
        <v>0</v>
      </c>
      <c r="AR73" s="298">
        <f t="shared" si="34"/>
        <v>0</v>
      </c>
      <c r="AS73" s="298">
        <f t="shared" si="24"/>
        <v>0</v>
      </c>
      <c r="AT73" s="298">
        <f t="shared" si="35"/>
        <v>0</v>
      </c>
      <c r="AU73" s="285">
        <f t="shared" ref="AU73:AU136" si="43">SUM(AV73:AX73)</f>
        <v>3</v>
      </c>
      <c r="AV73" s="298">
        <v>3</v>
      </c>
      <c r="AW73" s="285"/>
      <c r="AX73" s="285"/>
      <c r="AY73" s="285"/>
      <c r="AZ73" s="285"/>
      <c r="BA73" s="285"/>
    </row>
    <row r="74" s="258" customFormat="1" ht="24" spans="1:53">
      <c r="A74" s="283">
        <v>67</v>
      </c>
      <c r="B74" s="284" t="s">
        <v>221</v>
      </c>
      <c r="C74" s="284" t="s">
        <v>199</v>
      </c>
      <c r="D74" s="284" t="s">
        <v>285</v>
      </c>
      <c r="E74" s="284" t="s">
        <v>213</v>
      </c>
      <c r="F74" s="285">
        <f t="shared" ref="F74:F105" si="44">SUM(G74:N74)</f>
        <v>9</v>
      </c>
      <c r="G74" s="285">
        <v>9</v>
      </c>
      <c r="H74" s="285"/>
      <c r="I74" s="285"/>
      <c r="J74" s="285"/>
      <c r="K74" s="285"/>
      <c r="L74" s="285"/>
      <c r="M74" s="285"/>
      <c r="N74" s="285"/>
      <c r="O74" s="284"/>
      <c r="P74" s="285">
        <f t="shared" si="36"/>
        <v>9</v>
      </c>
      <c r="Q74" s="285">
        <v>9</v>
      </c>
      <c r="R74" s="285"/>
      <c r="S74" s="285"/>
      <c r="T74" s="285"/>
      <c r="U74" s="285"/>
      <c r="V74" s="298">
        <f t="shared" ref="V74:V105" si="45">SUM(W74:AD74)</f>
        <v>0</v>
      </c>
      <c r="W74" s="298"/>
      <c r="X74" s="298"/>
      <c r="Y74" s="298"/>
      <c r="Z74" s="298"/>
      <c r="AA74" s="298"/>
      <c r="AB74" s="298"/>
      <c r="AC74" s="298"/>
      <c r="AD74" s="298"/>
      <c r="AE74" s="285"/>
      <c r="AF74" s="299">
        <f t="shared" si="37"/>
        <v>0</v>
      </c>
      <c r="AG74" s="299">
        <f t="shared" si="38"/>
        <v>0</v>
      </c>
      <c r="AH74" s="299">
        <f t="shared" si="39"/>
        <v>0</v>
      </c>
      <c r="AI74" s="299">
        <f t="shared" si="40"/>
        <v>0</v>
      </c>
      <c r="AJ74" s="299">
        <f t="shared" si="41"/>
        <v>0</v>
      </c>
      <c r="AK74" s="299">
        <f t="shared" si="42"/>
        <v>0</v>
      </c>
      <c r="AL74" s="298">
        <f t="shared" ref="AL74:AL105" si="46">SUM(AM74:AT74)</f>
        <v>9</v>
      </c>
      <c r="AM74" s="298">
        <f t="shared" ref="AM74:AM105" si="47">G74+W74</f>
        <v>9</v>
      </c>
      <c r="AN74" s="298">
        <f t="shared" ref="AN74:AN105" si="48">H74+X74</f>
        <v>0</v>
      </c>
      <c r="AO74" s="298">
        <f t="shared" ref="AO74:AO105" si="49">I74+Y74</f>
        <v>0</v>
      </c>
      <c r="AP74" s="298">
        <f t="shared" ref="AP74:AP105" si="50">J74+Z74</f>
        <v>0</v>
      </c>
      <c r="AQ74" s="298">
        <f t="shared" ref="AQ74:AQ105" si="51">K74+AA74</f>
        <v>0</v>
      </c>
      <c r="AR74" s="298">
        <f t="shared" ref="AR74:AR105" si="52">M74+AB74</f>
        <v>0</v>
      </c>
      <c r="AS74" s="298">
        <f t="shared" ref="AS74:AS137" si="53">AC74</f>
        <v>0</v>
      </c>
      <c r="AT74" s="298">
        <f t="shared" ref="AT74:AT105" si="54">N74+AD74</f>
        <v>0</v>
      </c>
      <c r="AU74" s="285">
        <f t="shared" si="43"/>
        <v>9</v>
      </c>
      <c r="AV74" s="298">
        <v>9</v>
      </c>
      <c r="AW74" s="285"/>
      <c r="AX74" s="285"/>
      <c r="AY74" s="285"/>
      <c r="AZ74" s="285"/>
      <c r="BA74" s="285"/>
    </row>
    <row r="75" s="258" customFormat="1" ht="48" spans="1:53">
      <c r="A75" s="283">
        <v>68</v>
      </c>
      <c r="B75" s="284" t="s">
        <v>221</v>
      </c>
      <c r="C75" s="284" t="s">
        <v>196</v>
      </c>
      <c r="D75" s="284" t="s">
        <v>286</v>
      </c>
      <c r="E75" s="284" t="s">
        <v>207</v>
      </c>
      <c r="F75" s="285">
        <f t="shared" si="44"/>
        <v>117.7</v>
      </c>
      <c r="G75" s="285">
        <v>7.8</v>
      </c>
      <c r="H75" s="285"/>
      <c r="I75" s="285">
        <v>9.9</v>
      </c>
      <c r="J75" s="285"/>
      <c r="K75" s="285"/>
      <c r="L75" s="285"/>
      <c r="M75" s="285">
        <v>100</v>
      </c>
      <c r="N75" s="285"/>
      <c r="O75" s="284" t="s">
        <v>995</v>
      </c>
      <c r="P75" s="285">
        <f t="shared" si="36"/>
        <v>117.7</v>
      </c>
      <c r="Q75" s="285">
        <v>17.7</v>
      </c>
      <c r="R75" s="285"/>
      <c r="S75" s="285">
        <v>100</v>
      </c>
      <c r="T75" s="285"/>
      <c r="U75" s="285"/>
      <c r="V75" s="298">
        <f t="shared" si="45"/>
        <v>4.985</v>
      </c>
      <c r="W75" s="298"/>
      <c r="X75" s="298"/>
      <c r="Y75" s="298">
        <v>-0.255</v>
      </c>
      <c r="Z75" s="298"/>
      <c r="AA75" s="298"/>
      <c r="AB75" s="298">
        <f>-100+40.26+26.71+15.16+23.11</f>
        <v>5.24</v>
      </c>
      <c r="AC75" s="298"/>
      <c r="AD75" s="298"/>
      <c r="AE75" s="285" t="s">
        <v>996</v>
      </c>
      <c r="AF75" s="299">
        <f t="shared" si="37"/>
        <v>4.985</v>
      </c>
      <c r="AG75" s="299">
        <f t="shared" si="38"/>
        <v>89.825</v>
      </c>
      <c r="AH75" s="299">
        <f t="shared" si="39"/>
        <v>0</v>
      </c>
      <c r="AI75" s="299">
        <f t="shared" si="40"/>
        <v>-84.84</v>
      </c>
      <c r="AJ75" s="299">
        <f t="shared" si="41"/>
        <v>0</v>
      </c>
      <c r="AK75" s="299">
        <f t="shared" si="42"/>
        <v>0</v>
      </c>
      <c r="AL75" s="298">
        <f t="shared" si="46"/>
        <v>122.685</v>
      </c>
      <c r="AM75" s="298">
        <f t="shared" si="47"/>
        <v>7.8</v>
      </c>
      <c r="AN75" s="298">
        <f t="shared" si="48"/>
        <v>0</v>
      </c>
      <c r="AO75" s="298">
        <f t="shared" si="49"/>
        <v>9.645</v>
      </c>
      <c r="AP75" s="298">
        <f t="shared" si="50"/>
        <v>0</v>
      </c>
      <c r="AQ75" s="298">
        <f t="shared" si="51"/>
        <v>0</v>
      </c>
      <c r="AR75" s="298">
        <f t="shared" si="52"/>
        <v>105.24</v>
      </c>
      <c r="AS75" s="298">
        <f t="shared" si="53"/>
        <v>0</v>
      </c>
      <c r="AT75" s="298">
        <f t="shared" si="54"/>
        <v>0</v>
      </c>
      <c r="AU75" s="285">
        <f t="shared" si="43"/>
        <v>122.685</v>
      </c>
      <c r="AV75" s="298">
        <v>107.525</v>
      </c>
      <c r="AW75" s="285"/>
      <c r="AX75" s="285">
        <v>15.16</v>
      </c>
      <c r="AY75" s="285"/>
      <c r="AZ75" s="285"/>
      <c r="BA75" s="285"/>
    </row>
    <row r="76" s="258" customFormat="1" ht="24" spans="1:53">
      <c r="A76" s="283">
        <v>69</v>
      </c>
      <c r="B76" s="284" t="s">
        <v>221</v>
      </c>
      <c r="C76" s="284" t="s">
        <v>199</v>
      </c>
      <c r="D76" s="284" t="s">
        <v>287</v>
      </c>
      <c r="E76" s="284" t="s">
        <v>213</v>
      </c>
      <c r="F76" s="285">
        <f t="shared" si="44"/>
        <v>3</v>
      </c>
      <c r="G76" s="285">
        <v>3</v>
      </c>
      <c r="H76" s="285"/>
      <c r="I76" s="285"/>
      <c r="J76" s="285"/>
      <c r="K76" s="285"/>
      <c r="L76" s="285"/>
      <c r="M76" s="285"/>
      <c r="N76" s="285"/>
      <c r="O76" s="284"/>
      <c r="P76" s="285">
        <f t="shared" si="36"/>
        <v>3</v>
      </c>
      <c r="Q76" s="285">
        <v>3</v>
      </c>
      <c r="R76" s="285"/>
      <c r="S76" s="285"/>
      <c r="T76" s="285"/>
      <c r="U76" s="285"/>
      <c r="V76" s="298">
        <f t="shared" si="45"/>
        <v>0</v>
      </c>
      <c r="W76" s="298"/>
      <c r="X76" s="298"/>
      <c r="Y76" s="298"/>
      <c r="Z76" s="298"/>
      <c r="AA76" s="298"/>
      <c r="AB76" s="298"/>
      <c r="AC76" s="298"/>
      <c r="AD76" s="298"/>
      <c r="AE76" s="285"/>
      <c r="AF76" s="299">
        <f t="shared" si="37"/>
        <v>0</v>
      </c>
      <c r="AG76" s="299">
        <f t="shared" si="38"/>
        <v>0</v>
      </c>
      <c r="AH76" s="299">
        <f t="shared" si="39"/>
        <v>0</v>
      </c>
      <c r="AI76" s="299">
        <f t="shared" si="40"/>
        <v>0</v>
      </c>
      <c r="AJ76" s="299">
        <f t="shared" si="41"/>
        <v>0</v>
      </c>
      <c r="AK76" s="299">
        <f t="shared" si="42"/>
        <v>0</v>
      </c>
      <c r="AL76" s="298">
        <f t="shared" si="46"/>
        <v>3</v>
      </c>
      <c r="AM76" s="298">
        <f t="shared" si="47"/>
        <v>3</v>
      </c>
      <c r="AN76" s="298">
        <f t="shared" si="48"/>
        <v>0</v>
      </c>
      <c r="AO76" s="298">
        <f t="shared" si="49"/>
        <v>0</v>
      </c>
      <c r="AP76" s="298">
        <f t="shared" si="50"/>
        <v>0</v>
      </c>
      <c r="AQ76" s="298">
        <f t="shared" si="51"/>
        <v>0</v>
      </c>
      <c r="AR76" s="298">
        <f t="shared" si="52"/>
        <v>0</v>
      </c>
      <c r="AS76" s="298">
        <f t="shared" si="53"/>
        <v>0</v>
      </c>
      <c r="AT76" s="298">
        <f t="shared" si="54"/>
        <v>0</v>
      </c>
      <c r="AU76" s="285">
        <f t="shared" si="43"/>
        <v>3</v>
      </c>
      <c r="AV76" s="298">
        <v>3</v>
      </c>
      <c r="AW76" s="285"/>
      <c r="AX76" s="285"/>
      <c r="AY76" s="285"/>
      <c r="AZ76" s="285"/>
      <c r="BA76" s="285"/>
    </row>
    <row r="77" s="258" customFormat="1" ht="24" spans="1:53">
      <c r="A77" s="283">
        <v>70</v>
      </c>
      <c r="B77" s="284" t="s">
        <v>221</v>
      </c>
      <c r="C77" s="284" t="s">
        <v>199</v>
      </c>
      <c r="D77" s="284" t="s">
        <v>288</v>
      </c>
      <c r="E77" s="284" t="s">
        <v>213</v>
      </c>
      <c r="F77" s="285">
        <f t="shared" si="44"/>
        <v>3</v>
      </c>
      <c r="G77" s="285">
        <v>3</v>
      </c>
      <c r="H77" s="285"/>
      <c r="I77" s="285"/>
      <c r="J77" s="285"/>
      <c r="K77" s="285"/>
      <c r="L77" s="285"/>
      <c r="M77" s="285"/>
      <c r="N77" s="285"/>
      <c r="O77" s="284"/>
      <c r="P77" s="285">
        <f t="shared" si="36"/>
        <v>3</v>
      </c>
      <c r="Q77" s="285">
        <v>3</v>
      </c>
      <c r="R77" s="285"/>
      <c r="S77" s="285"/>
      <c r="T77" s="285"/>
      <c r="U77" s="285"/>
      <c r="V77" s="298">
        <f t="shared" si="45"/>
        <v>0</v>
      </c>
      <c r="W77" s="298"/>
      <c r="X77" s="298"/>
      <c r="Y77" s="298"/>
      <c r="Z77" s="298"/>
      <c r="AA77" s="298"/>
      <c r="AB77" s="298"/>
      <c r="AC77" s="298"/>
      <c r="AD77" s="298"/>
      <c r="AE77" s="285"/>
      <c r="AF77" s="299">
        <f t="shared" si="37"/>
        <v>0</v>
      </c>
      <c r="AG77" s="299">
        <f t="shared" si="38"/>
        <v>0</v>
      </c>
      <c r="AH77" s="299">
        <f t="shared" si="39"/>
        <v>0</v>
      </c>
      <c r="AI77" s="299">
        <f t="shared" si="40"/>
        <v>0</v>
      </c>
      <c r="AJ77" s="299">
        <f t="shared" si="41"/>
        <v>0</v>
      </c>
      <c r="AK77" s="299">
        <f t="shared" si="42"/>
        <v>0</v>
      </c>
      <c r="AL77" s="298">
        <f t="shared" si="46"/>
        <v>3</v>
      </c>
      <c r="AM77" s="298">
        <f t="shared" si="47"/>
        <v>3</v>
      </c>
      <c r="AN77" s="298">
        <f t="shared" si="48"/>
        <v>0</v>
      </c>
      <c r="AO77" s="298">
        <f t="shared" si="49"/>
        <v>0</v>
      </c>
      <c r="AP77" s="298">
        <f t="shared" si="50"/>
        <v>0</v>
      </c>
      <c r="AQ77" s="298">
        <f t="shared" si="51"/>
        <v>0</v>
      </c>
      <c r="AR77" s="298">
        <f t="shared" si="52"/>
        <v>0</v>
      </c>
      <c r="AS77" s="298">
        <f t="shared" si="53"/>
        <v>0</v>
      </c>
      <c r="AT77" s="298">
        <f t="shared" si="54"/>
        <v>0</v>
      </c>
      <c r="AU77" s="285">
        <f t="shared" si="43"/>
        <v>3</v>
      </c>
      <c r="AV77" s="298">
        <v>3</v>
      </c>
      <c r="AW77" s="285"/>
      <c r="AX77" s="285"/>
      <c r="AY77" s="285"/>
      <c r="AZ77" s="285"/>
      <c r="BA77" s="285"/>
    </row>
    <row r="78" s="258" customFormat="1" ht="24" spans="1:53">
      <c r="A78" s="283">
        <v>71</v>
      </c>
      <c r="B78" s="284" t="s">
        <v>221</v>
      </c>
      <c r="C78" s="284" t="s">
        <v>199</v>
      </c>
      <c r="D78" s="284" t="s">
        <v>289</v>
      </c>
      <c r="E78" s="284" t="s">
        <v>213</v>
      </c>
      <c r="F78" s="285">
        <f t="shared" si="44"/>
        <v>6.6</v>
      </c>
      <c r="G78" s="285">
        <v>6.6</v>
      </c>
      <c r="H78" s="285"/>
      <c r="I78" s="285"/>
      <c r="J78" s="285"/>
      <c r="K78" s="285"/>
      <c r="L78" s="285"/>
      <c r="M78" s="285"/>
      <c r="N78" s="285"/>
      <c r="O78" s="284"/>
      <c r="P78" s="285">
        <f t="shared" si="36"/>
        <v>6.6</v>
      </c>
      <c r="Q78" s="285">
        <v>6.6</v>
      </c>
      <c r="R78" s="285"/>
      <c r="S78" s="285"/>
      <c r="T78" s="285"/>
      <c r="U78" s="285"/>
      <c r="V78" s="298">
        <f t="shared" si="45"/>
        <v>0</v>
      </c>
      <c r="W78" s="298"/>
      <c r="X78" s="298"/>
      <c r="Y78" s="298"/>
      <c r="Z78" s="298"/>
      <c r="AA78" s="298"/>
      <c r="AB78" s="298"/>
      <c r="AC78" s="298"/>
      <c r="AD78" s="298"/>
      <c r="AE78" s="285"/>
      <c r="AF78" s="299">
        <f t="shared" si="37"/>
        <v>0</v>
      </c>
      <c r="AG78" s="299">
        <f t="shared" si="38"/>
        <v>0</v>
      </c>
      <c r="AH78" s="299">
        <f t="shared" si="39"/>
        <v>0</v>
      </c>
      <c r="AI78" s="299">
        <f t="shared" si="40"/>
        <v>0</v>
      </c>
      <c r="AJ78" s="299">
        <f t="shared" si="41"/>
        <v>0</v>
      </c>
      <c r="AK78" s="299">
        <f t="shared" si="42"/>
        <v>0</v>
      </c>
      <c r="AL78" s="298">
        <f t="shared" si="46"/>
        <v>6.6</v>
      </c>
      <c r="AM78" s="298">
        <f t="shared" si="47"/>
        <v>6.6</v>
      </c>
      <c r="AN78" s="298">
        <f t="shared" si="48"/>
        <v>0</v>
      </c>
      <c r="AO78" s="298">
        <f t="shared" si="49"/>
        <v>0</v>
      </c>
      <c r="AP78" s="298">
        <f t="shared" si="50"/>
        <v>0</v>
      </c>
      <c r="AQ78" s="298">
        <f t="shared" si="51"/>
        <v>0</v>
      </c>
      <c r="AR78" s="298">
        <f t="shared" si="52"/>
        <v>0</v>
      </c>
      <c r="AS78" s="298">
        <f t="shared" si="53"/>
        <v>0</v>
      </c>
      <c r="AT78" s="298">
        <f t="shared" si="54"/>
        <v>0</v>
      </c>
      <c r="AU78" s="285">
        <f t="shared" si="43"/>
        <v>6.6</v>
      </c>
      <c r="AV78" s="298">
        <v>6.6</v>
      </c>
      <c r="AW78" s="285"/>
      <c r="AX78" s="285"/>
      <c r="AY78" s="285"/>
      <c r="AZ78" s="285"/>
      <c r="BA78" s="285"/>
    </row>
    <row r="79" s="258" customFormat="1" ht="84" spans="1:53">
      <c r="A79" s="283">
        <v>72</v>
      </c>
      <c r="B79" s="284" t="s">
        <v>195</v>
      </c>
      <c r="C79" s="284" t="s">
        <v>196</v>
      </c>
      <c r="D79" s="284" t="s">
        <v>210</v>
      </c>
      <c r="E79" s="284" t="s">
        <v>211</v>
      </c>
      <c r="F79" s="285">
        <f t="shared" si="44"/>
        <v>30.5</v>
      </c>
      <c r="G79" s="285">
        <v>6</v>
      </c>
      <c r="H79" s="285"/>
      <c r="I79" s="285">
        <v>4.5</v>
      </c>
      <c r="J79" s="285"/>
      <c r="K79" s="285"/>
      <c r="L79" s="285"/>
      <c r="M79" s="285"/>
      <c r="N79" s="285">
        <v>20</v>
      </c>
      <c r="O79" s="285" t="s">
        <v>997</v>
      </c>
      <c r="P79" s="285">
        <f t="shared" si="36"/>
        <v>30.5</v>
      </c>
      <c r="Q79" s="285">
        <v>30.5</v>
      </c>
      <c r="R79" s="285"/>
      <c r="S79" s="285"/>
      <c r="T79" s="285"/>
      <c r="U79" s="285"/>
      <c r="V79" s="298">
        <f t="shared" si="45"/>
        <v>17.61</v>
      </c>
      <c r="W79" s="298"/>
      <c r="X79" s="298"/>
      <c r="Y79" s="298">
        <v>-0.38</v>
      </c>
      <c r="Z79" s="298"/>
      <c r="AA79" s="298"/>
      <c r="AB79" s="298">
        <f>0.99+16</f>
        <v>16.99</v>
      </c>
      <c r="AC79" s="298"/>
      <c r="AD79" s="298">
        <v>1</v>
      </c>
      <c r="AE79" s="285" t="s">
        <v>998</v>
      </c>
      <c r="AF79" s="299">
        <f t="shared" si="37"/>
        <v>0.619999999999999</v>
      </c>
      <c r="AG79" s="299">
        <f t="shared" si="38"/>
        <v>-0.370000000000001</v>
      </c>
      <c r="AH79" s="299">
        <f t="shared" si="39"/>
        <v>0</v>
      </c>
      <c r="AI79" s="299">
        <f t="shared" si="40"/>
        <v>0.99</v>
      </c>
      <c r="AJ79" s="299">
        <f t="shared" si="41"/>
        <v>16.99</v>
      </c>
      <c r="AK79" s="299">
        <f t="shared" si="42"/>
        <v>0</v>
      </c>
      <c r="AL79" s="298">
        <f t="shared" si="46"/>
        <v>48.11</v>
      </c>
      <c r="AM79" s="298">
        <f t="shared" si="47"/>
        <v>6</v>
      </c>
      <c r="AN79" s="298">
        <f t="shared" si="48"/>
        <v>0</v>
      </c>
      <c r="AO79" s="298">
        <f t="shared" si="49"/>
        <v>4.12</v>
      </c>
      <c r="AP79" s="298">
        <f t="shared" si="50"/>
        <v>0</v>
      </c>
      <c r="AQ79" s="298">
        <f t="shared" si="51"/>
        <v>0</v>
      </c>
      <c r="AR79" s="298">
        <f t="shared" si="52"/>
        <v>16.99</v>
      </c>
      <c r="AS79" s="298">
        <f t="shared" si="53"/>
        <v>0</v>
      </c>
      <c r="AT79" s="298">
        <f t="shared" si="54"/>
        <v>21</v>
      </c>
      <c r="AU79" s="298">
        <f t="shared" si="43"/>
        <v>31.12</v>
      </c>
      <c r="AV79" s="298">
        <f>47.12-16.99</f>
        <v>30.13</v>
      </c>
      <c r="AW79" s="298"/>
      <c r="AX79" s="298">
        <v>0.99</v>
      </c>
      <c r="AY79" s="298">
        <v>16.99</v>
      </c>
      <c r="AZ79" s="298"/>
      <c r="BA79" s="285">
        <v>15</v>
      </c>
    </row>
    <row r="80" s="258" customFormat="1" ht="24" spans="1:53">
      <c r="A80" s="283">
        <v>73</v>
      </c>
      <c r="B80" s="284" t="s">
        <v>208</v>
      </c>
      <c r="C80" s="284" t="s">
        <v>199</v>
      </c>
      <c r="D80" s="284" t="s">
        <v>219</v>
      </c>
      <c r="E80" s="284" t="s">
        <v>213</v>
      </c>
      <c r="F80" s="285">
        <f t="shared" si="44"/>
        <v>4.2</v>
      </c>
      <c r="G80" s="285">
        <v>4.2</v>
      </c>
      <c r="H80" s="285"/>
      <c r="I80" s="285"/>
      <c r="J80" s="285"/>
      <c r="K80" s="285"/>
      <c r="L80" s="285"/>
      <c r="M80" s="285"/>
      <c r="N80" s="285"/>
      <c r="O80" s="285"/>
      <c r="P80" s="285">
        <f t="shared" si="36"/>
        <v>4.2</v>
      </c>
      <c r="Q80" s="285">
        <v>4.2</v>
      </c>
      <c r="R80" s="285"/>
      <c r="S80" s="285"/>
      <c r="T80" s="285"/>
      <c r="U80" s="285"/>
      <c r="V80" s="298">
        <f t="shared" si="45"/>
        <v>0</v>
      </c>
      <c r="W80" s="298"/>
      <c r="X80" s="298"/>
      <c r="Y80" s="298"/>
      <c r="Z80" s="298"/>
      <c r="AA80" s="298"/>
      <c r="AB80" s="298"/>
      <c r="AC80" s="298"/>
      <c r="AD80" s="298"/>
      <c r="AE80" s="285"/>
      <c r="AF80" s="299">
        <f t="shared" si="37"/>
        <v>0</v>
      </c>
      <c r="AG80" s="299">
        <f t="shared" si="38"/>
        <v>0</v>
      </c>
      <c r="AH80" s="299">
        <f t="shared" si="39"/>
        <v>0</v>
      </c>
      <c r="AI80" s="299">
        <f t="shared" si="40"/>
        <v>0</v>
      </c>
      <c r="AJ80" s="299">
        <f t="shared" si="41"/>
        <v>0</v>
      </c>
      <c r="AK80" s="299">
        <f t="shared" si="42"/>
        <v>0</v>
      </c>
      <c r="AL80" s="298">
        <f t="shared" si="46"/>
        <v>4.2</v>
      </c>
      <c r="AM80" s="298">
        <f t="shared" si="47"/>
        <v>4.2</v>
      </c>
      <c r="AN80" s="298">
        <f t="shared" si="48"/>
        <v>0</v>
      </c>
      <c r="AO80" s="298">
        <f t="shared" si="49"/>
        <v>0</v>
      </c>
      <c r="AP80" s="298">
        <f t="shared" si="50"/>
        <v>0</v>
      </c>
      <c r="AQ80" s="298">
        <f t="shared" si="51"/>
        <v>0</v>
      </c>
      <c r="AR80" s="298">
        <f t="shared" si="52"/>
        <v>0</v>
      </c>
      <c r="AS80" s="298">
        <f t="shared" si="53"/>
        <v>0</v>
      </c>
      <c r="AT80" s="298">
        <f t="shared" si="54"/>
        <v>0</v>
      </c>
      <c r="AU80" s="285">
        <f t="shared" si="43"/>
        <v>4.2</v>
      </c>
      <c r="AV80" s="298">
        <v>4.2</v>
      </c>
      <c r="AW80" s="285"/>
      <c r="AX80" s="285"/>
      <c r="AY80" s="285"/>
      <c r="AZ80" s="285"/>
      <c r="BA80" s="285"/>
    </row>
    <row r="81" s="258" customFormat="1" ht="24" spans="1:53">
      <c r="A81" s="283">
        <v>74</v>
      </c>
      <c r="B81" s="284" t="s">
        <v>208</v>
      </c>
      <c r="C81" s="284" t="s">
        <v>199</v>
      </c>
      <c r="D81" s="284" t="s">
        <v>220</v>
      </c>
      <c r="E81" s="284" t="s">
        <v>213</v>
      </c>
      <c r="F81" s="285">
        <f t="shared" si="44"/>
        <v>1.8</v>
      </c>
      <c r="G81" s="285">
        <v>1.8</v>
      </c>
      <c r="H81" s="285"/>
      <c r="I81" s="285"/>
      <c r="J81" s="285"/>
      <c r="K81" s="285"/>
      <c r="L81" s="285"/>
      <c r="M81" s="285"/>
      <c r="N81" s="285"/>
      <c r="O81" s="285"/>
      <c r="P81" s="285">
        <f t="shared" si="36"/>
        <v>1.8</v>
      </c>
      <c r="Q81" s="285">
        <v>1.8</v>
      </c>
      <c r="R81" s="285"/>
      <c r="S81" s="285"/>
      <c r="T81" s="285"/>
      <c r="U81" s="285"/>
      <c r="V81" s="298">
        <f t="shared" si="45"/>
        <v>0</v>
      </c>
      <c r="W81" s="298"/>
      <c r="X81" s="298"/>
      <c r="Y81" s="298"/>
      <c r="Z81" s="298"/>
      <c r="AA81" s="298"/>
      <c r="AB81" s="298"/>
      <c r="AC81" s="298"/>
      <c r="AD81" s="298"/>
      <c r="AE81" s="285"/>
      <c r="AF81" s="299">
        <f t="shared" si="37"/>
        <v>0</v>
      </c>
      <c r="AG81" s="299">
        <f t="shared" si="38"/>
        <v>0</v>
      </c>
      <c r="AH81" s="299">
        <f t="shared" si="39"/>
        <v>0</v>
      </c>
      <c r="AI81" s="299">
        <f t="shared" si="40"/>
        <v>0</v>
      </c>
      <c r="AJ81" s="299">
        <f t="shared" si="41"/>
        <v>0</v>
      </c>
      <c r="AK81" s="299">
        <f t="shared" si="42"/>
        <v>0</v>
      </c>
      <c r="AL81" s="298">
        <f t="shared" si="46"/>
        <v>1.8</v>
      </c>
      <c r="AM81" s="298">
        <f t="shared" si="47"/>
        <v>1.8</v>
      </c>
      <c r="AN81" s="298">
        <f t="shared" si="48"/>
        <v>0</v>
      </c>
      <c r="AO81" s="298">
        <f t="shared" si="49"/>
        <v>0</v>
      </c>
      <c r="AP81" s="298">
        <f t="shared" si="50"/>
        <v>0</v>
      </c>
      <c r="AQ81" s="298">
        <f t="shared" si="51"/>
        <v>0</v>
      </c>
      <c r="AR81" s="298">
        <f t="shared" si="52"/>
        <v>0</v>
      </c>
      <c r="AS81" s="298">
        <f t="shared" si="53"/>
        <v>0</v>
      </c>
      <c r="AT81" s="298">
        <f t="shared" si="54"/>
        <v>0</v>
      </c>
      <c r="AU81" s="285">
        <f t="shared" si="43"/>
        <v>1.8</v>
      </c>
      <c r="AV81" s="298">
        <v>1.8</v>
      </c>
      <c r="AW81" s="285"/>
      <c r="AX81" s="285"/>
      <c r="AY81" s="285"/>
      <c r="AZ81" s="285"/>
      <c r="BA81" s="285"/>
    </row>
    <row r="82" s="258" customFormat="1" ht="48" customHeight="1" spans="1:53">
      <c r="A82" s="283">
        <v>75</v>
      </c>
      <c r="B82" s="284" t="s">
        <v>290</v>
      </c>
      <c r="C82" s="284" t="s">
        <v>196</v>
      </c>
      <c r="D82" s="284" t="s">
        <v>291</v>
      </c>
      <c r="E82" s="284" t="s">
        <v>292</v>
      </c>
      <c r="F82" s="285">
        <f t="shared" si="44"/>
        <v>153.96</v>
      </c>
      <c r="G82" s="285">
        <v>16</v>
      </c>
      <c r="H82" s="285"/>
      <c r="I82" s="285">
        <v>15.46</v>
      </c>
      <c r="J82" s="285"/>
      <c r="K82" s="285"/>
      <c r="L82" s="285"/>
      <c r="M82" s="285"/>
      <c r="N82" s="285">
        <f>127.5-5</f>
        <v>122.5</v>
      </c>
      <c r="O82" s="285" t="s">
        <v>999</v>
      </c>
      <c r="P82" s="285">
        <f t="shared" si="36"/>
        <v>153.96</v>
      </c>
      <c r="Q82" s="285">
        <v>153.96</v>
      </c>
      <c r="R82" s="285"/>
      <c r="S82" s="285"/>
      <c r="T82" s="285"/>
      <c r="U82" s="285"/>
      <c r="V82" s="298">
        <f t="shared" si="45"/>
        <v>-1.13</v>
      </c>
      <c r="W82" s="298"/>
      <c r="X82" s="298"/>
      <c r="Y82" s="298">
        <v>-1.13</v>
      </c>
      <c r="Z82" s="298"/>
      <c r="AA82" s="298"/>
      <c r="AB82" s="298"/>
      <c r="AC82" s="298"/>
      <c r="AD82" s="298"/>
      <c r="AE82" s="285"/>
      <c r="AF82" s="299">
        <f t="shared" si="37"/>
        <v>-1.13000000000002</v>
      </c>
      <c r="AG82" s="299">
        <f t="shared" si="38"/>
        <v>-1.13000000000002</v>
      </c>
      <c r="AH82" s="299">
        <f t="shared" si="39"/>
        <v>0</v>
      </c>
      <c r="AI82" s="299">
        <f t="shared" si="40"/>
        <v>0</v>
      </c>
      <c r="AJ82" s="299">
        <f t="shared" si="41"/>
        <v>0</v>
      </c>
      <c r="AK82" s="299">
        <f t="shared" si="42"/>
        <v>0</v>
      </c>
      <c r="AL82" s="298">
        <f t="shared" si="46"/>
        <v>152.83</v>
      </c>
      <c r="AM82" s="298">
        <f t="shared" si="47"/>
        <v>16</v>
      </c>
      <c r="AN82" s="298">
        <f t="shared" si="48"/>
        <v>0</v>
      </c>
      <c r="AO82" s="298">
        <f t="shared" si="49"/>
        <v>14.33</v>
      </c>
      <c r="AP82" s="298">
        <f t="shared" si="50"/>
        <v>0</v>
      </c>
      <c r="AQ82" s="298">
        <f t="shared" si="51"/>
        <v>0</v>
      </c>
      <c r="AR82" s="298">
        <f t="shared" si="52"/>
        <v>0</v>
      </c>
      <c r="AS82" s="298">
        <f t="shared" si="53"/>
        <v>0</v>
      </c>
      <c r="AT82" s="298">
        <f t="shared" si="54"/>
        <v>122.5</v>
      </c>
      <c r="AU82" s="298">
        <f t="shared" si="43"/>
        <v>152.83</v>
      </c>
      <c r="AV82" s="298">
        <v>152.83</v>
      </c>
      <c r="AW82" s="298"/>
      <c r="AX82" s="298"/>
      <c r="AY82" s="298"/>
      <c r="AZ82" s="298"/>
      <c r="BA82" s="285">
        <v>141.3775</v>
      </c>
    </row>
    <row r="83" s="258" customFormat="1" ht="24" spans="1:53">
      <c r="A83" s="283">
        <v>76</v>
      </c>
      <c r="B83" s="284" t="s">
        <v>290</v>
      </c>
      <c r="C83" s="284" t="s">
        <v>199</v>
      </c>
      <c r="D83" s="284" t="s">
        <v>295</v>
      </c>
      <c r="E83" s="284" t="s">
        <v>292</v>
      </c>
      <c r="F83" s="285">
        <f t="shared" si="44"/>
        <v>3</v>
      </c>
      <c r="G83" s="285">
        <v>3</v>
      </c>
      <c r="H83" s="285"/>
      <c r="I83" s="285"/>
      <c r="J83" s="285"/>
      <c r="K83" s="285"/>
      <c r="L83" s="285"/>
      <c r="M83" s="285"/>
      <c r="N83" s="285"/>
      <c r="O83" s="285"/>
      <c r="P83" s="285">
        <f t="shared" si="36"/>
        <v>3</v>
      </c>
      <c r="Q83" s="285">
        <v>3</v>
      </c>
      <c r="R83" s="285"/>
      <c r="S83" s="285"/>
      <c r="T83" s="285"/>
      <c r="U83" s="285"/>
      <c r="V83" s="298">
        <f t="shared" si="45"/>
        <v>0</v>
      </c>
      <c r="W83" s="298"/>
      <c r="X83" s="298"/>
      <c r="Y83" s="298"/>
      <c r="Z83" s="298"/>
      <c r="AA83" s="298"/>
      <c r="AB83" s="298"/>
      <c r="AC83" s="298"/>
      <c r="AD83" s="298"/>
      <c r="AE83" s="285"/>
      <c r="AF83" s="299">
        <f t="shared" si="37"/>
        <v>0</v>
      </c>
      <c r="AG83" s="299">
        <f t="shared" si="38"/>
        <v>0</v>
      </c>
      <c r="AH83" s="299">
        <f t="shared" si="39"/>
        <v>0</v>
      </c>
      <c r="AI83" s="299">
        <f t="shared" si="40"/>
        <v>0</v>
      </c>
      <c r="AJ83" s="299">
        <f t="shared" si="41"/>
        <v>0</v>
      </c>
      <c r="AK83" s="299">
        <f t="shared" si="42"/>
        <v>0</v>
      </c>
      <c r="AL83" s="298">
        <f t="shared" si="46"/>
        <v>3</v>
      </c>
      <c r="AM83" s="298">
        <f t="shared" si="47"/>
        <v>3</v>
      </c>
      <c r="AN83" s="298">
        <f t="shared" si="48"/>
        <v>0</v>
      </c>
      <c r="AO83" s="298">
        <f t="shared" si="49"/>
        <v>0</v>
      </c>
      <c r="AP83" s="298">
        <f t="shared" si="50"/>
        <v>0</v>
      </c>
      <c r="AQ83" s="298">
        <f t="shared" si="51"/>
        <v>0</v>
      </c>
      <c r="AR83" s="298">
        <f t="shared" si="52"/>
        <v>0</v>
      </c>
      <c r="AS83" s="298">
        <f t="shared" si="53"/>
        <v>0</v>
      </c>
      <c r="AT83" s="298">
        <f t="shared" si="54"/>
        <v>0</v>
      </c>
      <c r="AU83" s="285">
        <f t="shared" si="43"/>
        <v>3</v>
      </c>
      <c r="AV83" s="298">
        <v>3</v>
      </c>
      <c r="AW83" s="285"/>
      <c r="AX83" s="285"/>
      <c r="AY83" s="285"/>
      <c r="AZ83" s="285"/>
      <c r="BA83" s="285"/>
    </row>
    <row r="84" s="258" customFormat="1" ht="24" spans="1:53">
      <c r="A84" s="283">
        <v>77</v>
      </c>
      <c r="B84" s="284" t="s">
        <v>290</v>
      </c>
      <c r="C84" s="284" t="s">
        <v>199</v>
      </c>
      <c r="D84" s="284" t="s">
        <v>293</v>
      </c>
      <c r="E84" s="284" t="s">
        <v>294</v>
      </c>
      <c r="F84" s="285">
        <f t="shared" si="44"/>
        <v>18</v>
      </c>
      <c r="G84" s="285">
        <v>3</v>
      </c>
      <c r="H84" s="285">
        <v>2</v>
      </c>
      <c r="I84" s="285"/>
      <c r="J84" s="285"/>
      <c r="K84" s="285"/>
      <c r="L84" s="285"/>
      <c r="M84" s="285">
        <v>3</v>
      </c>
      <c r="N84" s="285">
        <v>10</v>
      </c>
      <c r="O84" s="285" t="s">
        <v>1000</v>
      </c>
      <c r="P84" s="285">
        <f t="shared" si="36"/>
        <v>18</v>
      </c>
      <c r="Q84" s="285">
        <v>15</v>
      </c>
      <c r="R84" s="285"/>
      <c r="S84" s="285">
        <v>3</v>
      </c>
      <c r="T84" s="285"/>
      <c r="U84" s="285"/>
      <c r="V84" s="298">
        <f t="shared" si="45"/>
        <v>11</v>
      </c>
      <c r="W84" s="298"/>
      <c r="X84" s="298"/>
      <c r="Y84" s="298"/>
      <c r="Z84" s="298"/>
      <c r="AA84" s="298"/>
      <c r="AB84" s="298">
        <v>-3</v>
      </c>
      <c r="AC84" s="298"/>
      <c r="AD84" s="298">
        <v>14</v>
      </c>
      <c r="AE84" s="285" t="s">
        <v>1001</v>
      </c>
      <c r="AF84" s="299">
        <f t="shared" si="37"/>
        <v>-3</v>
      </c>
      <c r="AG84" s="299">
        <f t="shared" si="38"/>
        <v>0</v>
      </c>
      <c r="AH84" s="299">
        <f t="shared" si="39"/>
        <v>0</v>
      </c>
      <c r="AI84" s="299">
        <f t="shared" si="40"/>
        <v>-3</v>
      </c>
      <c r="AJ84" s="299">
        <f t="shared" si="41"/>
        <v>14</v>
      </c>
      <c r="AK84" s="299">
        <f t="shared" si="42"/>
        <v>0</v>
      </c>
      <c r="AL84" s="298">
        <f t="shared" si="46"/>
        <v>29</v>
      </c>
      <c r="AM84" s="298">
        <f t="shared" si="47"/>
        <v>3</v>
      </c>
      <c r="AN84" s="298">
        <f t="shared" si="48"/>
        <v>2</v>
      </c>
      <c r="AO84" s="298">
        <f t="shared" si="49"/>
        <v>0</v>
      </c>
      <c r="AP84" s="298">
        <f t="shared" si="50"/>
        <v>0</v>
      </c>
      <c r="AQ84" s="298">
        <f t="shared" si="51"/>
        <v>0</v>
      </c>
      <c r="AR84" s="298">
        <f t="shared" si="52"/>
        <v>0</v>
      </c>
      <c r="AS84" s="298">
        <f t="shared" si="53"/>
        <v>0</v>
      </c>
      <c r="AT84" s="298">
        <f t="shared" si="54"/>
        <v>24</v>
      </c>
      <c r="AU84" s="285">
        <f t="shared" si="43"/>
        <v>15</v>
      </c>
      <c r="AV84" s="298">
        <f>29-14</f>
        <v>15</v>
      </c>
      <c r="AW84" s="285"/>
      <c r="AX84" s="285"/>
      <c r="AY84" s="285">
        <v>14</v>
      </c>
      <c r="AZ84" s="285"/>
      <c r="BA84" s="285"/>
    </row>
    <row r="85" s="258" customFormat="1" ht="24" spans="1:53">
      <c r="A85" s="283">
        <v>78</v>
      </c>
      <c r="B85" s="284" t="s">
        <v>290</v>
      </c>
      <c r="C85" s="284" t="s">
        <v>199</v>
      </c>
      <c r="D85" s="284" t="s">
        <v>296</v>
      </c>
      <c r="E85" s="284" t="s">
        <v>294</v>
      </c>
      <c r="F85" s="285">
        <f t="shared" si="44"/>
        <v>1.8</v>
      </c>
      <c r="G85" s="285">
        <v>1.8</v>
      </c>
      <c r="H85" s="285"/>
      <c r="I85" s="285"/>
      <c r="J85" s="285"/>
      <c r="K85" s="285"/>
      <c r="L85" s="285"/>
      <c r="M85" s="285"/>
      <c r="N85" s="285"/>
      <c r="O85" s="285"/>
      <c r="P85" s="285">
        <f t="shared" si="36"/>
        <v>1.8</v>
      </c>
      <c r="Q85" s="285">
        <v>1.8</v>
      </c>
      <c r="R85" s="285"/>
      <c r="S85" s="285"/>
      <c r="T85" s="285"/>
      <c r="U85" s="285"/>
      <c r="V85" s="298">
        <f t="shared" si="45"/>
        <v>0</v>
      </c>
      <c r="W85" s="298"/>
      <c r="X85" s="298"/>
      <c r="Y85" s="298"/>
      <c r="Z85" s="298"/>
      <c r="AA85" s="298"/>
      <c r="AB85" s="298"/>
      <c r="AC85" s="298"/>
      <c r="AD85" s="298"/>
      <c r="AE85" s="285"/>
      <c r="AF85" s="299">
        <f t="shared" si="37"/>
        <v>0</v>
      </c>
      <c r="AG85" s="299">
        <f t="shared" si="38"/>
        <v>0</v>
      </c>
      <c r="AH85" s="299">
        <f t="shared" si="39"/>
        <v>0</v>
      </c>
      <c r="AI85" s="299">
        <f t="shared" si="40"/>
        <v>0</v>
      </c>
      <c r="AJ85" s="299">
        <f t="shared" si="41"/>
        <v>0</v>
      </c>
      <c r="AK85" s="299">
        <f t="shared" si="42"/>
        <v>0</v>
      </c>
      <c r="AL85" s="298">
        <f t="shared" si="46"/>
        <v>1.8</v>
      </c>
      <c r="AM85" s="298">
        <f t="shared" si="47"/>
        <v>1.8</v>
      </c>
      <c r="AN85" s="298">
        <f t="shared" si="48"/>
        <v>0</v>
      </c>
      <c r="AO85" s="298">
        <f t="shared" si="49"/>
        <v>0</v>
      </c>
      <c r="AP85" s="298">
        <f t="shared" si="50"/>
        <v>0</v>
      </c>
      <c r="AQ85" s="298">
        <f t="shared" si="51"/>
        <v>0</v>
      </c>
      <c r="AR85" s="298">
        <f t="shared" si="52"/>
        <v>0</v>
      </c>
      <c r="AS85" s="298">
        <f t="shared" si="53"/>
        <v>0</v>
      </c>
      <c r="AT85" s="298">
        <f t="shared" si="54"/>
        <v>0</v>
      </c>
      <c r="AU85" s="285">
        <f t="shared" si="43"/>
        <v>1.8</v>
      </c>
      <c r="AV85" s="298">
        <v>1.8</v>
      </c>
      <c r="AW85" s="285"/>
      <c r="AX85" s="285"/>
      <c r="AY85" s="285"/>
      <c r="AZ85" s="285"/>
      <c r="BA85" s="285"/>
    </row>
    <row r="86" s="258" customFormat="1" ht="24" spans="1:53">
      <c r="A86" s="283">
        <v>79</v>
      </c>
      <c r="B86" s="284" t="s">
        <v>290</v>
      </c>
      <c r="C86" s="284" t="s">
        <v>199</v>
      </c>
      <c r="D86" s="284" t="s">
        <v>297</v>
      </c>
      <c r="E86" s="284" t="s">
        <v>294</v>
      </c>
      <c r="F86" s="285">
        <f t="shared" si="44"/>
        <v>3.6</v>
      </c>
      <c r="G86" s="285">
        <v>3.6</v>
      </c>
      <c r="H86" s="285"/>
      <c r="I86" s="285"/>
      <c r="J86" s="285"/>
      <c r="K86" s="285"/>
      <c r="L86" s="285"/>
      <c r="M86" s="285"/>
      <c r="N86" s="285"/>
      <c r="O86" s="285"/>
      <c r="P86" s="285">
        <f t="shared" si="36"/>
        <v>3.6</v>
      </c>
      <c r="Q86" s="285">
        <v>3.6</v>
      </c>
      <c r="R86" s="285"/>
      <c r="S86" s="285"/>
      <c r="T86" s="285"/>
      <c r="U86" s="285"/>
      <c r="V86" s="298">
        <f t="shared" si="45"/>
        <v>0</v>
      </c>
      <c r="W86" s="298"/>
      <c r="X86" s="298"/>
      <c r="Y86" s="298"/>
      <c r="Z86" s="298"/>
      <c r="AA86" s="298"/>
      <c r="AB86" s="298"/>
      <c r="AC86" s="298"/>
      <c r="AD86" s="298"/>
      <c r="AE86" s="285"/>
      <c r="AF86" s="299">
        <f t="shared" si="37"/>
        <v>0</v>
      </c>
      <c r="AG86" s="299">
        <f t="shared" si="38"/>
        <v>0</v>
      </c>
      <c r="AH86" s="299">
        <f t="shared" si="39"/>
        <v>0</v>
      </c>
      <c r="AI86" s="299">
        <f t="shared" si="40"/>
        <v>0</v>
      </c>
      <c r="AJ86" s="299">
        <f t="shared" si="41"/>
        <v>0</v>
      </c>
      <c r="AK86" s="299">
        <f t="shared" si="42"/>
        <v>0</v>
      </c>
      <c r="AL86" s="298">
        <f t="shared" si="46"/>
        <v>3.6</v>
      </c>
      <c r="AM86" s="298">
        <f t="shared" si="47"/>
        <v>3.6</v>
      </c>
      <c r="AN86" s="298">
        <f t="shared" si="48"/>
        <v>0</v>
      </c>
      <c r="AO86" s="298">
        <f t="shared" si="49"/>
        <v>0</v>
      </c>
      <c r="AP86" s="298">
        <f t="shared" si="50"/>
        <v>0</v>
      </c>
      <c r="AQ86" s="298">
        <f t="shared" si="51"/>
        <v>0</v>
      </c>
      <c r="AR86" s="298">
        <f t="shared" si="52"/>
        <v>0</v>
      </c>
      <c r="AS86" s="298">
        <f t="shared" si="53"/>
        <v>0</v>
      </c>
      <c r="AT86" s="298">
        <f t="shared" si="54"/>
        <v>0</v>
      </c>
      <c r="AU86" s="285">
        <f t="shared" si="43"/>
        <v>3.6</v>
      </c>
      <c r="AV86" s="298">
        <v>3.6</v>
      </c>
      <c r="AW86" s="285"/>
      <c r="AX86" s="285"/>
      <c r="AY86" s="285"/>
      <c r="AZ86" s="285"/>
      <c r="BA86" s="285"/>
    </row>
    <row r="87" s="258" customFormat="1" ht="24" spans="1:53">
      <c r="A87" s="283">
        <v>80</v>
      </c>
      <c r="B87" s="284" t="s">
        <v>290</v>
      </c>
      <c r="C87" s="284" t="s">
        <v>199</v>
      </c>
      <c r="D87" s="284" t="s">
        <v>298</v>
      </c>
      <c r="E87" s="284" t="s">
        <v>294</v>
      </c>
      <c r="F87" s="285">
        <f t="shared" si="44"/>
        <v>4.2</v>
      </c>
      <c r="G87" s="285">
        <v>4.2</v>
      </c>
      <c r="H87" s="285"/>
      <c r="I87" s="285"/>
      <c r="J87" s="285"/>
      <c r="K87" s="285"/>
      <c r="L87" s="285"/>
      <c r="M87" s="285"/>
      <c r="N87" s="285"/>
      <c r="O87" s="285"/>
      <c r="P87" s="285">
        <f t="shared" si="36"/>
        <v>4.2</v>
      </c>
      <c r="Q87" s="285">
        <v>4.2</v>
      </c>
      <c r="R87" s="285"/>
      <c r="S87" s="285"/>
      <c r="T87" s="285"/>
      <c r="U87" s="285"/>
      <c r="V87" s="298">
        <f t="shared" si="45"/>
        <v>0</v>
      </c>
      <c r="W87" s="298"/>
      <c r="X87" s="298"/>
      <c r="Y87" s="298"/>
      <c r="Z87" s="298"/>
      <c r="AA87" s="298"/>
      <c r="AB87" s="298"/>
      <c r="AC87" s="298"/>
      <c r="AD87" s="298"/>
      <c r="AE87" s="285"/>
      <c r="AF87" s="299">
        <f t="shared" si="37"/>
        <v>0</v>
      </c>
      <c r="AG87" s="299">
        <f t="shared" si="38"/>
        <v>0</v>
      </c>
      <c r="AH87" s="299">
        <f t="shared" si="39"/>
        <v>0</v>
      </c>
      <c r="AI87" s="299">
        <f t="shared" si="40"/>
        <v>0</v>
      </c>
      <c r="AJ87" s="299">
        <f t="shared" si="41"/>
        <v>0</v>
      </c>
      <c r="AK87" s="299">
        <f t="shared" si="42"/>
        <v>0</v>
      </c>
      <c r="AL87" s="298">
        <f t="shared" si="46"/>
        <v>4.2</v>
      </c>
      <c r="AM87" s="298">
        <f t="shared" si="47"/>
        <v>4.2</v>
      </c>
      <c r="AN87" s="298">
        <f t="shared" si="48"/>
        <v>0</v>
      </c>
      <c r="AO87" s="298">
        <f t="shared" si="49"/>
        <v>0</v>
      </c>
      <c r="AP87" s="298">
        <f t="shared" si="50"/>
        <v>0</v>
      </c>
      <c r="AQ87" s="298">
        <f t="shared" si="51"/>
        <v>0</v>
      </c>
      <c r="AR87" s="298">
        <f t="shared" si="52"/>
        <v>0</v>
      </c>
      <c r="AS87" s="298">
        <f t="shared" si="53"/>
        <v>0</v>
      </c>
      <c r="AT87" s="298">
        <f t="shared" si="54"/>
        <v>0</v>
      </c>
      <c r="AU87" s="285">
        <f t="shared" si="43"/>
        <v>4.2</v>
      </c>
      <c r="AV87" s="298">
        <v>4.2</v>
      </c>
      <c r="AW87" s="285"/>
      <c r="AX87" s="285"/>
      <c r="AY87" s="285"/>
      <c r="AZ87" s="285"/>
      <c r="BA87" s="285"/>
    </row>
    <row r="88" s="258" customFormat="1" ht="57" customHeight="1" spans="1:53">
      <c r="A88" s="283">
        <v>81</v>
      </c>
      <c r="B88" s="284" t="s">
        <v>195</v>
      </c>
      <c r="C88" s="284" t="s">
        <v>196</v>
      </c>
      <c r="D88" s="284" t="s">
        <v>299</v>
      </c>
      <c r="E88" s="284" t="s">
        <v>300</v>
      </c>
      <c r="F88" s="285">
        <f t="shared" si="44"/>
        <v>239.85</v>
      </c>
      <c r="G88" s="285">
        <v>6</v>
      </c>
      <c r="H88" s="285"/>
      <c r="I88" s="285">
        <v>7.85</v>
      </c>
      <c r="J88" s="285"/>
      <c r="K88" s="285"/>
      <c r="L88" s="285"/>
      <c r="M88" s="285">
        <v>8</v>
      </c>
      <c r="N88" s="285">
        <v>218</v>
      </c>
      <c r="O88" s="285" t="s">
        <v>1002</v>
      </c>
      <c r="P88" s="285">
        <f t="shared" si="36"/>
        <v>239.85</v>
      </c>
      <c r="Q88" s="285">
        <v>231.85</v>
      </c>
      <c r="R88" s="285"/>
      <c r="S88" s="285">
        <v>8</v>
      </c>
      <c r="T88" s="285"/>
      <c r="U88" s="285"/>
      <c r="V88" s="298">
        <f t="shared" si="45"/>
        <v>-67.34</v>
      </c>
      <c r="W88" s="298"/>
      <c r="X88" s="298"/>
      <c r="Y88" s="298">
        <v>-1.06</v>
      </c>
      <c r="Z88" s="298"/>
      <c r="AA88" s="298"/>
      <c r="AB88" s="298">
        <f>-8+9.72</f>
        <v>1.72</v>
      </c>
      <c r="AC88" s="298"/>
      <c r="AD88" s="298">
        <v>-68</v>
      </c>
      <c r="AE88" s="285" t="s">
        <v>1003</v>
      </c>
      <c r="AF88" s="299">
        <f t="shared" si="37"/>
        <v>-67.34</v>
      </c>
      <c r="AG88" s="299">
        <f t="shared" si="38"/>
        <v>-69.06</v>
      </c>
      <c r="AH88" s="299">
        <f t="shared" si="39"/>
        <v>0</v>
      </c>
      <c r="AI88" s="299">
        <f t="shared" si="40"/>
        <v>1.72</v>
      </c>
      <c r="AJ88" s="299">
        <f t="shared" si="41"/>
        <v>0</v>
      </c>
      <c r="AK88" s="299">
        <f t="shared" si="42"/>
        <v>0</v>
      </c>
      <c r="AL88" s="298">
        <f t="shared" si="46"/>
        <v>172.51</v>
      </c>
      <c r="AM88" s="298">
        <f t="shared" si="47"/>
        <v>6</v>
      </c>
      <c r="AN88" s="298">
        <f t="shared" si="48"/>
        <v>0</v>
      </c>
      <c r="AO88" s="298">
        <f t="shared" si="49"/>
        <v>6.79</v>
      </c>
      <c r="AP88" s="298">
        <f t="shared" si="50"/>
        <v>0</v>
      </c>
      <c r="AQ88" s="298">
        <f t="shared" si="51"/>
        <v>0</v>
      </c>
      <c r="AR88" s="298">
        <f t="shared" si="52"/>
        <v>9.72</v>
      </c>
      <c r="AS88" s="298">
        <f t="shared" si="53"/>
        <v>0</v>
      </c>
      <c r="AT88" s="298">
        <f t="shared" si="54"/>
        <v>150</v>
      </c>
      <c r="AU88" s="285">
        <f t="shared" si="43"/>
        <v>172.51</v>
      </c>
      <c r="AV88" s="298">
        <v>162.79</v>
      </c>
      <c r="AW88" s="285"/>
      <c r="AX88" s="285">
        <v>9.72</v>
      </c>
      <c r="AY88" s="285"/>
      <c r="AZ88" s="285"/>
      <c r="BA88" s="285">
        <v>100</v>
      </c>
    </row>
    <row r="89" s="258" customFormat="1" ht="24" spans="1:53">
      <c r="A89" s="283">
        <v>82</v>
      </c>
      <c r="B89" s="284" t="s">
        <v>195</v>
      </c>
      <c r="C89" s="284" t="s">
        <v>196</v>
      </c>
      <c r="D89" s="284" t="s">
        <v>301</v>
      </c>
      <c r="E89" s="284" t="s">
        <v>300</v>
      </c>
      <c r="F89" s="285">
        <f t="shared" si="44"/>
        <v>7.8</v>
      </c>
      <c r="G89" s="285">
        <v>3.6</v>
      </c>
      <c r="H89" s="285"/>
      <c r="I89" s="285">
        <v>4.2</v>
      </c>
      <c r="J89" s="285"/>
      <c r="K89" s="285"/>
      <c r="L89" s="285"/>
      <c r="M89" s="285"/>
      <c r="N89" s="285"/>
      <c r="O89" s="285"/>
      <c r="P89" s="285">
        <f t="shared" si="36"/>
        <v>7.8</v>
      </c>
      <c r="Q89" s="285">
        <v>7.8</v>
      </c>
      <c r="R89" s="285"/>
      <c r="S89" s="285"/>
      <c r="T89" s="285"/>
      <c r="U89" s="285"/>
      <c r="V89" s="298">
        <f t="shared" si="45"/>
        <v>-0.48</v>
      </c>
      <c r="W89" s="298"/>
      <c r="X89" s="298"/>
      <c r="Y89" s="298">
        <v>-0.48</v>
      </c>
      <c r="Z89" s="298"/>
      <c r="AA89" s="298"/>
      <c r="AB89" s="298"/>
      <c r="AC89" s="298"/>
      <c r="AD89" s="298"/>
      <c r="AE89" s="285"/>
      <c r="AF89" s="299">
        <f t="shared" si="37"/>
        <v>-0.48</v>
      </c>
      <c r="AG89" s="299">
        <f t="shared" si="38"/>
        <v>-0.48</v>
      </c>
      <c r="AH89" s="299">
        <f t="shared" si="39"/>
        <v>0</v>
      </c>
      <c r="AI89" s="299">
        <f t="shared" si="40"/>
        <v>0</v>
      </c>
      <c r="AJ89" s="299">
        <f t="shared" si="41"/>
        <v>0</v>
      </c>
      <c r="AK89" s="299">
        <f t="shared" si="42"/>
        <v>0</v>
      </c>
      <c r="AL89" s="298">
        <f t="shared" si="46"/>
        <v>7.32</v>
      </c>
      <c r="AM89" s="298">
        <f t="shared" si="47"/>
        <v>3.6</v>
      </c>
      <c r="AN89" s="298">
        <f t="shared" si="48"/>
        <v>0</v>
      </c>
      <c r="AO89" s="298">
        <f t="shared" si="49"/>
        <v>3.72</v>
      </c>
      <c r="AP89" s="298">
        <f t="shared" si="50"/>
        <v>0</v>
      </c>
      <c r="AQ89" s="298">
        <f t="shared" si="51"/>
        <v>0</v>
      </c>
      <c r="AR89" s="298">
        <f t="shared" si="52"/>
        <v>0</v>
      </c>
      <c r="AS89" s="298">
        <f t="shared" si="53"/>
        <v>0</v>
      </c>
      <c r="AT89" s="298">
        <f t="shared" si="54"/>
        <v>0</v>
      </c>
      <c r="AU89" s="285">
        <f t="shared" si="43"/>
        <v>7.32</v>
      </c>
      <c r="AV89" s="298">
        <v>7.32</v>
      </c>
      <c r="AW89" s="285"/>
      <c r="AX89" s="285"/>
      <c r="AY89" s="285"/>
      <c r="AZ89" s="285"/>
      <c r="BA89" s="285"/>
    </row>
    <row r="90" s="258" customFormat="1" ht="24" spans="1:53">
      <c r="A90" s="283">
        <v>83</v>
      </c>
      <c r="B90" s="284" t="s">
        <v>195</v>
      </c>
      <c r="C90" s="284" t="s">
        <v>196</v>
      </c>
      <c r="D90" s="284" t="s">
        <v>302</v>
      </c>
      <c r="E90" s="284" t="s">
        <v>300</v>
      </c>
      <c r="F90" s="285">
        <f t="shared" si="44"/>
        <v>5.28</v>
      </c>
      <c r="G90" s="285">
        <v>2.4</v>
      </c>
      <c r="H90" s="285"/>
      <c r="I90" s="285">
        <v>2.88</v>
      </c>
      <c r="J90" s="285"/>
      <c r="K90" s="285"/>
      <c r="L90" s="285"/>
      <c r="M90" s="285"/>
      <c r="N90" s="285"/>
      <c r="O90" s="285"/>
      <c r="P90" s="285">
        <f t="shared" si="36"/>
        <v>5.28</v>
      </c>
      <c r="Q90" s="285">
        <v>5.28</v>
      </c>
      <c r="R90" s="285"/>
      <c r="S90" s="285"/>
      <c r="T90" s="285"/>
      <c r="U90" s="285"/>
      <c r="V90" s="298">
        <f t="shared" si="45"/>
        <v>0.24</v>
      </c>
      <c r="W90" s="298"/>
      <c r="X90" s="298"/>
      <c r="Y90" s="298">
        <v>0.24</v>
      </c>
      <c r="Z90" s="298"/>
      <c r="AA90" s="298"/>
      <c r="AB90" s="298"/>
      <c r="AC90" s="298"/>
      <c r="AD90" s="298"/>
      <c r="AE90" s="285"/>
      <c r="AF90" s="299">
        <f t="shared" si="37"/>
        <v>0.239999999999999</v>
      </c>
      <c r="AG90" s="299">
        <f t="shared" si="38"/>
        <v>0.239999999999999</v>
      </c>
      <c r="AH90" s="299">
        <f t="shared" si="39"/>
        <v>0</v>
      </c>
      <c r="AI90" s="299">
        <f t="shared" si="40"/>
        <v>0</v>
      </c>
      <c r="AJ90" s="299">
        <f t="shared" si="41"/>
        <v>0</v>
      </c>
      <c r="AK90" s="299">
        <f t="shared" si="42"/>
        <v>0</v>
      </c>
      <c r="AL90" s="298">
        <f t="shared" si="46"/>
        <v>5.52</v>
      </c>
      <c r="AM90" s="298">
        <f t="shared" si="47"/>
        <v>2.4</v>
      </c>
      <c r="AN90" s="298">
        <f t="shared" si="48"/>
        <v>0</v>
      </c>
      <c r="AO90" s="298">
        <f t="shared" si="49"/>
        <v>3.12</v>
      </c>
      <c r="AP90" s="298">
        <f t="shared" si="50"/>
        <v>0</v>
      </c>
      <c r="AQ90" s="298">
        <f t="shared" si="51"/>
        <v>0</v>
      </c>
      <c r="AR90" s="298">
        <f t="shared" si="52"/>
        <v>0</v>
      </c>
      <c r="AS90" s="298">
        <f t="shared" si="53"/>
        <v>0</v>
      </c>
      <c r="AT90" s="298">
        <f t="shared" si="54"/>
        <v>0</v>
      </c>
      <c r="AU90" s="285">
        <f t="shared" si="43"/>
        <v>5.52</v>
      </c>
      <c r="AV90" s="298">
        <v>5.52</v>
      </c>
      <c r="AW90" s="285"/>
      <c r="AX90" s="285"/>
      <c r="AY90" s="285"/>
      <c r="AZ90" s="285"/>
      <c r="BA90" s="285"/>
    </row>
    <row r="91" s="258" customFormat="1" ht="24" spans="1:53">
      <c r="A91" s="283">
        <v>84</v>
      </c>
      <c r="B91" s="284" t="s">
        <v>195</v>
      </c>
      <c r="C91" s="284" t="s">
        <v>196</v>
      </c>
      <c r="D91" s="284" t="s">
        <v>303</v>
      </c>
      <c r="E91" s="284" t="s">
        <v>300</v>
      </c>
      <c r="F91" s="285">
        <f t="shared" si="44"/>
        <v>2.64</v>
      </c>
      <c r="G91" s="285">
        <v>1.2</v>
      </c>
      <c r="H91" s="285"/>
      <c r="I91" s="285">
        <v>1.44</v>
      </c>
      <c r="J91" s="285"/>
      <c r="K91" s="285"/>
      <c r="L91" s="285"/>
      <c r="M91" s="285"/>
      <c r="N91" s="285"/>
      <c r="O91" s="285"/>
      <c r="P91" s="285">
        <f t="shared" si="36"/>
        <v>2.64</v>
      </c>
      <c r="Q91" s="285">
        <v>2.64</v>
      </c>
      <c r="R91" s="285"/>
      <c r="S91" s="285"/>
      <c r="T91" s="285"/>
      <c r="U91" s="285"/>
      <c r="V91" s="298">
        <f t="shared" si="45"/>
        <v>-0.24</v>
      </c>
      <c r="W91" s="298"/>
      <c r="X91" s="298"/>
      <c r="Y91" s="298">
        <v>-0.24</v>
      </c>
      <c r="Z91" s="298"/>
      <c r="AA91" s="298"/>
      <c r="AB91" s="298"/>
      <c r="AC91" s="298"/>
      <c r="AD91" s="298"/>
      <c r="AE91" s="285"/>
      <c r="AF91" s="299">
        <f t="shared" si="37"/>
        <v>-0.24</v>
      </c>
      <c r="AG91" s="299">
        <f t="shared" si="38"/>
        <v>-0.24</v>
      </c>
      <c r="AH91" s="299">
        <f t="shared" si="39"/>
        <v>0</v>
      </c>
      <c r="AI91" s="299">
        <f t="shared" si="40"/>
        <v>0</v>
      </c>
      <c r="AJ91" s="299">
        <f t="shared" si="41"/>
        <v>0</v>
      </c>
      <c r="AK91" s="299">
        <f t="shared" si="42"/>
        <v>0</v>
      </c>
      <c r="AL91" s="298">
        <f t="shared" si="46"/>
        <v>2.4</v>
      </c>
      <c r="AM91" s="298">
        <f t="shared" si="47"/>
        <v>1.2</v>
      </c>
      <c r="AN91" s="298">
        <f t="shared" si="48"/>
        <v>0</v>
      </c>
      <c r="AO91" s="298">
        <f t="shared" si="49"/>
        <v>1.2</v>
      </c>
      <c r="AP91" s="298">
        <f t="shared" si="50"/>
        <v>0</v>
      </c>
      <c r="AQ91" s="298">
        <f t="shared" si="51"/>
        <v>0</v>
      </c>
      <c r="AR91" s="298">
        <f t="shared" si="52"/>
        <v>0</v>
      </c>
      <c r="AS91" s="298">
        <f t="shared" si="53"/>
        <v>0</v>
      </c>
      <c r="AT91" s="298">
        <f t="shared" si="54"/>
        <v>0</v>
      </c>
      <c r="AU91" s="285">
        <f t="shared" si="43"/>
        <v>2.4</v>
      </c>
      <c r="AV91" s="298">
        <v>2.4</v>
      </c>
      <c r="AW91" s="285"/>
      <c r="AX91" s="285"/>
      <c r="AY91" s="285"/>
      <c r="AZ91" s="285"/>
      <c r="BA91" s="285"/>
    </row>
    <row r="92" s="258" customFormat="1" ht="24" spans="1:53">
      <c r="A92" s="283">
        <v>85</v>
      </c>
      <c r="B92" s="284" t="s">
        <v>195</v>
      </c>
      <c r="C92" s="284" t="s">
        <v>199</v>
      </c>
      <c r="D92" s="284" t="s">
        <v>304</v>
      </c>
      <c r="E92" s="284" t="s">
        <v>305</v>
      </c>
      <c r="F92" s="285">
        <f t="shared" si="44"/>
        <v>7.8</v>
      </c>
      <c r="G92" s="285">
        <v>7.8</v>
      </c>
      <c r="H92" s="285"/>
      <c r="I92" s="285"/>
      <c r="J92" s="285"/>
      <c r="K92" s="285"/>
      <c r="L92" s="285"/>
      <c r="M92" s="285"/>
      <c r="N92" s="285"/>
      <c r="O92" s="285"/>
      <c r="P92" s="285">
        <f t="shared" si="36"/>
        <v>7.8</v>
      </c>
      <c r="Q92" s="285">
        <v>7.8</v>
      </c>
      <c r="R92" s="285"/>
      <c r="S92" s="285"/>
      <c r="T92" s="285"/>
      <c r="U92" s="285"/>
      <c r="V92" s="298">
        <f t="shared" si="45"/>
        <v>0</v>
      </c>
      <c r="W92" s="298"/>
      <c r="X92" s="298"/>
      <c r="Y92" s="298"/>
      <c r="Z92" s="298"/>
      <c r="AA92" s="298"/>
      <c r="AB92" s="298"/>
      <c r="AC92" s="298"/>
      <c r="AD92" s="298"/>
      <c r="AE92" s="285"/>
      <c r="AF92" s="299">
        <f t="shared" si="37"/>
        <v>0</v>
      </c>
      <c r="AG92" s="299">
        <f t="shared" si="38"/>
        <v>0</v>
      </c>
      <c r="AH92" s="299">
        <f t="shared" si="39"/>
        <v>0</v>
      </c>
      <c r="AI92" s="299">
        <f t="shared" si="40"/>
        <v>0</v>
      </c>
      <c r="AJ92" s="299">
        <f t="shared" si="41"/>
        <v>0</v>
      </c>
      <c r="AK92" s="299">
        <f t="shared" si="42"/>
        <v>0</v>
      </c>
      <c r="AL92" s="298">
        <f t="shared" si="46"/>
        <v>7.8</v>
      </c>
      <c r="AM92" s="298">
        <f t="shared" si="47"/>
        <v>7.8</v>
      </c>
      <c r="AN92" s="298">
        <f t="shared" si="48"/>
        <v>0</v>
      </c>
      <c r="AO92" s="298">
        <f t="shared" si="49"/>
        <v>0</v>
      </c>
      <c r="AP92" s="298">
        <f t="shared" si="50"/>
        <v>0</v>
      </c>
      <c r="AQ92" s="298">
        <f t="shared" si="51"/>
        <v>0</v>
      </c>
      <c r="AR92" s="298">
        <f t="shared" si="52"/>
        <v>0</v>
      </c>
      <c r="AS92" s="298">
        <f t="shared" si="53"/>
        <v>0</v>
      </c>
      <c r="AT92" s="298">
        <f t="shared" si="54"/>
        <v>0</v>
      </c>
      <c r="AU92" s="285">
        <f t="shared" si="43"/>
        <v>7.8</v>
      </c>
      <c r="AV92" s="298">
        <v>7.8</v>
      </c>
      <c r="AW92" s="285"/>
      <c r="AX92" s="285"/>
      <c r="AY92" s="285"/>
      <c r="AZ92" s="285"/>
      <c r="BA92" s="285"/>
    </row>
    <row r="93" s="258" customFormat="1" ht="38" customHeight="1" spans="1:53">
      <c r="A93" s="283">
        <v>86</v>
      </c>
      <c r="B93" s="284" t="s">
        <v>221</v>
      </c>
      <c r="C93" s="284" t="s">
        <v>196</v>
      </c>
      <c r="D93" s="284" t="s">
        <v>306</v>
      </c>
      <c r="E93" s="284" t="s">
        <v>307</v>
      </c>
      <c r="F93" s="285">
        <f t="shared" si="44"/>
        <v>358.36</v>
      </c>
      <c r="G93" s="285">
        <v>21.6</v>
      </c>
      <c r="H93" s="285"/>
      <c r="I93" s="285">
        <v>18.76</v>
      </c>
      <c r="J93" s="285"/>
      <c r="K93" s="285">
        <v>150</v>
      </c>
      <c r="L93" s="285" t="s">
        <v>1004</v>
      </c>
      <c r="M93" s="285"/>
      <c r="N93" s="285">
        <v>168</v>
      </c>
      <c r="O93" s="285" t="s">
        <v>1005</v>
      </c>
      <c r="P93" s="285">
        <f t="shared" si="36"/>
        <v>358.36</v>
      </c>
      <c r="Q93" s="285">
        <v>358.36</v>
      </c>
      <c r="R93" s="285"/>
      <c r="S93" s="285"/>
      <c r="T93" s="285"/>
      <c r="U93" s="285"/>
      <c r="V93" s="298">
        <f t="shared" si="45"/>
        <v>66.14</v>
      </c>
      <c r="W93" s="298"/>
      <c r="X93" s="298"/>
      <c r="Y93" s="298"/>
      <c r="Z93" s="298"/>
      <c r="AA93" s="298"/>
      <c r="AB93" s="298">
        <v>66.14</v>
      </c>
      <c r="AC93" s="298"/>
      <c r="AD93" s="298"/>
      <c r="AE93" s="285" t="s">
        <v>1006</v>
      </c>
      <c r="AF93" s="299">
        <f t="shared" si="37"/>
        <v>66.14</v>
      </c>
      <c r="AG93" s="299">
        <f t="shared" si="38"/>
        <v>0</v>
      </c>
      <c r="AH93" s="299">
        <f t="shared" si="39"/>
        <v>0</v>
      </c>
      <c r="AI93" s="299">
        <f t="shared" si="40"/>
        <v>66.14</v>
      </c>
      <c r="AJ93" s="299">
        <f t="shared" si="41"/>
        <v>0</v>
      </c>
      <c r="AK93" s="299">
        <f t="shared" si="42"/>
        <v>0</v>
      </c>
      <c r="AL93" s="298">
        <f t="shared" si="46"/>
        <v>424.5</v>
      </c>
      <c r="AM93" s="298">
        <f t="shared" si="47"/>
        <v>21.6</v>
      </c>
      <c r="AN93" s="298">
        <f t="shared" si="48"/>
        <v>0</v>
      </c>
      <c r="AO93" s="298">
        <f t="shared" si="49"/>
        <v>18.76</v>
      </c>
      <c r="AP93" s="298">
        <f t="shared" si="50"/>
        <v>0</v>
      </c>
      <c r="AQ93" s="298">
        <f t="shared" si="51"/>
        <v>150</v>
      </c>
      <c r="AR93" s="298">
        <f t="shared" si="52"/>
        <v>66.14</v>
      </c>
      <c r="AS93" s="298">
        <f t="shared" si="53"/>
        <v>0</v>
      </c>
      <c r="AT93" s="298">
        <f t="shared" si="54"/>
        <v>168</v>
      </c>
      <c r="AU93" s="298">
        <f t="shared" si="43"/>
        <v>424.5</v>
      </c>
      <c r="AV93" s="298">
        <v>358.36</v>
      </c>
      <c r="AW93" s="298"/>
      <c r="AX93" s="298">
        <v>66.14</v>
      </c>
      <c r="AY93" s="298"/>
      <c r="AZ93" s="298"/>
      <c r="BA93" s="285">
        <v>420.77</v>
      </c>
    </row>
    <row r="94" s="258" customFormat="1" ht="92" customHeight="1" spans="1:53">
      <c r="A94" s="283">
        <v>87</v>
      </c>
      <c r="B94" s="284" t="s">
        <v>221</v>
      </c>
      <c r="C94" s="284" t="s">
        <v>199</v>
      </c>
      <c r="D94" s="284" t="s">
        <v>308</v>
      </c>
      <c r="E94" s="284" t="s">
        <v>309</v>
      </c>
      <c r="F94" s="285">
        <f t="shared" si="44"/>
        <v>431.3</v>
      </c>
      <c r="G94" s="285">
        <v>15</v>
      </c>
      <c r="H94" s="285">
        <v>2</v>
      </c>
      <c r="I94" s="285"/>
      <c r="J94" s="285"/>
      <c r="K94" s="285">
        <v>15</v>
      </c>
      <c r="L94" s="285" t="s">
        <v>1007</v>
      </c>
      <c r="M94" s="285"/>
      <c r="N94" s="285">
        <v>399.3</v>
      </c>
      <c r="O94" s="285" t="s">
        <v>1008</v>
      </c>
      <c r="P94" s="285">
        <f t="shared" si="36"/>
        <v>431.3</v>
      </c>
      <c r="Q94" s="285">
        <v>431.3</v>
      </c>
      <c r="R94" s="285"/>
      <c r="S94" s="285"/>
      <c r="T94" s="285"/>
      <c r="U94" s="285"/>
      <c r="V94" s="298">
        <f t="shared" si="45"/>
        <v>0</v>
      </c>
      <c r="W94" s="298"/>
      <c r="X94" s="298"/>
      <c r="Y94" s="298"/>
      <c r="Z94" s="298"/>
      <c r="AA94" s="298"/>
      <c r="AB94" s="298"/>
      <c r="AC94" s="298"/>
      <c r="AD94" s="298"/>
      <c r="AE94" s="285"/>
      <c r="AF94" s="299">
        <f t="shared" si="37"/>
        <v>0</v>
      </c>
      <c r="AG94" s="299">
        <f t="shared" si="38"/>
        <v>0</v>
      </c>
      <c r="AH94" s="299">
        <f t="shared" si="39"/>
        <v>0</v>
      </c>
      <c r="AI94" s="299">
        <f t="shared" si="40"/>
        <v>0</v>
      </c>
      <c r="AJ94" s="299">
        <f t="shared" si="41"/>
        <v>0</v>
      </c>
      <c r="AK94" s="299">
        <f t="shared" si="42"/>
        <v>0</v>
      </c>
      <c r="AL94" s="298">
        <f t="shared" si="46"/>
        <v>431.3</v>
      </c>
      <c r="AM94" s="298">
        <f t="shared" si="47"/>
        <v>15</v>
      </c>
      <c r="AN94" s="298">
        <f t="shared" si="48"/>
        <v>2</v>
      </c>
      <c r="AO94" s="298">
        <f t="shared" si="49"/>
        <v>0</v>
      </c>
      <c r="AP94" s="298">
        <f t="shared" si="50"/>
        <v>0</v>
      </c>
      <c r="AQ94" s="298">
        <f t="shared" si="51"/>
        <v>15</v>
      </c>
      <c r="AR94" s="298">
        <f t="shared" si="52"/>
        <v>0</v>
      </c>
      <c r="AS94" s="298">
        <f t="shared" si="53"/>
        <v>0</v>
      </c>
      <c r="AT94" s="298">
        <f t="shared" si="54"/>
        <v>399.3</v>
      </c>
      <c r="AU94" s="298">
        <f t="shared" si="43"/>
        <v>431.3</v>
      </c>
      <c r="AV94" s="298">
        <v>431.3</v>
      </c>
      <c r="AW94" s="298"/>
      <c r="AX94" s="298"/>
      <c r="AY94" s="298"/>
      <c r="AZ94" s="298"/>
      <c r="BA94" s="285">
        <v>40</v>
      </c>
    </row>
    <row r="95" s="258" customFormat="1" ht="24" spans="1:53">
      <c r="A95" s="283">
        <v>88</v>
      </c>
      <c r="B95" s="284" t="s">
        <v>221</v>
      </c>
      <c r="C95" s="284" t="s">
        <v>199</v>
      </c>
      <c r="D95" s="284" t="s">
        <v>310</v>
      </c>
      <c r="E95" s="284" t="s">
        <v>311</v>
      </c>
      <c r="F95" s="285">
        <f t="shared" si="44"/>
        <v>10.2</v>
      </c>
      <c r="G95" s="285">
        <v>10.2</v>
      </c>
      <c r="H95" s="285"/>
      <c r="I95" s="285"/>
      <c r="J95" s="285"/>
      <c r="K95" s="285"/>
      <c r="L95" s="285"/>
      <c r="M95" s="285"/>
      <c r="N95" s="285"/>
      <c r="O95" s="285"/>
      <c r="P95" s="285">
        <f t="shared" si="36"/>
        <v>10.2</v>
      </c>
      <c r="Q95" s="285">
        <v>10.2</v>
      </c>
      <c r="R95" s="285"/>
      <c r="S95" s="285"/>
      <c r="T95" s="285"/>
      <c r="U95" s="285"/>
      <c r="V95" s="298">
        <f t="shared" si="45"/>
        <v>0</v>
      </c>
      <c r="W95" s="298"/>
      <c r="X95" s="298"/>
      <c r="Y95" s="298"/>
      <c r="Z95" s="298"/>
      <c r="AA95" s="298"/>
      <c r="AB95" s="298"/>
      <c r="AC95" s="298"/>
      <c r="AD95" s="298"/>
      <c r="AE95" s="285"/>
      <c r="AF95" s="299">
        <f t="shared" si="37"/>
        <v>0</v>
      </c>
      <c r="AG95" s="299">
        <f t="shared" si="38"/>
        <v>0</v>
      </c>
      <c r="AH95" s="299">
        <f t="shared" si="39"/>
        <v>0</v>
      </c>
      <c r="AI95" s="299">
        <f t="shared" si="40"/>
        <v>0</v>
      </c>
      <c r="AJ95" s="299">
        <f t="shared" si="41"/>
        <v>0</v>
      </c>
      <c r="AK95" s="299">
        <f t="shared" si="42"/>
        <v>0</v>
      </c>
      <c r="AL95" s="298">
        <f t="shared" si="46"/>
        <v>10.2</v>
      </c>
      <c r="AM95" s="298">
        <f t="shared" si="47"/>
        <v>10.2</v>
      </c>
      <c r="AN95" s="298">
        <f t="shared" si="48"/>
        <v>0</v>
      </c>
      <c r="AO95" s="298">
        <f t="shared" si="49"/>
        <v>0</v>
      </c>
      <c r="AP95" s="298">
        <f t="shared" si="50"/>
        <v>0</v>
      </c>
      <c r="AQ95" s="298">
        <f t="shared" si="51"/>
        <v>0</v>
      </c>
      <c r="AR95" s="298">
        <f t="shared" si="52"/>
        <v>0</v>
      </c>
      <c r="AS95" s="298">
        <f t="shared" si="53"/>
        <v>0</v>
      </c>
      <c r="AT95" s="298">
        <f t="shared" si="54"/>
        <v>0</v>
      </c>
      <c r="AU95" s="285">
        <f t="shared" si="43"/>
        <v>10.2</v>
      </c>
      <c r="AV95" s="298">
        <v>10.2</v>
      </c>
      <c r="AW95" s="285"/>
      <c r="AX95" s="285"/>
      <c r="AY95" s="285"/>
      <c r="AZ95" s="285"/>
      <c r="BA95" s="285"/>
    </row>
    <row r="96" s="258" customFormat="1" ht="24" spans="1:53">
      <c r="A96" s="283">
        <v>89</v>
      </c>
      <c r="B96" s="284" t="s">
        <v>221</v>
      </c>
      <c r="C96" s="284" t="s">
        <v>199</v>
      </c>
      <c r="D96" s="284" t="s">
        <v>312</v>
      </c>
      <c r="E96" s="284" t="s">
        <v>311</v>
      </c>
      <c r="F96" s="285">
        <f t="shared" si="44"/>
        <v>37.6</v>
      </c>
      <c r="G96" s="285">
        <v>3.6</v>
      </c>
      <c r="H96" s="285"/>
      <c r="I96" s="285"/>
      <c r="J96" s="285"/>
      <c r="K96" s="285"/>
      <c r="L96" s="285"/>
      <c r="M96" s="285"/>
      <c r="N96" s="285">
        <v>34</v>
      </c>
      <c r="O96" s="285" t="s">
        <v>1009</v>
      </c>
      <c r="P96" s="285">
        <f t="shared" si="36"/>
        <v>37.6</v>
      </c>
      <c r="Q96" s="285">
        <v>37.6</v>
      </c>
      <c r="R96" s="285"/>
      <c r="S96" s="285"/>
      <c r="T96" s="285"/>
      <c r="U96" s="285"/>
      <c r="V96" s="298">
        <f t="shared" si="45"/>
        <v>0</v>
      </c>
      <c r="W96" s="298"/>
      <c r="X96" s="298"/>
      <c r="Y96" s="298"/>
      <c r="Z96" s="298"/>
      <c r="AA96" s="298"/>
      <c r="AB96" s="298"/>
      <c r="AC96" s="298"/>
      <c r="AD96" s="298"/>
      <c r="AE96" s="285"/>
      <c r="AF96" s="299">
        <f t="shared" si="37"/>
        <v>0</v>
      </c>
      <c r="AG96" s="299">
        <f t="shared" si="38"/>
        <v>0</v>
      </c>
      <c r="AH96" s="299">
        <f t="shared" si="39"/>
        <v>0</v>
      </c>
      <c r="AI96" s="299">
        <f t="shared" si="40"/>
        <v>0</v>
      </c>
      <c r="AJ96" s="299">
        <f t="shared" si="41"/>
        <v>0</v>
      </c>
      <c r="AK96" s="299">
        <f t="shared" si="42"/>
        <v>0</v>
      </c>
      <c r="AL96" s="298">
        <f t="shared" si="46"/>
        <v>37.6</v>
      </c>
      <c r="AM96" s="298">
        <f t="shared" si="47"/>
        <v>3.6</v>
      </c>
      <c r="AN96" s="298">
        <f t="shared" si="48"/>
        <v>0</v>
      </c>
      <c r="AO96" s="298">
        <f t="shared" si="49"/>
        <v>0</v>
      </c>
      <c r="AP96" s="298">
        <f t="shared" si="50"/>
        <v>0</v>
      </c>
      <c r="AQ96" s="298">
        <f t="shared" si="51"/>
        <v>0</v>
      </c>
      <c r="AR96" s="298">
        <f t="shared" si="52"/>
        <v>0</v>
      </c>
      <c r="AS96" s="298">
        <f t="shared" si="53"/>
        <v>0</v>
      </c>
      <c r="AT96" s="298">
        <f t="shared" si="54"/>
        <v>34</v>
      </c>
      <c r="AU96" s="285">
        <f t="shared" si="43"/>
        <v>37.6</v>
      </c>
      <c r="AV96" s="298">
        <v>37.6</v>
      </c>
      <c r="AW96" s="285"/>
      <c r="AX96" s="285"/>
      <c r="AY96" s="285"/>
      <c r="AZ96" s="285"/>
      <c r="BA96" s="285"/>
    </row>
    <row r="97" s="258" customFormat="1" ht="24" spans="1:53">
      <c r="A97" s="283">
        <v>90</v>
      </c>
      <c r="B97" s="284" t="s">
        <v>221</v>
      </c>
      <c r="C97" s="284" t="s">
        <v>199</v>
      </c>
      <c r="D97" s="284" t="s">
        <v>313</v>
      </c>
      <c r="E97" s="284" t="s">
        <v>311</v>
      </c>
      <c r="F97" s="285">
        <f t="shared" si="44"/>
        <v>32.2</v>
      </c>
      <c r="G97" s="285">
        <v>10.2</v>
      </c>
      <c r="H97" s="285">
        <v>2</v>
      </c>
      <c r="I97" s="285"/>
      <c r="J97" s="285"/>
      <c r="K97" s="285"/>
      <c r="L97" s="285"/>
      <c r="M97" s="285"/>
      <c r="N97" s="285">
        <v>20</v>
      </c>
      <c r="O97" s="285" t="s">
        <v>1010</v>
      </c>
      <c r="P97" s="285">
        <f t="shared" si="36"/>
        <v>32.2</v>
      </c>
      <c r="Q97" s="285">
        <v>32.2</v>
      </c>
      <c r="R97" s="285"/>
      <c r="S97" s="285"/>
      <c r="T97" s="285"/>
      <c r="U97" s="285"/>
      <c r="V97" s="298">
        <f t="shared" si="45"/>
        <v>0</v>
      </c>
      <c r="W97" s="298"/>
      <c r="X97" s="298"/>
      <c r="Y97" s="298"/>
      <c r="Z97" s="298"/>
      <c r="AA97" s="298"/>
      <c r="AB97" s="298"/>
      <c r="AC97" s="298"/>
      <c r="AD97" s="298"/>
      <c r="AE97" s="285"/>
      <c r="AF97" s="299">
        <f t="shared" si="37"/>
        <v>0</v>
      </c>
      <c r="AG97" s="299">
        <f t="shared" si="38"/>
        <v>0</v>
      </c>
      <c r="AH97" s="299">
        <f t="shared" si="39"/>
        <v>0</v>
      </c>
      <c r="AI97" s="299">
        <f t="shared" si="40"/>
        <v>0</v>
      </c>
      <c r="AJ97" s="299">
        <f t="shared" si="41"/>
        <v>0</v>
      </c>
      <c r="AK97" s="299">
        <f t="shared" si="42"/>
        <v>0</v>
      </c>
      <c r="AL97" s="298">
        <f t="shared" si="46"/>
        <v>32.2</v>
      </c>
      <c r="AM97" s="298">
        <f t="shared" si="47"/>
        <v>10.2</v>
      </c>
      <c r="AN97" s="298">
        <f t="shared" si="48"/>
        <v>2</v>
      </c>
      <c r="AO97" s="298">
        <f t="shared" si="49"/>
        <v>0</v>
      </c>
      <c r="AP97" s="298">
        <f t="shared" si="50"/>
        <v>0</v>
      </c>
      <c r="AQ97" s="298">
        <f t="shared" si="51"/>
        <v>0</v>
      </c>
      <c r="AR97" s="298">
        <f t="shared" si="52"/>
        <v>0</v>
      </c>
      <c r="AS97" s="298">
        <f t="shared" si="53"/>
        <v>0</v>
      </c>
      <c r="AT97" s="298">
        <f t="shared" si="54"/>
        <v>20</v>
      </c>
      <c r="AU97" s="285">
        <f t="shared" si="43"/>
        <v>32.2</v>
      </c>
      <c r="AV97" s="298">
        <v>32.2</v>
      </c>
      <c r="AW97" s="285"/>
      <c r="AX97" s="285"/>
      <c r="AY97" s="285"/>
      <c r="AZ97" s="285"/>
      <c r="BA97" s="285"/>
    </row>
    <row r="98" s="258" customFormat="1" ht="24" spans="1:53">
      <c r="A98" s="283">
        <v>91</v>
      </c>
      <c r="B98" s="284" t="s">
        <v>221</v>
      </c>
      <c r="C98" s="284" t="s">
        <v>199</v>
      </c>
      <c r="D98" s="284" t="s">
        <v>314</v>
      </c>
      <c r="E98" s="284" t="s">
        <v>311</v>
      </c>
      <c r="F98" s="285">
        <f t="shared" si="44"/>
        <v>4.2</v>
      </c>
      <c r="G98" s="285">
        <v>4.2</v>
      </c>
      <c r="H98" s="285"/>
      <c r="I98" s="285"/>
      <c r="J98" s="285"/>
      <c r="K98" s="285"/>
      <c r="L98" s="285"/>
      <c r="M98" s="285"/>
      <c r="N98" s="285"/>
      <c r="O98" s="285"/>
      <c r="P98" s="285">
        <f t="shared" si="36"/>
        <v>4.2</v>
      </c>
      <c r="Q98" s="285">
        <v>4.2</v>
      </c>
      <c r="R98" s="285"/>
      <c r="S98" s="285"/>
      <c r="T98" s="285"/>
      <c r="U98" s="285"/>
      <c r="V98" s="298">
        <f t="shared" si="45"/>
        <v>0</v>
      </c>
      <c r="W98" s="298"/>
      <c r="X98" s="298"/>
      <c r="Y98" s="298"/>
      <c r="Z98" s="298"/>
      <c r="AA98" s="298"/>
      <c r="AB98" s="298"/>
      <c r="AC98" s="298"/>
      <c r="AD98" s="298"/>
      <c r="AE98" s="285"/>
      <c r="AF98" s="299">
        <f t="shared" si="37"/>
        <v>0</v>
      </c>
      <c r="AG98" s="299">
        <f t="shared" si="38"/>
        <v>0</v>
      </c>
      <c r="AH98" s="299">
        <f t="shared" si="39"/>
        <v>0</v>
      </c>
      <c r="AI98" s="299">
        <f t="shared" si="40"/>
        <v>0</v>
      </c>
      <c r="AJ98" s="299">
        <f t="shared" si="41"/>
        <v>0</v>
      </c>
      <c r="AK98" s="299">
        <f t="shared" si="42"/>
        <v>0</v>
      </c>
      <c r="AL98" s="298">
        <f t="shared" si="46"/>
        <v>4.2</v>
      </c>
      <c r="AM98" s="298">
        <f t="shared" si="47"/>
        <v>4.2</v>
      </c>
      <c r="AN98" s="298">
        <f t="shared" si="48"/>
        <v>0</v>
      </c>
      <c r="AO98" s="298">
        <f t="shared" si="49"/>
        <v>0</v>
      </c>
      <c r="AP98" s="298">
        <f t="shared" si="50"/>
        <v>0</v>
      </c>
      <c r="AQ98" s="298">
        <f t="shared" si="51"/>
        <v>0</v>
      </c>
      <c r="AR98" s="298">
        <f t="shared" si="52"/>
        <v>0</v>
      </c>
      <c r="AS98" s="298">
        <f t="shared" si="53"/>
        <v>0</v>
      </c>
      <c r="AT98" s="298">
        <f t="shared" si="54"/>
        <v>0</v>
      </c>
      <c r="AU98" s="285">
        <f t="shared" si="43"/>
        <v>4.2</v>
      </c>
      <c r="AV98" s="298">
        <v>4.2</v>
      </c>
      <c r="AW98" s="285"/>
      <c r="AX98" s="285"/>
      <c r="AY98" s="285"/>
      <c r="AZ98" s="285"/>
      <c r="BA98" s="285"/>
    </row>
    <row r="99" s="258" customFormat="1" ht="24" spans="1:53">
      <c r="A99" s="283">
        <v>92</v>
      </c>
      <c r="B99" s="284" t="s">
        <v>221</v>
      </c>
      <c r="C99" s="284" t="s">
        <v>199</v>
      </c>
      <c r="D99" s="284" t="s">
        <v>315</v>
      </c>
      <c r="E99" s="284" t="s">
        <v>311</v>
      </c>
      <c r="F99" s="285">
        <f t="shared" si="44"/>
        <v>3.6</v>
      </c>
      <c r="G99" s="285">
        <v>3.6</v>
      </c>
      <c r="H99" s="285"/>
      <c r="I99" s="285"/>
      <c r="J99" s="285"/>
      <c r="K99" s="285"/>
      <c r="L99" s="285"/>
      <c r="M99" s="285"/>
      <c r="N99" s="285"/>
      <c r="O99" s="285"/>
      <c r="P99" s="285">
        <f t="shared" si="36"/>
        <v>3.6</v>
      </c>
      <c r="Q99" s="285">
        <v>3.6</v>
      </c>
      <c r="R99" s="285"/>
      <c r="S99" s="285"/>
      <c r="T99" s="285"/>
      <c r="U99" s="285"/>
      <c r="V99" s="298">
        <f t="shared" si="45"/>
        <v>0</v>
      </c>
      <c r="W99" s="298"/>
      <c r="X99" s="298"/>
      <c r="Y99" s="298"/>
      <c r="Z99" s="298"/>
      <c r="AA99" s="298"/>
      <c r="AB99" s="298"/>
      <c r="AC99" s="298"/>
      <c r="AD99" s="298"/>
      <c r="AE99" s="285"/>
      <c r="AF99" s="299">
        <f t="shared" si="37"/>
        <v>0</v>
      </c>
      <c r="AG99" s="299">
        <f t="shared" si="38"/>
        <v>0</v>
      </c>
      <c r="AH99" s="299">
        <f t="shared" si="39"/>
        <v>0</v>
      </c>
      <c r="AI99" s="299">
        <f t="shared" si="40"/>
        <v>0</v>
      </c>
      <c r="AJ99" s="299">
        <f t="shared" si="41"/>
        <v>0</v>
      </c>
      <c r="AK99" s="299">
        <f t="shared" si="42"/>
        <v>0</v>
      </c>
      <c r="AL99" s="298">
        <f t="shared" si="46"/>
        <v>3.6</v>
      </c>
      <c r="AM99" s="298">
        <f t="shared" si="47"/>
        <v>3.6</v>
      </c>
      <c r="AN99" s="298">
        <f t="shared" si="48"/>
        <v>0</v>
      </c>
      <c r="AO99" s="298">
        <f t="shared" si="49"/>
        <v>0</v>
      </c>
      <c r="AP99" s="298">
        <f t="shared" si="50"/>
        <v>0</v>
      </c>
      <c r="AQ99" s="298">
        <f t="shared" si="51"/>
        <v>0</v>
      </c>
      <c r="AR99" s="298">
        <f t="shared" si="52"/>
        <v>0</v>
      </c>
      <c r="AS99" s="298">
        <f t="shared" si="53"/>
        <v>0</v>
      </c>
      <c r="AT99" s="298">
        <f t="shared" si="54"/>
        <v>0</v>
      </c>
      <c r="AU99" s="285">
        <f t="shared" si="43"/>
        <v>3.6</v>
      </c>
      <c r="AV99" s="298">
        <v>3.6</v>
      </c>
      <c r="AW99" s="285"/>
      <c r="AX99" s="285"/>
      <c r="AY99" s="285"/>
      <c r="AZ99" s="285"/>
      <c r="BA99" s="285"/>
    </row>
    <row r="100" s="258" customFormat="1" ht="48" spans="1:53">
      <c r="A100" s="283">
        <v>93</v>
      </c>
      <c r="B100" s="284" t="s">
        <v>221</v>
      </c>
      <c r="C100" s="284"/>
      <c r="D100" s="284" t="s">
        <v>1011</v>
      </c>
      <c r="E100" s="284" t="s">
        <v>1012</v>
      </c>
      <c r="F100" s="285">
        <f t="shared" si="44"/>
        <v>2000</v>
      </c>
      <c r="G100" s="285"/>
      <c r="H100" s="285"/>
      <c r="I100" s="285"/>
      <c r="J100" s="285"/>
      <c r="K100" s="285">
        <f>600+1400</f>
        <v>2000</v>
      </c>
      <c r="L100" s="285" t="s">
        <v>1013</v>
      </c>
      <c r="M100" s="285"/>
      <c r="N100" s="285"/>
      <c r="O100" s="285"/>
      <c r="P100" s="285">
        <f t="shared" si="36"/>
        <v>2000</v>
      </c>
      <c r="Q100" s="285">
        <v>2000</v>
      </c>
      <c r="R100" s="285"/>
      <c r="S100" s="285"/>
      <c r="T100" s="285"/>
      <c r="U100" s="285"/>
      <c r="V100" s="298">
        <f t="shared" si="45"/>
        <v>0</v>
      </c>
      <c r="W100" s="298"/>
      <c r="X100" s="298"/>
      <c r="Y100" s="298"/>
      <c r="Z100" s="298"/>
      <c r="AA100" s="298"/>
      <c r="AB100" s="298"/>
      <c r="AC100" s="298"/>
      <c r="AD100" s="298"/>
      <c r="AE100" s="285"/>
      <c r="AF100" s="299">
        <f t="shared" si="37"/>
        <v>-2000</v>
      </c>
      <c r="AG100" s="299">
        <f t="shared" si="38"/>
        <v>-2000</v>
      </c>
      <c r="AH100" s="299">
        <f t="shared" si="39"/>
        <v>0</v>
      </c>
      <c r="AI100" s="299">
        <f t="shared" si="40"/>
        <v>0</v>
      </c>
      <c r="AJ100" s="299">
        <f t="shared" si="41"/>
        <v>2000</v>
      </c>
      <c r="AK100" s="299">
        <f t="shared" si="42"/>
        <v>0</v>
      </c>
      <c r="AL100" s="298">
        <f t="shared" si="46"/>
        <v>2000</v>
      </c>
      <c r="AM100" s="298">
        <f t="shared" si="47"/>
        <v>0</v>
      </c>
      <c r="AN100" s="298">
        <f t="shared" si="48"/>
        <v>0</v>
      </c>
      <c r="AO100" s="298">
        <f t="shared" si="49"/>
        <v>0</v>
      </c>
      <c r="AP100" s="298">
        <f t="shared" si="50"/>
        <v>0</v>
      </c>
      <c r="AQ100" s="298">
        <f t="shared" si="51"/>
        <v>2000</v>
      </c>
      <c r="AR100" s="298">
        <f t="shared" si="52"/>
        <v>0</v>
      </c>
      <c r="AS100" s="298">
        <f t="shared" si="53"/>
        <v>0</v>
      </c>
      <c r="AT100" s="298">
        <f t="shared" si="54"/>
        <v>0</v>
      </c>
      <c r="AU100" s="285">
        <f t="shared" si="43"/>
        <v>0</v>
      </c>
      <c r="AV100" s="298"/>
      <c r="AW100" s="285"/>
      <c r="AX100" s="285"/>
      <c r="AY100" s="285">
        <v>2000</v>
      </c>
      <c r="AZ100" s="285"/>
      <c r="BA100" s="285"/>
    </row>
    <row r="101" s="258" customFormat="1" ht="24" spans="1:53">
      <c r="A101" s="283">
        <v>94</v>
      </c>
      <c r="B101" s="284" t="s">
        <v>195</v>
      </c>
      <c r="C101" s="284" t="s">
        <v>196</v>
      </c>
      <c r="D101" s="284" t="s">
        <v>316</v>
      </c>
      <c r="E101" s="284" t="s">
        <v>317</v>
      </c>
      <c r="F101" s="285">
        <f t="shared" si="44"/>
        <v>42.29</v>
      </c>
      <c r="G101" s="285">
        <v>5.4</v>
      </c>
      <c r="H101" s="285"/>
      <c r="I101" s="285">
        <v>6.89</v>
      </c>
      <c r="J101" s="285"/>
      <c r="K101" s="285"/>
      <c r="L101" s="285"/>
      <c r="M101" s="285"/>
      <c r="N101" s="285">
        <v>30</v>
      </c>
      <c r="O101" s="285" t="s">
        <v>1014</v>
      </c>
      <c r="P101" s="285">
        <f t="shared" si="36"/>
        <v>42.29</v>
      </c>
      <c r="Q101" s="285">
        <v>42.29</v>
      </c>
      <c r="R101" s="285"/>
      <c r="S101" s="285"/>
      <c r="T101" s="285"/>
      <c r="U101" s="285"/>
      <c r="V101" s="298">
        <f t="shared" si="45"/>
        <v>0.99</v>
      </c>
      <c r="W101" s="298"/>
      <c r="X101" s="298"/>
      <c r="Y101" s="298">
        <v>-0.24</v>
      </c>
      <c r="Z101" s="298"/>
      <c r="AA101" s="298"/>
      <c r="AB101" s="298">
        <v>1.23</v>
      </c>
      <c r="AC101" s="298"/>
      <c r="AD101" s="298"/>
      <c r="AE101" s="285" t="s">
        <v>1015</v>
      </c>
      <c r="AF101" s="299">
        <f t="shared" si="37"/>
        <v>0.990000000000005</v>
      </c>
      <c r="AG101" s="299">
        <f t="shared" si="38"/>
        <v>-0.239999999999995</v>
      </c>
      <c r="AH101" s="299">
        <f t="shared" si="39"/>
        <v>0</v>
      </c>
      <c r="AI101" s="299">
        <f t="shared" si="40"/>
        <v>1.23</v>
      </c>
      <c r="AJ101" s="299">
        <f t="shared" si="41"/>
        <v>0</v>
      </c>
      <c r="AK101" s="299">
        <f t="shared" si="42"/>
        <v>0</v>
      </c>
      <c r="AL101" s="298">
        <f t="shared" si="46"/>
        <v>43.28</v>
      </c>
      <c r="AM101" s="298">
        <f t="shared" si="47"/>
        <v>5.4</v>
      </c>
      <c r="AN101" s="298">
        <f t="shared" si="48"/>
        <v>0</v>
      </c>
      <c r="AO101" s="298">
        <f t="shared" si="49"/>
        <v>6.65</v>
      </c>
      <c r="AP101" s="298">
        <f t="shared" si="50"/>
        <v>0</v>
      </c>
      <c r="AQ101" s="298">
        <f t="shared" si="51"/>
        <v>0</v>
      </c>
      <c r="AR101" s="298">
        <f t="shared" si="52"/>
        <v>1.23</v>
      </c>
      <c r="AS101" s="298">
        <f t="shared" si="53"/>
        <v>0</v>
      </c>
      <c r="AT101" s="298">
        <f t="shared" si="54"/>
        <v>30</v>
      </c>
      <c r="AU101" s="285">
        <f t="shared" si="43"/>
        <v>43.28</v>
      </c>
      <c r="AV101" s="298">
        <v>42.05</v>
      </c>
      <c r="AW101" s="285"/>
      <c r="AX101" s="285">
        <v>1.23</v>
      </c>
      <c r="AY101" s="285"/>
      <c r="AZ101" s="285"/>
      <c r="BA101" s="285"/>
    </row>
    <row r="102" s="258" customFormat="1" ht="24" spans="1:53">
      <c r="A102" s="283">
        <v>95</v>
      </c>
      <c r="B102" s="284" t="s">
        <v>195</v>
      </c>
      <c r="C102" s="284" t="s">
        <v>199</v>
      </c>
      <c r="D102" s="284" t="s">
        <v>318</v>
      </c>
      <c r="E102" s="284" t="s">
        <v>319</v>
      </c>
      <c r="F102" s="285">
        <f t="shared" si="44"/>
        <v>2.4</v>
      </c>
      <c r="G102" s="285">
        <v>2.4</v>
      </c>
      <c r="H102" s="285"/>
      <c r="I102" s="285"/>
      <c r="J102" s="285"/>
      <c r="K102" s="285"/>
      <c r="L102" s="285"/>
      <c r="M102" s="285"/>
      <c r="N102" s="285"/>
      <c r="O102" s="285"/>
      <c r="P102" s="285">
        <f t="shared" si="36"/>
        <v>2.4</v>
      </c>
      <c r="Q102" s="285">
        <v>2.4</v>
      </c>
      <c r="R102" s="285"/>
      <c r="S102" s="285"/>
      <c r="T102" s="285"/>
      <c r="U102" s="285"/>
      <c r="V102" s="298">
        <f t="shared" si="45"/>
        <v>0</v>
      </c>
      <c r="W102" s="298"/>
      <c r="X102" s="298"/>
      <c r="Y102" s="298"/>
      <c r="Z102" s="298"/>
      <c r="AA102" s="298"/>
      <c r="AB102" s="298"/>
      <c r="AC102" s="298"/>
      <c r="AD102" s="298"/>
      <c r="AE102" s="285"/>
      <c r="AF102" s="299">
        <f t="shared" si="37"/>
        <v>0</v>
      </c>
      <c r="AG102" s="299">
        <f t="shared" si="38"/>
        <v>0</v>
      </c>
      <c r="AH102" s="299">
        <f t="shared" si="39"/>
        <v>0</v>
      </c>
      <c r="AI102" s="299">
        <f t="shared" si="40"/>
        <v>0</v>
      </c>
      <c r="AJ102" s="299">
        <f t="shared" si="41"/>
        <v>0</v>
      </c>
      <c r="AK102" s="299">
        <f t="shared" si="42"/>
        <v>0</v>
      </c>
      <c r="AL102" s="298">
        <f t="shared" si="46"/>
        <v>2.4</v>
      </c>
      <c r="AM102" s="298">
        <f t="shared" si="47"/>
        <v>2.4</v>
      </c>
      <c r="AN102" s="298">
        <f t="shared" si="48"/>
        <v>0</v>
      </c>
      <c r="AO102" s="298">
        <f t="shared" si="49"/>
        <v>0</v>
      </c>
      <c r="AP102" s="298">
        <f t="shared" si="50"/>
        <v>0</v>
      </c>
      <c r="AQ102" s="298">
        <f t="shared" si="51"/>
        <v>0</v>
      </c>
      <c r="AR102" s="298">
        <f t="shared" si="52"/>
        <v>0</v>
      </c>
      <c r="AS102" s="298">
        <f t="shared" si="53"/>
        <v>0</v>
      </c>
      <c r="AT102" s="298">
        <f t="shared" si="54"/>
        <v>0</v>
      </c>
      <c r="AU102" s="285">
        <f t="shared" si="43"/>
        <v>2.4</v>
      </c>
      <c r="AV102" s="298">
        <v>2.4</v>
      </c>
      <c r="AW102" s="285"/>
      <c r="AX102" s="285"/>
      <c r="AY102" s="285"/>
      <c r="AZ102" s="285"/>
      <c r="BA102" s="285"/>
    </row>
    <row r="103" s="258" customFormat="1" ht="24" spans="1:53">
      <c r="A103" s="283">
        <v>96</v>
      </c>
      <c r="B103" s="284" t="s">
        <v>195</v>
      </c>
      <c r="C103" s="284" t="s">
        <v>199</v>
      </c>
      <c r="D103" s="284" t="s">
        <v>320</v>
      </c>
      <c r="E103" s="284" t="s">
        <v>319</v>
      </c>
      <c r="F103" s="285">
        <f t="shared" si="44"/>
        <v>2.4</v>
      </c>
      <c r="G103" s="285">
        <v>2.4</v>
      </c>
      <c r="H103" s="285"/>
      <c r="I103" s="285"/>
      <c r="J103" s="285"/>
      <c r="K103" s="285"/>
      <c r="L103" s="285"/>
      <c r="M103" s="285"/>
      <c r="N103" s="285"/>
      <c r="O103" s="285"/>
      <c r="P103" s="285">
        <f t="shared" si="36"/>
        <v>2.4</v>
      </c>
      <c r="Q103" s="285">
        <v>2.4</v>
      </c>
      <c r="R103" s="285"/>
      <c r="S103" s="285"/>
      <c r="T103" s="285"/>
      <c r="U103" s="285"/>
      <c r="V103" s="298">
        <f t="shared" si="45"/>
        <v>0</v>
      </c>
      <c r="W103" s="298"/>
      <c r="X103" s="298"/>
      <c r="Y103" s="298"/>
      <c r="Z103" s="298"/>
      <c r="AA103" s="298"/>
      <c r="AB103" s="298"/>
      <c r="AC103" s="298"/>
      <c r="AD103" s="298"/>
      <c r="AE103" s="285"/>
      <c r="AF103" s="299">
        <f t="shared" si="37"/>
        <v>0</v>
      </c>
      <c r="AG103" s="299">
        <f t="shared" si="38"/>
        <v>0</v>
      </c>
      <c r="AH103" s="299">
        <f t="shared" si="39"/>
        <v>0</v>
      </c>
      <c r="AI103" s="299">
        <f t="shared" si="40"/>
        <v>0</v>
      </c>
      <c r="AJ103" s="299">
        <f t="shared" si="41"/>
        <v>0</v>
      </c>
      <c r="AK103" s="299">
        <f t="shared" si="42"/>
        <v>0</v>
      </c>
      <c r="AL103" s="298">
        <f t="shared" si="46"/>
        <v>2.4</v>
      </c>
      <c r="AM103" s="298">
        <f t="shared" si="47"/>
        <v>2.4</v>
      </c>
      <c r="AN103" s="298">
        <f t="shared" si="48"/>
        <v>0</v>
      </c>
      <c r="AO103" s="298">
        <f t="shared" si="49"/>
        <v>0</v>
      </c>
      <c r="AP103" s="298">
        <f t="shared" si="50"/>
        <v>0</v>
      </c>
      <c r="AQ103" s="298">
        <f t="shared" si="51"/>
        <v>0</v>
      </c>
      <c r="AR103" s="298">
        <f t="shared" si="52"/>
        <v>0</v>
      </c>
      <c r="AS103" s="298">
        <f t="shared" si="53"/>
        <v>0</v>
      </c>
      <c r="AT103" s="298">
        <f t="shared" si="54"/>
        <v>0</v>
      </c>
      <c r="AU103" s="285">
        <f t="shared" si="43"/>
        <v>2.4</v>
      </c>
      <c r="AV103" s="298">
        <v>2.4</v>
      </c>
      <c r="AW103" s="285"/>
      <c r="AX103" s="285"/>
      <c r="AY103" s="285"/>
      <c r="AZ103" s="285"/>
      <c r="BA103" s="285"/>
    </row>
    <row r="104" s="258" customFormat="1" ht="24" spans="1:53">
      <c r="A104" s="283">
        <v>97</v>
      </c>
      <c r="B104" s="284" t="s">
        <v>195</v>
      </c>
      <c r="C104" s="284" t="s">
        <v>199</v>
      </c>
      <c r="D104" s="284" t="s">
        <v>321</v>
      </c>
      <c r="E104" s="284" t="s">
        <v>319</v>
      </c>
      <c r="F104" s="285">
        <f t="shared" si="44"/>
        <v>3.6</v>
      </c>
      <c r="G104" s="285">
        <v>3.6</v>
      </c>
      <c r="H104" s="285"/>
      <c r="I104" s="285"/>
      <c r="J104" s="285"/>
      <c r="K104" s="285"/>
      <c r="L104" s="285"/>
      <c r="M104" s="285"/>
      <c r="N104" s="285"/>
      <c r="O104" s="285"/>
      <c r="P104" s="285">
        <f t="shared" si="36"/>
        <v>3.6</v>
      </c>
      <c r="Q104" s="285">
        <v>3.6</v>
      </c>
      <c r="R104" s="285"/>
      <c r="S104" s="285"/>
      <c r="T104" s="285"/>
      <c r="U104" s="285"/>
      <c r="V104" s="298">
        <f t="shared" si="45"/>
        <v>0</v>
      </c>
      <c r="W104" s="298"/>
      <c r="X104" s="298"/>
      <c r="Y104" s="298"/>
      <c r="Z104" s="298"/>
      <c r="AA104" s="298"/>
      <c r="AB104" s="298"/>
      <c r="AC104" s="298"/>
      <c r="AD104" s="298"/>
      <c r="AE104" s="285"/>
      <c r="AF104" s="299">
        <f t="shared" si="37"/>
        <v>0</v>
      </c>
      <c r="AG104" s="299">
        <f t="shared" si="38"/>
        <v>0</v>
      </c>
      <c r="AH104" s="299">
        <f t="shared" si="39"/>
        <v>0</v>
      </c>
      <c r="AI104" s="299">
        <f t="shared" si="40"/>
        <v>0</v>
      </c>
      <c r="AJ104" s="299">
        <f t="shared" si="41"/>
        <v>0</v>
      </c>
      <c r="AK104" s="299">
        <f t="shared" si="42"/>
        <v>0</v>
      </c>
      <c r="AL104" s="298">
        <f t="shared" si="46"/>
        <v>3.6</v>
      </c>
      <c r="AM104" s="298">
        <f t="shared" si="47"/>
        <v>3.6</v>
      </c>
      <c r="AN104" s="298">
        <f t="shared" si="48"/>
        <v>0</v>
      </c>
      <c r="AO104" s="298">
        <f t="shared" si="49"/>
        <v>0</v>
      </c>
      <c r="AP104" s="298">
        <f t="shared" si="50"/>
        <v>0</v>
      </c>
      <c r="AQ104" s="298">
        <f t="shared" si="51"/>
        <v>0</v>
      </c>
      <c r="AR104" s="298">
        <f t="shared" si="52"/>
        <v>0</v>
      </c>
      <c r="AS104" s="298">
        <f t="shared" si="53"/>
        <v>0</v>
      </c>
      <c r="AT104" s="298">
        <f t="shared" si="54"/>
        <v>0</v>
      </c>
      <c r="AU104" s="285">
        <f t="shared" si="43"/>
        <v>3.6</v>
      </c>
      <c r="AV104" s="298">
        <v>3.6</v>
      </c>
      <c r="AW104" s="285"/>
      <c r="AX104" s="285"/>
      <c r="AY104" s="285"/>
      <c r="AZ104" s="285"/>
      <c r="BA104" s="285"/>
    </row>
    <row r="105" s="258" customFormat="1" ht="24" spans="1:53">
      <c r="A105" s="283">
        <v>98</v>
      </c>
      <c r="B105" s="284" t="s">
        <v>195</v>
      </c>
      <c r="C105" s="284" t="s">
        <v>199</v>
      </c>
      <c r="D105" s="284" t="s">
        <v>322</v>
      </c>
      <c r="E105" s="284" t="s">
        <v>319</v>
      </c>
      <c r="F105" s="285">
        <f t="shared" si="44"/>
        <v>2.4</v>
      </c>
      <c r="G105" s="285">
        <v>2.4</v>
      </c>
      <c r="H105" s="285"/>
      <c r="I105" s="285"/>
      <c r="J105" s="285"/>
      <c r="K105" s="285"/>
      <c r="L105" s="285"/>
      <c r="M105" s="285"/>
      <c r="N105" s="285"/>
      <c r="O105" s="285"/>
      <c r="P105" s="285">
        <f t="shared" si="36"/>
        <v>2.4</v>
      </c>
      <c r="Q105" s="285">
        <v>2.4</v>
      </c>
      <c r="R105" s="285"/>
      <c r="S105" s="285"/>
      <c r="T105" s="285"/>
      <c r="U105" s="285"/>
      <c r="V105" s="298">
        <f t="shared" si="45"/>
        <v>0</v>
      </c>
      <c r="W105" s="298"/>
      <c r="X105" s="298"/>
      <c r="Y105" s="298"/>
      <c r="Z105" s="298"/>
      <c r="AA105" s="298"/>
      <c r="AB105" s="298"/>
      <c r="AC105" s="298"/>
      <c r="AD105" s="298"/>
      <c r="AE105" s="285"/>
      <c r="AF105" s="299">
        <f t="shared" si="37"/>
        <v>0</v>
      </c>
      <c r="AG105" s="299">
        <f t="shared" si="38"/>
        <v>0</v>
      </c>
      <c r="AH105" s="299">
        <f t="shared" si="39"/>
        <v>0</v>
      </c>
      <c r="AI105" s="299">
        <f t="shared" si="40"/>
        <v>0</v>
      </c>
      <c r="AJ105" s="299">
        <f t="shared" si="41"/>
        <v>0</v>
      </c>
      <c r="AK105" s="299">
        <f t="shared" si="42"/>
        <v>0</v>
      </c>
      <c r="AL105" s="298">
        <f t="shared" si="46"/>
        <v>2.4</v>
      </c>
      <c r="AM105" s="298">
        <f t="shared" si="47"/>
        <v>2.4</v>
      </c>
      <c r="AN105" s="298">
        <f t="shared" si="48"/>
        <v>0</v>
      </c>
      <c r="AO105" s="298">
        <f t="shared" si="49"/>
        <v>0</v>
      </c>
      <c r="AP105" s="298">
        <f t="shared" si="50"/>
        <v>0</v>
      </c>
      <c r="AQ105" s="298">
        <f t="shared" si="51"/>
        <v>0</v>
      </c>
      <c r="AR105" s="298">
        <f t="shared" si="52"/>
        <v>0</v>
      </c>
      <c r="AS105" s="298">
        <f t="shared" si="53"/>
        <v>0</v>
      </c>
      <c r="AT105" s="298">
        <f t="shared" si="54"/>
        <v>0</v>
      </c>
      <c r="AU105" s="285">
        <f t="shared" si="43"/>
        <v>2.4</v>
      </c>
      <c r="AV105" s="298">
        <v>2.4</v>
      </c>
      <c r="AW105" s="285"/>
      <c r="AX105" s="285"/>
      <c r="AY105" s="285"/>
      <c r="AZ105" s="285"/>
      <c r="BA105" s="285"/>
    </row>
    <row r="106" s="258" customFormat="1" ht="36" customHeight="1" spans="1:53">
      <c r="A106" s="283">
        <v>99</v>
      </c>
      <c r="B106" s="284" t="s">
        <v>195</v>
      </c>
      <c r="C106" s="284" t="s">
        <v>196</v>
      </c>
      <c r="D106" s="284" t="s">
        <v>323</v>
      </c>
      <c r="E106" s="284" t="s">
        <v>324</v>
      </c>
      <c r="F106" s="285">
        <f t="shared" ref="F106:F137" si="55">SUM(G106:N106)</f>
        <v>470.05</v>
      </c>
      <c r="G106" s="285">
        <v>122.5</v>
      </c>
      <c r="H106" s="285">
        <v>28.8</v>
      </c>
      <c r="I106" s="285">
        <v>32.75</v>
      </c>
      <c r="J106" s="285"/>
      <c r="K106" s="285">
        <v>286</v>
      </c>
      <c r="L106" s="285" t="s">
        <v>1016</v>
      </c>
      <c r="M106" s="285"/>
      <c r="N106" s="285"/>
      <c r="O106" s="285"/>
      <c r="P106" s="285">
        <f t="shared" si="36"/>
        <v>470.05</v>
      </c>
      <c r="Q106" s="285">
        <v>470.05</v>
      </c>
      <c r="R106" s="285"/>
      <c r="S106" s="285"/>
      <c r="T106" s="285"/>
      <c r="U106" s="285"/>
      <c r="V106" s="298">
        <f t="shared" ref="V106:V137" si="56">SUM(W106:AD106)</f>
        <v>88.11</v>
      </c>
      <c r="W106" s="298"/>
      <c r="X106" s="298"/>
      <c r="Y106" s="298">
        <v>24.11</v>
      </c>
      <c r="Z106" s="298"/>
      <c r="AA106" s="298"/>
      <c r="AB106" s="298">
        <v>64</v>
      </c>
      <c r="AC106" s="298"/>
      <c r="AD106" s="298"/>
      <c r="AE106" s="285" t="s">
        <v>1017</v>
      </c>
      <c r="AF106" s="299">
        <f t="shared" si="37"/>
        <v>88.1100000000001</v>
      </c>
      <c r="AG106" s="299">
        <f t="shared" si="38"/>
        <v>24.1100000000001</v>
      </c>
      <c r="AH106" s="299">
        <f t="shared" si="39"/>
        <v>64</v>
      </c>
      <c r="AI106" s="299">
        <f t="shared" si="40"/>
        <v>0</v>
      </c>
      <c r="AJ106" s="299">
        <f t="shared" si="41"/>
        <v>0</v>
      </c>
      <c r="AK106" s="299">
        <f t="shared" si="42"/>
        <v>0</v>
      </c>
      <c r="AL106" s="298">
        <f t="shared" ref="AL106:AL137" si="57">SUM(AM106:AT106)</f>
        <v>558.16</v>
      </c>
      <c r="AM106" s="298">
        <f t="shared" ref="AM106:AM137" si="58">G106+W106</f>
        <v>122.5</v>
      </c>
      <c r="AN106" s="298">
        <f t="shared" ref="AN106:AN137" si="59">H106+X106</f>
        <v>28.8</v>
      </c>
      <c r="AO106" s="298">
        <f t="shared" ref="AO106:AO137" si="60">I106+Y106</f>
        <v>56.86</v>
      </c>
      <c r="AP106" s="298">
        <f t="shared" ref="AP106:AP137" si="61">J106+Z106</f>
        <v>0</v>
      </c>
      <c r="AQ106" s="298">
        <f t="shared" ref="AQ106:AQ137" si="62">K106+AA106</f>
        <v>286</v>
      </c>
      <c r="AR106" s="298">
        <f t="shared" ref="AR106:AR137" si="63">M106+AB106</f>
        <v>64</v>
      </c>
      <c r="AS106" s="298">
        <f t="shared" si="53"/>
        <v>0</v>
      </c>
      <c r="AT106" s="298">
        <f t="shared" ref="AT106:AT137" si="64">N106+AD106</f>
        <v>0</v>
      </c>
      <c r="AU106" s="285">
        <f t="shared" si="43"/>
        <v>558.16</v>
      </c>
      <c r="AV106" s="298">
        <v>494.16</v>
      </c>
      <c r="AW106" s="285">
        <v>64</v>
      </c>
      <c r="AX106" s="285"/>
      <c r="AY106" s="285"/>
      <c r="AZ106" s="285"/>
      <c r="BA106" s="285">
        <v>422</v>
      </c>
    </row>
    <row r="107" s="258" customFormat="1" ht="24" spans="1:53">
      <c r="A107" s="283">
        <v>100</v>
      </c>
      <c r="B107" s="284" t="s">
        <v>195</v>
      </c>
      <c r="C107" s="284" t="s">
        <v>199</v>
      </c>
      <c r="D107" s="284" t="s">
        <v>325</v>
      </c>
      <c r="E107" s="284" t="s">
        <v>326</v>
      </c>
      <c r="F107" s="285">
        <f t="shared" si="55"/>
        <v>12.5</v>
      </c>
      <c r="G107" s="285">
        <v>12.5</v>
      </c>
      <c r="H107" s="285"/>
      <c r="I107" s="285"/>
      <c r="J107" s="285"/>
      <c r="K107" s="285"/>
      <c r="L107" s="285"/>
      <c r="M107" s="285"/>
      <c r="N107" s="285"/>
      <c r="O107" s="285"/>
      <c r="P107" s="285">
        <f t="shared" si="36"/>
        <v>12.5</v>
      </c>
      <c r="Q107" s="285">
        <v>12.5</v>
      </c>
      <c r="R107" s="285"/>
      <c r="S107" s="285"/>
      <c r="T107" s="285"/>
      <c r="U107" s="285"/>
      <c r="V107" s="298">
        <f t="shared" si="56"/>
        <v>0</v>
      </c>
      <c r="W107" s="298"/>
      <c r="X107" s="298"/>
      <c r="Y107" s="298"/>
      <c r="Z107" s="298"/>
      <c r="AA107" s="298"/>
      <c r="AB107" s="298"/>
      <c r="AC107" s="298"/>
      <c r="AD107" s="298"/>
      <c r="AE107" s="285"/>
      <c r="AF107" s="299">
        <f t="shared" si="37"/>
        <v>0</v>
      </c>
      <c r="AG107" s="299">
        <f t="shared" si="38"/>
        <v>0</v>
      </c>
      <c r="AH107" s="299">
        <f t="shared" si="39"/>
        <v>0</v>
      </c>
      <c r="AI107" s="299">
        <f t="shared" si="40"/>
        <v>0</v>
      </c>
      <c r="AJ107" s="299">
        <f t="shared" si="41"/>
        <v>0</v>
      </c>
      <c r="AK107" s="299">
        <f t="shared" si="42"/>
        <v>0</v>
      </c>
      <c r="AL107" s="298">
        <f t="shared" si="57"/>
        <v>12.5</v>
      </c>
      <c r="AM107" s="298">
        <f t="shared" si="58"/>
        <v>12.5</v>
      </c>
      <c r="AN107" s="298">
        <f t="shared" si="59"/>
        <v>0</v>
      </c>
      <c r="AO107" s="298">
        <f t="shared" si="60"/>
        <v>0</v>
      </c>
      <c r="AP107" s="298">
        <f t="shared" si="61"/>
        <v>0</v>
      </c>
      <c r="AQ107" s="298">
        <f t="shared" si="62"/>
        <v>0</v>
      </c>
      <c r="AR107" s="298">
        <f t="shared" si="63"/>
        <v>0</v>
      </c>
      <c r="AS107" s="298">
        <f t="shared" si="53"/>
        <v>0</v>
      </c>
      <c r="AT107" s="298">
        <f t="shared" si="64"/>
        <v>0</v>
      </c>
      <c r="AU107" s="285">
        <f t="shared" si="43"/>
        <v>12.5</v>
      </c>
      <c r="AV107" s="298">
        <v>12.5</v>
      </c>
      <c r="AW107" s="285"/>
      <c r="AX107" s="285"/>
      <c r="AY107" s="285"/>
      <c r="AZ107" s="285"/>
      <c r="BA107" s="285"/>
    </row>
    <row r="108" s="258" customFormat="1" ht="48" customHeight="1" spans="1:53">
      <c r="A108" s="283">
        <v>101</v>
      </c>
      <c r="B108" s="284" t="s">
        <v>208</v>
      </c>
      <c r="C108" s="284" t="s">
        <v>196</v>
      </c>
      <c r="D108" s="284" t="s">
        <v>327</v>
      </c>
      <c r="E108" s="284" t="s">
        <v>328</v>
      </c>
      <c r="F108" s="285">
        <f t="shared" si="55"/>
        <v>38.53</v>
      </c>
      <c r="G108" s="285">
        <v>13.6</v>
      </c>
      <c r="H108" s="285"/>
      <c r="I108" s="285">
        <v>14.23</v>
      </c>
      <c r="J108" s="285"/>
      <c r="K108" s="285"/>
      <c r="L108" s="285"/>
      <c r="M108" s="285"/>
      <c r="N108" s="285">
        <v>10.7</v>
      </c>
      <c r="O108" s="285" t="s">
        <v>1018</v>
      </c>
      <c r="P108" s="285">
        <f t="shared" si="36"/>
        <v>38.53</v>
      </c>
      <c r="Q108" s="285">
        <v>38.53</v>
      </c>
      <c r="R108" s="285"/>
      <c r="S108" s="285"/>
      <c r="T108" s="285"/>
      <c r="U108" s="285"/>
      <c r="V108" s="298">
        <f t="shared" si="56"/>
        <v>60.86</v>
      </c>
      <c r="W108" s="298"/>
      <c r="X108" s="298"/>
      <c r="Y108" s="298"/>
      <c r="Z108" s="298"/>
      <c r="AA108" s="298"/>
      <c r="AB108" s="298">
        <v>54.86</v>
      </c>
      <c r="AC108" s="298"/>
      <c r="AD108" s="298">
        <v>6</v>
      </c>
      <c r="AE108" s="285" t="s">
        <v>1019</v>
      </c>
      <c r="AF108" s="299">
        <f t="shared" si="37"/>
        <v>60.86</v>
      </c>
      <c r="AG108" s="299">
        <f t="shared" si="38"/>
        <v>6</v>
      </c>
      <c r="AH108" s="299">
        <f t="shared" si="39"/>
        <v>0</v>
      </c>
      <c r="AI108" s="299">
        <f t="shared" si="40"/>
        <v>54.86</v>
      </c>
      <c r="AJ108" s="299">
        <f t="shared" si="41"/>
        <v>0</v>
      </c>
      <c r="AK108" s="299">
        <f t="shared" si="42"/>
        <v>0</v>
      </c>
      <c r="AL108" s="298">
        <f t="shared" si="57"/>
        <v>99.39</v>
      </c>
      <c r="AM108" s="298">
        <f t="shared" si="58"/>
        <v>13.6</v>
      </c>
      <c r="AN108" s="298">
        <f t="shared" si="59"/>
        <v>0</v>
      </c>
      <c r="AO108" s="298">
        <f t="shared" si="60"/>
        <v>14.23</v>
      </c>
      <c r="AP108" s="298">
        <f t="shared" si="61"/>
        <v>0</v>
      </c>
      <c r="AQ108" s="298">
        <f t="shared" si="62"/>
        <v>0</v>
      </c>
      <c r="AR108" s="298">
        <f t="shared" si="63"/>
        <v>54.86</v>
      </c>
      <c r="AS108" s="298">
        <f t="shared" si="53"/>
        <v>0</v>
      </c>
      <c r="AT108" s="298">
        <f t="shared" si="64"/>
        <v>16.7</v>
      </c>
      <c r="AU108" s="285">
        <f t="shared" si="43"/>
        <v>99.39</v>
      </c>
      <c r="AV108" s="298">
        <v>44.53</v>
      </c>
      <c r="AW108" s="285"/>
      <c r="AX108" s="285">
        <v>54.86</v>
      </c>
      <c r="AY108" s="285"/>
      <c r="AZ108" s="285"/>
      <c r="BA108" s="285">
        <v>197</v>
      </c>
    </row>
    <row r="109" s="258" customFormat="1" ht="93" customHeight="1" spans="1:53">
      <c r="A109" s="283">
        <v>102</v>
      </c>
      <c r="B109" s="284" t="s">
        <v>208</v>
      </c>
      <c r="C109" s="284" t="s">
        <v>196</v>
      </c>
      <c r="D109" s="284" t="s">
        <v>330</v>
      </c>
      <c r="E109" s="284" t="s">
        <v>328</v>
      </c>
      <c r="F109" s="285">
        <f t="shared" si="55"/>
        <v>387.62</v>
      </c>
      <c r="G109" s="285">
        <v>4.8</v>
      </c>
      <c r="H109" s="285"/>
      <c r="I109" s="285">
        <v>5.7</v>
      </c>
      <c r="J109" s="285"/>
      <c r="K109" s="285"/>
      <c r="L109" s="285"/>
      <c r="M109" s="285"/>
      <c r="N109" s="285">
        <v>377.12</v>
      </c>
      <c r="O109" s="285" t="s">
        <v>1020</v>
      </c>
      <c r="P109" s="285">
        <f t="shared" si="36"/>
        <v>387.62</v>
      </c>
      <c r="Q109" s="285">
        <v>387.62</v>
      </c>
      <c r="R109" s="285"/>
      <c r="S109" s="285"/>
      <c r="T109" s="285"/>
      <c r="U109" s="285"/>
      <c r="V109" s="298">
        <f t="shared" si="56"/>
        <v>-28.2992</v>
      </c>
      <c r="W109" s="298"/>
      <c r="X109" s="298"/>
      <c r="Y109" s="298"/>
      <c r="Z109" s="298"/>
      <c r="AA109" s="298"/>
      <c r="AB109" s="298">
        <v>27.38</v>
      </c>
      <c r="AC109" s="298"/>
      <c r="AD109" s="298">
        <f>2.9208-62.4+3.8</f>
        <v>-55.6792</v>
      </c>
      <c r="AE109" s="285" t="s">
        <v>1021</v>
      </c>
      <c r="AF109" s="299">
        <f t="shared" si="37"/>
        <v>-28.2992</v>
      </c>
      <c r="AG109" s="299">
        <f t="shared" si="38"/>
        <v>-55.6792</v>
      </c>
      <c r="AH109" s="299">
        <f t="shared" si="39"/>
        <v>0</v>
      </c>
      <c r="AI109" s="299">
        <f t="shared" si="40"/>
        <v>27.38</v>
      </c>
      <c r="AJ109" s="299">
        <f t="shared" si="41"/>
        <v>0</v>
      </c>
      <c r="AK109" s="299">
        <f t="shared" si="42"/>
        <v>0</v>
      </c>
      <c r="AL109" s="298">
        <f t="shared" si="57"/>
        <v>359.3208</v>
      </c>
      <c r="AM109" s="298">
        <f t="shared" si="58"/>
        <v>4.8</v>
      </c>
      <c r="AN109" s="298">
        <f t="shared" si="59"/>
        <v>0</v>
      </c>
      <c r="AO109" s="298">
        <f t="shared" si="60"/>
        <v>5.7</v>
      </c>
      <c r="AP109" s="298">
        <f t="shared" si="61"/>
        <v>0</v>
      </c>
      <c r="AQ109" s="298">
        <f t="shared" si="62"/>
        <v>0</v>
      </c>
      <c r="AR109" s="298">
        <f t="shared" si="63"/>
        <v>27.38</v>
      </c>
      <c r="AS109" s="298">
        <f t="shared" si="53"/>
        <v>0</v>
      </c>
      <c r="AT109" s="298">
        <f t="shared" si="64"/>
        <v>321.4408</v>
      </c>
      <c r="AU109" s="285">
        <f t="shared" si="43"/>
        <v>359.3208</v>
      </c>
      <c r="AV109" s="298">
        <v>331.9408</v>
      </c>
      <c r="AW109" s="285"/>
      <c r="AX109" s="285">
        <v>27.38</v>
      </c>
      <c r="AY109" s="285"/>
      <c r="AZ109" s="285"/>
      <c r="BA109" s="285">
        <v>100</v>
      </c>
    </row>
    <row r="110" s="258" customFormat="1" ht="24" spans="1:53">
      <c r="A110" s="283">
        <v>103</v>
      </c>
      <c r="B110" s="284" t="s">
        <v>208</v>
      </c>
      <c r="C110" s="284" t="s">
        <v>199</v>
      </c>
      <c r="D110" s="284" t="s">
        <v>331</v>
      </c>
      <c r="E110" s="284" t="s">
        <v>332</v>
      </c>
      <c r="F110" s="285">
        <f t="shared" si="55"/>
        <v>7.2</v>
      </c>
      <c r="G110" s="285">
        <v>7.2</v>
      </c>
      <c r="H110" s="285"/>
      <c r="I110" s="285"/>
      <c r="J110" s="285"/>
      <c r="K110" s="285"/>
      <c r="L110" s="285"/>
      <c r="M110" s="285"/>
      <c r="N110" s="285"/>
      <c r="O110" s="285"/>
      <c r="P110" s="285">
        <f t="shared" si="36"/>
        <v>7.2</v>
      </c>
      <c r="Q110" s="285">
        <v>7.2</v>
      </c>
      <c r="R110" s="285"/>
      <c r="S110" s="285"/>
      <c r="T110" s="285"/>
      <c r="U110" s="285"/>
      <c r="V110" s="298">
        <f t="shared" si="56"/>
        <v>0</v>
      </c>
      <c r="W110" s="298"/>
      <c r="X110" s="298"/>
      <c r="Y110" s="298"/>
      <c r="Z110" s="298"/>
      <c r="AA110" s="298"/>
      <c r="AB110" s="298"/>
      <c r="AC110" s="298"/>
      <c r="AD110" s="298"/>
      <c r="AE110" s="285"/>
      <c r="AF110" s="299">
        <f t="shared" si="37"/>
        <v>0</v>
      </c>
      <c r="AG110" s="299">
        <f t="shared" si="38"/>
        <v>0</v>
      </c>
      <c r="AH110" s="299">
        <f t="shared" si="39"/>
        <v>0</v>
      </c>
      <c r="AI110" s="299">
        <f t="shared" si="40"/>
        <v>0</v>
      </c>
      <c r="AJ110" s="299">
        <f t="shared" si="41"/>
        <v>0</v>
      </c>
      <c r="AK110" s="299">
        <f t="shared" si="42"/>
        <v>0</v>
      </c>
      <c r="AL110" s="298">
        <f t="shared" si="57"/>
        <v>7.2</v>
      </c>
      <c r="AM110" s="298">
        <f t="shared" si="58"/>
        <v>7.2</v>
      </c>
      <c r="AN110" s="298">
        <f t="shared" si="59"/>
        <v>0</v>
      </c>
      <c r="AO110" s="298">
        <f t="shared" si="60"/>
        <v>0</v>
      </c>
      <c r="AP110" s="298">
        <f t="shared" si="61"/>
        <v>0</v>
      </c>
      <c r="AQ110" s="298">
        <f t="shared" si="62"/>
        <v>0</v>
      </c>
      <c r="AR110" s="298">
        <f t="shared" si="63"/>
        <v>0</v>
      </c>
      <c r="AS110" s="298">
        <f t="shared" si="53"/>
        <v>0</v>
      </c>
      <c r="AT110" s="298">
        <f t="shared" si="64"/>
        <v>0</v>
      </c>
      <c r="AU110" s="285">
        <f t="shared" si="43"/>
        <v>7.2</v>
      </c>
      <c r="AV110" s="298">
        <v>7.2</v>
      </c>
      <c r="AW110" s="285"/>
      <c r="AX110" s="285"/>
      <c r="AY110" s="285"/>
      <c r="AZ110" s="285"/>
      <c r="BA110" s="285"/>
    </row>
    <row r="111" s="258" customFormat="1" ht="24" spans="1:53">
      <c r="A111" s="283">
        <v>104</v>
      </c>
      <c r="B111" s="284" t="s">
        <v>208</v>
      </c>
      <c r="C111" s="284" t="s">
        <v>199</v>
      </c>
      <c r="D111" s="284" t="s">
        <v>333</v>
      </c>
      <c r="E111" s="284" t="s">
        <v>332</v>
      </c>
      <c r="F111" s="285">
        <f t="shared" si="55"/>
        <v>6</v>
      </c>
      <c r="G111" s="285">
        <v>6</v>
      </c>
      <c r="H111" s="285"/>
      <c r="I111" s="285"/>
      <c r="J111" s="285"/>
      <c r="K111" s="285"/>
      <c r="L111" s="285"/>
      <c r="M111" s="285"/>
      <c r="N111" s="285"/>
      <c r="O111" s="285"/>
      <c r="P111" s="285">
        <f t="shared" si="36"/>
        <v>6</v>
      </c>
      <c r="Q111" s="285">
        <v>6</v>
      </c>
      <c r="R111" s="285"/>
      <c r="S111" s="285"/>
      <c r="T111" s="285"/>
      <c r="U111" s="285"/>
      <c r="V111" s="298">
        <f t="shared" si="56"/>
        <v>0</v>
      </c>
      <c r="W111" s="298"/>
      <c r="X111" s="298"/>
      <c r="Y111" s="298"/>
      <c r="Z111" s="298"/>
      <c r="AA111" s="298"/>
      <c r="AB111" s="298"/>
      <c r="AC111" s="298"/>
      <c r="AD111" s="298"/>
      <c r="AE111" s="285"/>
      <c r="AF111" s="299">
        <f t="shared" si="37"/>
        <v>0</v>
      </c>
      <c r="AG111" s="299">
        <f t="shared" si="38"/>
        <v>0</v>
      </c>
      <c r="AH111" s="299">
        <f t="shared" si="39"/>
        <v>0</v>
      </c>
      <c r="AI111" s="299">
        <f t="shared" si="40"/>
        <v>0</v>
      </c>
      <c r="AJ111" s="299">
        <f t="shared" si="41"/>
        <v>0</v>
      </c>
      <c r="AK111" s="299">
        <f t="shared" si="42"/>
        <v>0</v>
      </c>
      <c r="AL111" s="298">
        <f t="shared" si="57"/>
        <v>6</v>
      </c>
      <c r="AM111" s="298">
        <f t="shared" si="58"/>
        <v>6</v>
      </c>
      <c r="AN111" s="298">
        <f t="shared" si="59"/>
        <v>0</v>
      </c>
      <c r="AO111" s="298">
        <f t="shared" si="60"/>
        <v>0</v>
      </c>
      <c r="AP111" s="298">
        <f t="shared" si="61"/>
        <v>0</v>
      </c>
      <c r="AQ111" s="298">
        <f t="shared" si="62"/>
        <v>0</v>
      </c>
      <c r="AR111" s="298">
        <f t="shared" si="63"/>
        <v>0</v>
      </c>
      <c r="AS111" s="298">
        <f t="shared" si="53"/>
        <v>0</v>
      </c>
      <c r="AT111" s="298">
        <f t="shared" si="64"/>
        <v>0</v>
      </c>
      <c r="AU111" s="285">
        <f t="shared" si="43"/>
        <v>6</v>
      </c>
      <c r="AV111" s="298">
        <v>6</v>
      </c>
      <c r="AW111" s="285"/>
      <c r="AX111" s="285"/>
      <c r="AY111" s="285"/>
      <c r="AZ111" s="285"/>
      <c r="BA111" s="285"/>
    </row>
    <row r="112" s="258" customFormat="1" ht="24" spans="1:53">
      <c r="A112" s="283">
        <v>105</v>
      </c>
      <c r="B112" s="284" t="s">
        <v>208</v>
      </c>
      <c r="C112" s="284" t="s">
        <v>199</v>
      </c>
      <c r="D112" s="284" t="s">
        <v>334</v>
      </c>
      <c r="E112" s="284" t="s">
        <v>332</v>
      </c>
      <c r="F112" s="285">
        <f t="shared" si="55"/>
        <v>1.8</v>
      </c>
      <c r="G112" s="285">
        <v>1.8</v>
      </c>
      <c r="H112" s="285"/>
      <c r="I112" s="285"/>
      <c r="J112" s="285"/>
      <c r="K112" s="285"/>
      <c r="L112" s="285"/>
      <c r="M112" s="285"/>
      <c r="N112" s="285"/>
      <c r="O112" s="285"/>
      <c r="P112" s="285">
        <f t="shared" si="36"/>
        <v>1.8</v>
      </c>
      <c r="Q112" s="285">
        <v>1.8</v>
      </c>
      <c r="R112" s="285"/>
      <c r="S112" s="285"/>
      <c r="T112" s="285"/>
      <c r="U112" s="285"/>
      <c r="V112" s="298">
        <f t="shared" si="56"/>
        <v>0</v>
      </c>
      <c r="W112" s="298"/>
      <c r="X112" s="298"/>
      <c r="Y112" s="298"/>
      <c r="Z112" s="298"/>
      <c r="AA112" s="298"/>
      <c r="AB112" s="298"/>
      <c r="AC112" s="298"/>
      <c r="AD112" s="298"/>
      <c r="AE112" s="285"/>
      <c r="AF112" s="299">
        <f t="shared" si="37"/>
        <v>0</v>
      </c>
      <c r="AG112" s="299">
        <f t="shared" si="38"/>
        <v>0</v>
      </c>
      <c r="AH112" s="299">
        <f t="shared" si="39"/>
        <v>0</v>
      </c>
      <c r="AI112" s="299">
        <f t="shared" si="40"/>
        <v>0</v>
      </c>
      <c r="AJ112" s="299">
        <f t="shared" si="41"/>
        <v>0</v>
      </c>
      <c r="AK112" s="299">
        <f t="shared" si="42"/>
        <v>0</v>
      </c>
      <c r="AL112" s="298">
        <f t="shared" si="57"/>
        <v>1.8</v>
      </c>
      <c r="AM112" s="298">
        <f t="shared" si="58"/>
        <v>1.8</v>
      </c>
      <c r="AN112" s="298">
        <f t="shared" si="59"/>
        <v>0</v>
      </c>
      <c r="AO112" s="298">
        <f t="shared" si="60"/>
        <v>0</v>
      </c>
      <c r="AP112" s="298">
        <f t="shared" si="61"/>
        <v>0</v>
      </c>
      <c r="AQ112" s="298">
        <f t="shared" si="62"/>
        <v>0</v>
      </c>
      <c r="AR112" s="298">
        <f t="shared" si="63"/>
        <v>0</v>
      </c>
      <c r="AS112" s="298">
        <f t="shared" si="53"/>
        <v>0</v>
      </c>
      <c r="AT112" s="298">
        <f t="shared" si="64"/>
        <v>0</v>
      </c>
      <c r="AU112" s="285">
        <f t="shared" si="43"/>
        <v>1.8</v>
      </c>
      <c r="AV112" s="298">
        <v>1.8</v>
      </c>
      <c r="AW112" s="285"/>
      <c r="AX112" s="285"/>
      <c r="AY112" s="285"/>
      <c r="AZ112" s="285"/>
      <c r="BA112" s="285"/>
    </row>
    <row r="113" s="258" customFormat="1" ht="24" spans="1:53">
      <c r="A113" s="283">
        <v>106</v>
      </c>
      <c r="B113" s="284" t="s">
        <v>208</v>
      </c>
      <c r="C113" s="284" t="s">
        <v>199</v>
      </c>
      <c r="D113" s="284" t="s">
        <v>335</v>
      </c>
      <c r="E113" s="284" t="s">
        <v>332</v>
      </c>
      <c r="F113" s="285">
        <f t="shared" si="55"/>
        <v>4.2</v>
      </c>
      <c r="G113" s="285">
        <v>4.2</v>
      </c>
      <c r="H113" s="285"/>
      <c r="I113" s="285"/>
      <c r="J113" s="285"/>
      <c r="K113" s="285"/>
      <c r="L113" s="285"/>
      <c r="M113" s="285"/>
      <c r="N113" s="285"/>
      <c r="O113" s="285"/>
      <c r="P113" s="285">
        <f t="shared" si="36"/>
        <v>4.2</v>
      </c>
      <c r="Q113" s="285">
        <v>4.2</v>
      </c>
      <c r="R113" s="285"/>
      <c r="S113" s="285"/>
      <c r="T113" s="285"/>
      <c r="U113" s="285"/>
      <c r="V113" s="298">
        <f t="shared" si="56"/>
        <v>0</v>
      </c>
      <c r="W113" s="298"/>
      <c r="X113" s="298"/>
      <c r="Y113" s="298"/>
      <c r="Z113" s="298"/>
      <c r="AA113" s="298"/>
      <c r="AB113" s="298"/>
      <c r="AC113" s="298"/>
      <c r="AD113" s="298"/>
      <c r="AE113" s="285"/>
      <c r="AF113" s="299">
        <f t="shared" si="37"/>
        <v>0</v>
      </c>
      <c r="AG113" s="299">
        <f t="shared" si="38"/>
        <v>0</v>
      </c>
      <c r="AH113" s="299">
        <f t="shared" si="39"/>
        <v>0</v>
      </c>
      <c r="AI113" s="299">
        <f t="shared" si="40"/>
        <v>0</v>
      </c>
      <c r="AJ113" s="299">
        <f t="shared" si="41"/>
        <v>0</v>
      </c>
      <c r="AK113" s="299">
        <f t="shared" si="42"/>
        <v>0</v>
      </c>
      <c r="AL113" s="298">
        <f t="shared" si="57"/>
        <v>4.2</v>
      </c>
      <c r="AM113" s="298">
        <f t="shared" si="58"/>
        <v>4.2</v>
      </c>
      <c r="AN113" s="298">
        <f t="shared" si="59"/>
        <v>0</v>
      </c>
      <c r="AO113" s="298">
        <f t="shared" si="60"/>
        <v>0</v>
      </c>
      <c r="AP113" s="298">
        <f t="shared" si="61"/>
        <v>0</v>
      </c>
      <c r="AQ113" s="298">
        <f t="shared" si="62"/>
        <v>0</v>
      </c>
      <c r="AR113" s="298">
        <f t="shared" si="63"/>
        <v>0</v>
      </c>
      <c r="AS113" s="298">
        <f t="shared" si="53"/>
        <v>0</v>
      </c>
      <c r="AT113" s="298">
        <f t="shared" si="64"/>
        <v>0</v>
      </c>
      <c r="AU113" s="285">
        <f t="shared" si="43"/>
        <v>4.2</v>
      </c>
      <c r="AV113" s="298">
        <v>4.2</v>
      </c>
      <c r="AW113" s="285"/>
      <c r="AX113" s="285"/>
      <c r="AY113" s="285"/>
      <c r="AZ113" s="285"/>
      <c r="BA113" s="285"/>
    </row>
    <row r="114" s="258" customFormat="1" ht="24" spans="1:53">
      <c r="A114" s="283">
        <v>107</v>
      </c>
      <c r="B114" s="284" t="s">
        <v>208</v>
      </c>
      <c r="C114" s="284" t="s">
        <v>199</v>
      </c>
      <c r="D114" s="284" t="s">
        <v>336</v>
      </c>
      <c r="E114" s="284" t="s">
        <v>332</v>
      </c>
      <c r="F114" s="285">
        <f t="shared" si="55"/>
        <v>1.8</v>
      </c>
      <c r="G114" s="285">
        <v>1.8</v>
      </c>
      <c r="H114" s="285"/>
      <c r="I114" s="285"/>
      <c r="J114" s="285"/>
      <c r="K114" s="285"/>
      <c r="L114" s="285"/>
      <c r="M114" s="285"/>
      <c r="N114" s="285"/>
      <c r="O114" s="285"/>
      <c r="P114" s="285">
        <f t="shared" si="36"/>
        <v>1.8</v>
      </c>
      <c r="Q114" s="285">
        <v>1.8</v>
      </c>
      <c r="R114" s="285"/>
      <c r="S114" s="285"/>
      <c r="T114" s="285"/>
      <c r="U114" s="285"/>
      <c r="V114" s="298">
        <f t="shared" si="56"/>
        <v>0</v>
      </c>
      <c r="W114" s="298"/>
      <c r="X114" s="298"/>
      <c r="Y114" s="298"/>
      <c r="Z114" s="298"/>
      <c r="AA114" s="298"/>
      <c r="AB114" s="298"/>
      <c r="AC114" s="298"/>
      <c r="AD114" s="298"/>
      <c r="AE114" s="285"/>
      <c r="AF114" s="299">
        <f t="shared" si="37"/>
        <v>0</v>
      </c>
      <c r="AG114" s="299">
        <f t="shared" si="38"/>
        <v>0</v>
      </c>
      <c r="AH114" s="299">
        <f t="shared" si="39"/>
        <v>0</v>
      </c>
      <c r="AI114" s="299">
        <f t="shared" si="40"/>
        <v>0</v>
      </c>
      <c r="AJ114" s="299">
        <f t="shared" si="41"/>
        <v>0</v>
      </c>
      <c r="AK114" s="299">
        <f t="shared" si="42"/>
        <v>0</v>
      </c>
      <c r="AL114" s="298">
        <f t="shared" si="57"/>
        <v>1.8</v>
      </c>
      <c r="AM114" s="298">
        <f t="shared" si="58"/>
        <v>1.8</v>
      </c>
      <c r="AN114" s="298">
        <f t="shared" si="59"/>
        <v>0</v>
      </c>
      <c r="AO114" s="298">
        <f t="shared" si="60"/>
        <v>0</v>
      </c>
      <c r="AP114" s="298">
        <f t="shared" si="61"/>
        <v>0</v>
      </c>
      <c r="AQ114" s="298">
        <f t="shared" si="62"/>
        <v>0</v>
      </c>
      <c r="AR114" s="298">
        <f t="shared" si="63"/>
        <v>0</v>
      </c>
      <c r="AS114" s="298">
        <f t="shared" si="53"/>
        <v>0</v>
      </c>
      <c r="AT114" s="298">
        <f t="shared" si="64"/>
        <v>0</v>
      </c>
      <c r="AU114" s="285">
        <f t="shared" si="43"/>
        <v>1.8</v>
      </c>
      <c r="AV114" s="298">
        <v>1.8</v>
      </c>
      <c r="AW114" s="285"/>
      <c r="AX114" s="285"/>
      <c r="AY114" s="285"/>
      <c r="AZ114" s="285"/>
      <c r="BA114" s="285"/>
    </row>
    <row r="115" s="258" customFormat="1" ht="24" spans="1:53">
      <c r="A115" s="283">
        <v>108</v>
      </c>
      <c r="B115" s="284" t="s">
        <v>208</v>
      </c>
      <c r="C115" s="284" t="s">
        <v>199</v>
      </c>
      <c r="D115" s="284" t="s">
        <v>339</v>
      </c>
      <c r="E115" s="284" t="s">
        <v>332</v>
      </c>
      <c r="F115" s="285">
        <f t="shared" si="55"/>
        <v>5.4</v>
      </c>
      <c r="G115" s="285">
        <v>5.4</v>
      </c>
      <c r="H115" s="285"/>
      <c r="I115" s="285"/>
      <c r="J115" s="285"/>
      <c r="K115" s="285"/>
      <c r="L115" s="285"/>
      <c r="M115" s="285"/>
      <c r="N115" s="285"/>
      <c r="O115" s="285"/>
      <c r="P115" s="285">
        <f t="shared" si="36"/>
        <v>5.4</v>
      </c>
      <c r="Q115" s="285">
        <v>5.4</v>
      </c>
      <c r="R115" s="285"/>
      <c r="S115" s="285"/>
      <c r="T115" s="285"/>
      <c r="U115" s="285"/>
      <c r="V115" s="298">
        <f t="shared" si="56"/>
        <v>0</v>
      </c>
      <c r="W115" s="298"/>
      <c r="X115" s="298"/>
      <c r="Y115" s="298"/>
      <c r="Z115" s="298"/>
      <c r="AA115" s="298"/>
      <c r="AB115" s="298"/>
      <c r="AC115" s="298"/>
      <c r="AD115" s="298"/>
      <c r="AE115" s="285"/>
      <c r="AF115" s="299">
        <f t="shared" si="37"/>
        <v>0</v>
      </c>
      <c r="AG115" s="299">
        <f t="shared" si="38"/>
        <v>0</v>
      </c>
      <c r="AH115" s="299">
        <f t="shared" si="39"/>
        <v>0</v>
      </c>
      <c r="AI115" s="299">
        <f t="shared" si="40"/>
        <v>0</v>
      </c>
      <c r="AJ115" s="299">
        <f t="shared" si="41"/>
        <v>0</v>
      </c>
      <c r="AK115" s="299">
        <f t="shared" si="42"/>
        <v>0</v>
      </c>
      <c r="AL115" s="298">
        <f t="shared" si="57"/>
        <v>5.4</v>
      </c>
      <c r="AM115" s="298">
        <f t="shared" si="58"/>
        <v>5.4</v>
      </c>
      <c r="AN115" s="298">
        <f t="shared" si="59"/>
        <v>0</v>
      </c>
      <c r="AO115" s="298">
        <f t="shared" si="60"/>
        <v>0</v>
      </c>
      <c r="AP115" s="298">
        <f t="shared" si="61"/>
        <v>0</v>
      </c>
      <c r="AQ115" s="298">
        <f t="shared" si="62"/>
        <v>0</v>
      </c>
      <c r="AR115" s="298">
        <f t="shared" si="63"/>
        <v>0</v>
      </c>
      <c r="AS115" s="298">
        <f t="shared" si="53"/>
        <v>0</v>
      </c>
      <c r="AT115" s="298">
        <f t="shared" si="64"/>
        <v>0</v>
      </c>
      <c r="AU115" s="285">
        <f t="shared" si="43"/>
        <v>5.4</v>
      </c>
      <c r="AV115" s="298">
        <v>5.4</v>
      </c>
      <c r="AW115" s="285"/>
      <c r="AX115" s="285"/>
      <c r="AY115" s="285"/>
      <c r="AZ115" s="285"/>
      <c r="BA115" s="285"/>
    </row>
    <row r="116" s="258" customFormat="1" ht="24" spans="1:53">
      <c r="A116" s="283">
        <v>109</v>
      </c>
      <c r="B116" s="284" t="s">
        <v>208</v>
      </c>
      <c r="C116" s="284" t="s">
        <v>199</v>
      </c>
      <c r="D116" s="284" t="s">
        <v>340</v>
      </c>
      <c r="E116" s="284" t="s">
        <v>332</v>
      </c>
      <c r="F116" s="285">
        <f t="shared" si="55"/>
        <v>2.4</v>
      </c>
      <c r="G116" s="285">
        <v>2.4</v>
      </c>
      <c r="H116" s="285"/>
      <c r="I116" s="285"/>
      <c r="J116" s="285"/>
      <c r="K116" s="285"/>
      <c r="L116" s="285"/>
      <c r="M116" s="285"/>
      <c r="N116" s="285"/>
      <c r="O116" s="285"/>
      <c r="P116" s="285">
        <f t="shared" si="36"/>
        <v>2.4</v>
      </c>
      <c r="Q116" s="285">
        <v>2.4</v>
      </c>
      <c r="R116" s="285"/>
      <c r="S116" s="285"/>
      <c r="T116" s="285"/>
      <c r="U116" s="285"/>
      <c r="V116" s="298">
        <f t="shared" si="56"/>
        <v>0</v>
      </c>
      <c r="W116" s="298"/>
      <c r="X116" s="298"/>
      <c r="Y116" s="298"/>
      <c r="Z116" s="298"/>
      <c r="AA116" s="298"/>
      <c r="AB116" s="298"/>
      <c r="AC116" s="298"/>
      <c r="AD116" s="298"/>
      <c r="AE116" s="285"/>
      <c r="AF116" s="299">
        <f t="shared" si="37"/>
        <v>0</v>
      </c>
      <c r="AG116" s="299">
        <f t="shared" si="38"/>
        <v>0</v>
      </c>
      <c r="AH116" s="299">
        <f t="shared" si="39"/>
        <v>0</v>
      </c>
      <c r="AI116" s="299">
        <f t="shared" si="40"/>
        <v>0</v>
      </c>
      <c r="AJ116" s="299">
        <f t="shared" si="41"/>
        <v>0</v>
      </c>
      <c r="AK116" s="299">
        <f t="shared" si="42"/>
        <v>0</v>
      </c>
      <c r="AL116" s="298">
        <f t="shared" si="57"/>
        <v>2.4</v>
      </c>
      <c r="AM116" s="298">
        <f t="shared" si="58"/>
        <v>2.4</v>
      </c>
      <c r="AN116" s="298">
        <f t="shared" si="59"/>
        <v>0</v>
      </c>
      <c r="AO116" s="298">
        <f t="shared" si="60"/>
        <v>0</v>
      </c>
      <c r="AP116" s="298">
        <f t="shared" si="61"/>
        <v>0</v>
      </c>
      <c r="AQ116" s="298">
        <f t="shared" si="62"/>
        <v>0</v>
      </c>
      <c r="AR116" s="298">
        <f t="shared" si="63"/>
        <v>0</v>
      </c>
      <c r="AS116" s="298">
        <f t="shared" si="53"/>
        <v>0</v>
      </c>
      <c r="AT116" s="298">
        <f t="shared" si="64"/>
        <v>0</v>
      </c>
      <c r="AU116" s="285">
        <f t="shared" si="43"/>
        <v>2.4</v>
      </c>
      <c r="AV116" s="298">
        <v>2.4</v>
      </c>
      <c r="AW116" s="285"/>
      <c r="AX116" s="285"/>
      <c r="AY116" s="285"/>
      <c r="AZ116" s="285"/>
      <c r="BA116" s="285"/>
    </row>
    <row r="117" s="258" customFormat="1" ht="24" spans="1:53">
      <c r="A117" s="283">
        <v>110</v>
      </c>
      <c r="B117" s="284" t="s">
        <v>208</v>
      </c>
      <c r="C117" s="284" t="s">
        <v>199</v>
      </c>
      <c r="D117" s="284" t="s">
        <v>341</v>
      </c>
      <c r="E117" s="284" t="s">
        <v>332</v>
      </c>
      <c r="F117" s="285">
        <f t="shared" si="55"/>
        <v>3.6</v>
      </c>
      <c r="G117" s="285">
        <v>3.6</v>
      </c>
      <c r="H117" s="285"/>
      <c r="I117" s="285"/>
      <c r="J117" s="285"/>
      <c r="K117" s="285"/>
      <c r="L117" s="285"/>
      <c r="M117" s="285"/>
      <c r="N117" s="285"/>
      <c r="O117" s="285"/>
      <c r="P117" s="285">
        <f t="shared" si="36"/>
        <v>3.6</v>
      </c>
      <c r="Q117" s="285">
        <v>3.6</v>
      </c>
      <c r="R117" s="285"/>
      <c r="S117" s="285"/>
      <c r="T117" s="285"/>
      <c r="U117" s="285"/>
      <c r="V117" s="298">
        <f t="shared" si="56"/>
        <v>0</v>
      </c>
      <c r="W117" s="298"/>
      <c r="X117" s="298"/>
      <c r="Y117" s="298"/>
      <c r="Z117" s="298"/>
      <c r="AA117" s="298"/>
      <c r="AB117" s="298"/>
      <c r="AC117" s="298"/>
      <c r="AD117" s="298"/>
      <c r="AE117" s="285"/>
      <c r="AF117" s="299">
        <f t="shared" si="37"/>
        <v>0</v>
      </c>
      <c r="AG117" s="299">
        <f t="shared" si="38"/>
        <v>0</v>
      </c>
      <c r="AH117" s="299">
        <f t="shared" si="39"/>
        <v>0</v>
      </c>
      <c r="AI117" s="299">
        <f t="shared" si="40"/>
        <v>0</v>
      </c>
      <c r="AJ117" s="299">
        <f t="shared" si="41"/>
        <v>0</v>
      </c>
      <c r="AK117" s="299">
        <f t="shared" si="42"/>
        <v>0</v>
      </c>
      <c r="AL117" s="298">
        <f t="shared" si="57"/>
        <v>3.6</v>
      </c>
      <c r="AM117" s="298">
        <f t="shared" si="58"/>
        <v>3.6</v>
      </c>
      <c r="AN117" s="298">
        <f t="shared" si="59"/>
        <v>0</v>
      </c>
      <c r="AO117" s="298">
        <f t="shared" si="60"/>
        <v>0</v>
      </c>
      <c r="AP117" s="298">
        <f t="shared" si="61"/>
        <v>0</v>
      </c>
      <c r="AQ117" s="298">
        <f t="shared" si="62"/>
        <v>0</v>
      </c>
      <c r="AR117" s="298">
        <f t="shared" si="63"/>
        <v>0</v>
      </c>
      <c r="AS117" s="298">
        <f t="shared" si="53"/>
        <v>0</v>
      </c>
      <c r="AT117" s="298">
        <f t="shared" si="64"/>
        <v>0</v>
      </c>
      <c r="AU117" s="285">
        <f t="shared" si="43"/>
        <v>3.6</v>
      </c>
      <c r="AV117" s="298">
        <v>3.6</v>
      </c>
      <c r="AW117" s="285"/>
      <c r="AX117" s="285"/>
      <c r="AY117" s="285"/>
      <c r="AZ117" s="285"/>
      <c r="BA117" s="285"/>
    </row>
    <row r="118" s="258" customFormat="1" ht="36" spans="1:53">
      <c r="A118" s="283">
        <v>111</v>
      </c>
      <c r="B118" s="284" t="s">
        <v>290</v>
      </c>
      <c r="C118" s="284" t="s">
        <v>196</v>
      </c>
      <c r="D118" s="284" t="s">
        <v>329</v>
      </c>
      <c r="E118" s="284" t="s">
        <v>343</v>
      </c>
      <c r="F118" s="285">
        <f t="shared" si="55"/>
        <v>15.54</v>
      </c>
      <c r="G118" s="285">
        <v>9</v>
      </c>
      <c r="H118" s="285"/>
      <c r="I118" s="285">
        <v>6.54</v>
      </c>
      <c r="J118" s="285"/>
      <c r="K118" s="285"/>
      <c r="L118" s="285"/>
      <c r="M118" s="285"/>
      <c r="N118" s="285"/>
      <c r="O118" s="285"/>
      <c r="P118" s="285">
        <f t="shared" si="36"/>
        <v>15.54</v>
      </c>
      <c r="Q118" s="285">
        <v>15.54</v>
      </c>
      <c r="R118" s="285"/>
      <c r="S118" s="285"/>
      <c r="T118" s="285"/>
      <c r="U118" s="285"/>
      <c r="V118" s="298">
        <f t="shared" si="56"/>
        <v>0</v>
      </c>
      <c r="W118" s="298"/>
      <c r="X118" s="298"/>
      <c r="Y118" s="298"/>
      <c r="Z118" s="298"/>
      <c r="AA118" s="298"/>
      <c r="AB118" s="298"/>
      <c r="AC118" s="298"/>
      <c r="AD118" s="298"/>
      <c r="AE118" s="285"/>
      <c r="AF118" s="299">
        <f t="shared" si="37"/>
        <v>0</v>
      </c>
      <c r="AG118" s="299">
        <f t="shared" si="38"/>
        <v>0</v>
      </c>
      <c r="AH118" s="299">
        <f t="shared" si="39"/>
        <v>0</v>
      </c>
      <c r="AI118" s="299">
        <f t="shared" si="40"/>
        <v>0</v>
      </c>
      <c r="AJ118" s="299">
        <f t="shared" si="41"/>
        <v>0</v>
      </c>
      <c r="AK118" s="299">
        <f t="shared" si="42"/>
        <v>0</v>
      </c>
      <c r="AL118" s="298">
        <f t="shared" si="57"/>
        <v>15.54</v>
      </c>
      <c r="AM118" s="298">
        <f t="shared" si="58"/>
        <v>9</v>
      </c>
      <c r="AN118" s="298">
        <f t="shared" si="59"/>
        <v>0</v>
      </c>
      <c r="AO118" s="298">
        <f t="shared" si="60"/>
        <v>6.54</v>
      </c>
      <c r="AP118" s="298">
        <f t="shared" si="61"/>
        <v>0</v>
      </c>
      <c r="AQ118" s="298">
        <f t="shared" si="62"/>
        <v>0</v>
      </c>
      <c r="AR118" s="298">
        <f t="shared" si="63"/>
        <v>0</v>
      </c>
      <c r="AS118" s="298">
        <f t="shared" si="53"/>
        <v>0</v>
      </c>
      <c r="AT118" s="298">
        <f t="shared" si="64"/>
        <v>0</v>
      </c>
      <c r="AU118" s="298">
        <f t="shared" si="43"/>
        <v>15.54</v>
      </c>
      <c r="AV118" s="298">
        <v>15.54</v>
      </c>
      <c r="AW118" s="298"/>
      <c r="AX118" s="298"/>
      <c r="AY118" s="298"/>
      <c r="AZ118" s="298"/>
      <c r="BA118" s="285">
        <v>10</v>
      </c>
    </row>
    <row r="119" s="258" customFormat="1" ht="36" spans="1:53">
      <c r="A119" s="283">
        <v>112</v>
      </c>
      <c r="B119" s="284" t="s">
        <v>290</v>
      </c>
      <c r="C119" s="284" t="s">
        <v>199</v>
      </c>
      <c r="D119" s="284" t="s">
        <v>337</v>
      </c>
      <c r="E119" s="284" t="s">
        <v>343</v>
      </c>
      <c r="F119" s="285">
        <f t="shared" si="55"/>
        <v>4.2</v>
      </c>
      <c r="G119" s="285">
        <v>4.2</v>
      </c>
      <c r="H119" s="285"/>
      <c r="I119" s="285"/>
      <c r="J119" s="285"/>
      <c r="K119" s="285"/>
      <c r="L119" s="285"/>
      <c r="M119" s="285"/>
      <c r="N119" s="285"/>
      <c r="O119" s="285"/>
      <c r="P119" s="285">
        <f t="shared" si="36"/>
        <v>4.2</v>
      </c>
      <c r="Q119" s="285">
        <v>4.2</v>
      </c>
      <c r="R119" s="285"/>
      <c r="S119" s="285"/>
      <c r="T119" s="285"/>
      <c r="U119" s="285"/>
      <c r="V119" s="298">
        <f t="shared" si="56"/>
        <v>0</v>
      </c>
      <c r="W119" s="298"/>
      <c r="X119" s="298"/>
      <c r="Y119" s="298"/>
      <c r="Z119" s="298"/>
      <c r="AA119" s="298"/>
      <c r="AB119" s="298"/>
      <c r="AC119" s="298"/>
      <c r="AD119" s="298"/>
      <c r="AE119" s="285"/>
      <c r="AF119" s="299">
        <f t="shared" si="37"/>
        <v>0</v>
      </c>
      <c r="AG119" s="299">
        <f t="shared" si="38"/>
        <v>0</v>
      </c>
      <c r="AH119" s="299">
        <f t="shared" si="39"/>
        <v>0</v>
      </c>
      <c r="AI119" s="299">
        <f t="shared" si="40"/>
        <v>0</v>
      </c>
      <c r="AJ119" s="299">
        <f t="shared" si="41"/>
        <v>0</v>
      </c>
      <c r="AK119" s="299">
        <f t="shared" si="42"/>
        <v>0</v>
      </c>
      <c r="AL119" s="298">
        <f t="shared" si="57"/>
        <v>4.2</v>
      </c>
      <c r="AM119" s="298">
        <f t="shared" si="58"/>
        <v>4.2</v>
      </c>
      <c r="AN119" s="298">
        <f t="shared" si="59"/>
        <v>0</v>
      </c>
      <c r="AO119" s="298">
        <f t="shared" si="60"/>
        <v>0</v>
      </c>
      <c r="AP119" s="298">
        <f t="shared" si="61"/>
        <v>0</v>
      </c>
      <c r="AQ119" s="298">
        <f t="shared" si="62"/>
        <v>0</v>
      </c>
      <c r="AR119" s="298">
        <f t="shared" si="63"/>
        <v>0</v>
      </c>
      <c r="AS119" s="298">
        <f t="shared" si="53"/>
        <v>0</v>
      </c>
      <c r="AT119" s="298">
        <f t="shared" si="64"/>
        <v>0</v>
      </c>
      <c r="AU119" s="285">
        <f t="shared" si="43"/>
        <v>4.2</v>
      </c>
      <c r="AV119" s="298">
        <v>4.2</v>
      </c>
      <c r="AW119" s="285"/>
      <c r="AX119" s="285"/>
      <c r="AY119" s="285"/>
      <c r="AZ119" s="285"/>
      <c r="BA119" s="285"/>
    </row>
    <row r="120" s="258" customFormat="1" ht="36" spans="1:53">
      <c r="A120" s="283">
        <v>113</v>
      </c>
      <c r="B120" s="284" t="s">
        <v>290</v>
      </c>
      <c r="C120" s="284" t="s">
        <v>199</v>
      </c>
      <c r="D120" s="284" t="s">
        <v>338</v>
      </c>
      <c r="E120" s="284" t="s">
        <v>343</v>
      </c>
      <c r="F120" s="285">
        <f t="shared" si="55"/>
        <v>1.8</v>
      </c>
      <c r="G120" s="285">
        <v>1.8</v>
      </c>
      <c r="H120" s="285"/>
      <c r="I120" s="285"/>
      <c r="J120" s="285"/>
      <c r="K120" s="285"/>
      <c r="L120" s="285"/>
      <c r="M120" s="285"/>
      <c r="N120" s="285"/>
      <c r="O120" s="285"/>
      <c r="P120" s="285">
        <f t="shared" si="36"/>
        <v>1.8</v>
      </c>
      <c r="Q120" s="285">
        <v>1.8</v>
      </c>
      <c r="R120" s="285"/>
      <c r="S120" s="285"/>
      <c r="T120" s="285"/>
      <c r="U120" s="285"/>
      <c r="V120" s="298">
        <f t="shared" si="56"/>
        <v>0</v>
      </c>
      <c r="W120" s="298"/>
      <c r="X120" s="298"/>
      <c r="Y120" s="298"/>
      <c r="Z120" s="298"/>
      <c r="AA120" s="298"/>
      <c r="AB120" s="298"/>
      <c r="AC120" s="298"/>
      <c r="AD120" s="298"/>
      <c r="AE120" s="285"/>
      <c r="AF120" s="299">
        <f t="shared" si="37"/>
        <v>0</v>
      </c>
      <c r="AG120" s="299">
        <f t="shared" si="38"/>
        <v>0</v>
      </c>
      <c r="AH120" s="299">
        <f t="shared" si="39"/>
        <v>0</v>
      </c>
      <c r="AI120" s="299">
        <f t="shared" si="40"/>
        <v>0</v>
      </c>
      <c r="AJ120" s="299">
        <f t="shared" si="41"/>
        <v>0</v>
      </c>
      <c r="AK120" s="299">
        <f t="shared" si="42"/>
        <v>0</v>
      </c>
      <c r="AL120" s="298">
        <f t="shared" si="57"/>
        <v>1.8</v>
      </c>
      <c r="AM120" s="298">
        <f t="shared" si="58"/>
        <v>1.8</v>
      </c>
      <c r="AN120" s="298">
        <f t="shared" si="59"/>
        <v>0</v>
      </c>
      <c r="AO120" s="298">
        <f t="shared" si="60"/>
        <v>0</v>
      </c>
      <c r="AP120" s="298">
        <f t="shared" si="61"/>
        <v>0</v>
      </c>
      <c r="AQ120" s="298">
        <f t="shared" si="62"/>
        <v>0</v>
      </c>
      <c r="AR120" s="298">
        <f t="shared" si="63"/>
        <v>0</v>
      </c>
      <c r="AS120" s="298">
        <f t="shared" si="53"/>
        <v>0</v>
      </c>
      <c r="AT120" s="298">
        <f t="shared" si="64"/>
        <v>0</v>
      </c>
      <c r="AU120" s="285">
        <f t="shared" si="43"/>
        <v>1.8</v>
      </c>
      <c r="AV120" s="298">
        <v>1.8</v>
      </c>
      <c r="AW120" s="285"/>
      <c r="AX120" s="285"/>
      <c r="AY120" s="285"/>
      <c r="AZ120" s="285"/>
      <c r="BA120" s="285"/>
    </row>
    <row r="121" s="258" customFormat="1" ht="36" spans="1:53">
      <c r="A121" s="283">
        <v>114</v>
      </c>
      <c r="B121" s="284" t="s">
        <v>290</v>
      </c>
      <c r="C121" s="284" t="s">
        <v>196</v>
      </c>
      <c r="D121" s="284" t="s">
        <v>342</v>
      </c>
      <c r="E121" s="284" t="s">
        <v>343</v>
      </c>
      <c r="F121" s="285">
        <f t="shared" si="55"/>
        <v>11.46</v>
      </c>
      <c r="G121" s="285">
        <v>3.6</v>
      </c>
      <c r="H121" s="285"/>
      <c r="I121" s="285">
        <v>7.86</v>
      </c>
      <c r="J121" s="285"/>
      <c r="K121" s="285"/>
      <c r="L121" s="285"/>
      <c r="M121" s="285"/>
      <c r="N121" s="285"/>
      <c r="O121" s="285"/>
      <c r="P121" s="285">
        <f t="shared" si="36"/>
        <v>11.46</v>
      </c>
      <c r="Q121" s="285">
        <v>11.46</v>
      </c>
      <c r="R121" s="285"/>
      <c r="S121" s="285"/>
      <c r="T121" s="285"/>
      <c r="U121" s="285"/>
      <c r="V121" s="298">
        <f t="shared" si="56"/>
        <v>-0.59</v>
      </c>
      <c r="W121" s="298"/>
      <c r="X121" s="298"/>
      <c r="Y121" s="298">
        <v>-0.59</v>
      </c>
      <c r="Z121" s="298"/>
      <c r="AA121" s="298"/>
      <c r="AB121" s="298"/>
      <c r="AC121" s="298"/>
      <c r="AD121" s="298"/>
      <c r="AE121" s="285" t="s">
        <v>1022</v>
      </c>
      <c r="AF121" s="299">
        <f t="shared" si="37"/>
        <v>-0.590000000000002</v>
      </c>
      <c r="AG121" s="299">
        <f t="shared" si="38"/>
        <v>-0.590000000000002</v>
      </c>
      <c r="AH121" s="299">
        <f t="shared" si="39"/>
        <v>0</v>
      </c>
      <c r="AI121" s="299">
        <f t="shared" si="40"/>
        <v>0</v>
      </c>
      <c r="AJ121" s="299">
        <f t="shared" si="41"/>
        <v>0</v>
      </c>
      <c r="AK121" s="299">
        <f t="shared" si="42"/>
        <v>0</v>
      </c>
      <c r="AL121" s="298">
        <f t="shared" si="57"/>
        <v>10.87</v>
      </c>
      <c r="AM121" s="298">
        <f t="shared" si="58"/>
        <v>3.6</v>
      </c>
      <c r="AN121" s="298">
        <f t="shared" si="59"/>
        <v>0</v>
      </c>
      <c r="AO121" s="298">
        <f t="shared" si="60"/>
        <v>7.27</v>
      </c>
      <c r="AP121" s="298">
        <f t="shared" si="61"/>
        <v>0</v>
      </c>
      <c r="AQ121" s="298">
        <f t="shared" si="62"/>
        <v>0</v>
      </c>
      <c r="AR121" s="298">
        <f t="shared" si="63"/>
        <v>0</v>
      </c>
      <c r="AS121" s="298">
        <f t="shared" si="53"/>
        <v>0</v>
      </c>
      <c r="AT121" s="298">
        <f t="shared" si="64"/>
        <v>0</v>
      </c>
      <c r="AU121" s="285">
        <f t="shared" si="43"/>
        <v>10.87</v>
      </c>
      <c r="AV121" s="298">
        <v>10.87</v>
      </c>
      <c r="AW121" s="285"/>
      <c r="AX121" s="285"/>
      <c r="AY121" s="285"/>
      <c r="AZ121" s="285"/>
      <c r="BA121" s="285"/>
    </row>
    <row r="122" s="258" customFormat="1" ht="36" spans="1:53">
      <c r="A122" s="283">
        <v>115</v>
      </c>
      <c r="B122" s="284" t="s">
        <v>290</v>
      </c>
      <c r="C122" s="284" t="s">
        <v>199</v>
      </c>
      <c r="D122" s="284" t="s">
        <v>344</v>
      </c>
      <c r="E122" s="284" t="s">
        <v>343</v>
      </c>
      <c r="F122" s="285">
        <f t="shared" si="55"/>
        <v>4.2</v>
      </c>
      <c r="G122" s="285">
        <v>4.2</v>
      </c>
      <c r="H122" s="285"/>
      <c r="I122" s="285"/>
      <c r="J122" s="285"/>
      <c r="K122" s="285"/>
      <c r="L122" s="285"/>
      <c r="M122" s="285"/>
      <c r="N122" s="285"/>
      <c r="O122" s="285"/>
      <c r="P122" s="285">
        <f t="shared" si="36"/>
        <v>4.2</v>
      </c>
      <c r="Q122" s="285">
        <v>4.2</v>
      </c>
      <c r="R122" s="285"/>
      <c r="S122" s="285"/>
      <c r="T122" s="285"/>
      <c r="U122" s="285"/>
      <c r="V122" s="298">
        <f t="shared" si="56"/>
        <v>0</v>
      </c>
      <c r="W122" s="298"/>
      <c r="X122" s="298"/>
      <c r="Y122" s="298"/>
      <c r="Z122" s="298"/>
      <c r="AA122" s="298"/>
      <c r="AB122" s="298"/>
      <c r="AC122" s="298"/>
      <c r="AD122" s="298"/>
      <c r="AE122" s="285"/>
      <c r="AF122" s="299">
        <f t="shared" si="37"/>
        <v>0</v>
      </c>
      <c r="AG122" s="299">
        <f t="shared" si="38"/>
        <v>0</v>
      </c>
      <c r="AH122" s="299">
        <f t="shared" si="39"/>
        <v>0</v>
      </c>
      <c r="AI122" s="299">
        <f t="shared" si="40"/>
        <v>0</v>
      </c>
      <c r="AJ122" s="299">
        <f t="shared" si="41"/>
        <v>0</v>
      </c>
      <c r="AK122" s="299">
        <f t="shared" si="42"/>
        <v>0</v>
      </c>
      <c r="AL122" s="298">
        <f t="shared" si="57"/>
        <v>4.2</v>
      </c>
      <c r="AM122" s="298">
        <f t="shared" si="58"/>
        <v>4.2</v>
      </c>
      <c r="AN122" s="298">
        <f t="shared" si="59"/>
        <v>0</v>
      </c>
      <c r="AO122" s="298">
        <f t="shared" si="60"/>
        <v>0</v>
      </c>
      <c r="AP122" s="298">
        <f t="shared" si="61"/>
        <v>0</v>
      </c>
      <c r="AQ122" s="298">
        <f t="shared" si="62"/>
        <v>0</v>
      </c>
      <c r="AR122" s="298">
        <f t="shared" si="63"/>
        <v>0</v>
      </c>
      <c r="AS122" s="298">
        <f t="shared" si="53"/>
        <v>0</v>
      </c>
      <c r="AT122" s="298">
        <f t="shared" si="64"/>
        <v>0</v>
      </c>
      <c r="AU122" s="285">
        <f t="shared" si="43"/>
        <v>4.2</v>
      </c>
      <c r="AV122" s="298">
        <v>4.2</v>
      </c>
      <c r="AW122" s="285"/>
      <c r="AX122" s="285"/>
      <c r="AY122" s="285"/>
      <c r="AZ122" s="285"/>
      <c r="BA122" s="285"/>
    </row>
    <row r="123" s="258" customFormat="1" ht="36" spans="1:53">
      <c r="A123" s="283">
        <v>116</v>
      </c>
      <c r="B123" s="284" t="s">
        <v>290</v>
      </c>
      <c r="C123" s="284" t="s">
        <v>199</v>
      </c>
      <c r="D123" s="284" t="s">
        <v>345</v>
      </c>
      <c r="E123" s="284" t="s">
        <v>343</v>
      </c>
      <c r="F123" s="285">
        <f t="shared" si="55"/>
        <v>2.4</v>
      </c>
      <c r="G123" s="285">
        <v>2.4</v>
      </c>
      <c r="H123" s="285"/>
      <c r="I123" s="285"/>
      <c r="J123" s="285"/>
      <c r="K123" s="285"/>
      <c r="L123" s="285"/>
      <c r="M123" s="285"/>
      <c r="N123" s="285"/>
      <c r="O123" s="285"/>
      <c r="P123" s="285">
        <f t="shared" si="36"/>
        <v>2.4</v>
      </c>
      <c r="Q123" s="285">
        <v>2.4</v>
      </c>
      <c r="R123" s="285"/>
      <c r="S123" s="285"/>
      <c r="T123" s="285"/>
      <c r="U123" s="285"/>
      <c r="V123" s="298">
        <f t="shared" si="56"/>
        <v>0</v>
      </c>
      <c r="W123" s="298"/>
      <c r="X123" s="298"/>
      <c r="Y123" s="298"/>
      <c r="Z123" s="298"/>
      <c r="AA123" s="298"/>
      <c r="AB123" s="298"/>
      <c r="AC123" s="298"/>
      <c r="AD123" s="298"/>
      <c r="AE123" s="285"/>
      <c r="AF123" s="299">
        <f t="shared" si="37"/>
        <v>0</v>
      </c>
      <c r="AG123" s="299">
        <f t="shared" si="38"/>
        <v>0</v>
      </c>
      <c r="AH123" s="299">
        <f t="shared" si="39"/>
        <v>0</v>
      </c>
      <c r="AI123" s="299">
        <f t="shared" si="40"/>
        <v>0</v>
      </c>
      <c r="AJ123" s="299">
        <f t="shared" si="41"/>
        <v>0</v>
      </c>
      <c r="AK123" s="299">
        <f t="shared" si="42"/>
        <v>0</v>
      </c>
      <c r="AL123" s="298">
        <f t="shared" si="57"/>
        <v>2.4</v>
      </c>
      <c r="AM123" s="298">
        <f t="shared" si="58"/>
        <v>2.4</v>
      </c>
      <c r="AN123" s="298">
        <f t="shared" si="59"/>
        <v>0</v>
      </c>
      <c r="AO123" s="298">
        <f t="shared" si="60"/>
        <v>0</v>
      </c>
      <c r="AP123" s="298">
        <f t="shared" si="61"/>
        <v>0</v>
      </c>
      <c r="AQ123" s="298">
        <f t="shared" si="62"/>
        <v>0</v>
      </c>
      <c r="AR123" s="298">
        <f t="shared" si="63"/>
        <v>0</v>
      </c>
      <c r="AS123" s="298">
        <f t="shared" si="53"/>
        <v>0</v>
      </c>
      <c r="AT123" s="298">
        <f t="shared" si="64"/>
        <v>0</v>
      </c>
      <c r="AU123" s="285">
        <f t="shared" si="43"/>
        <v>2.4</v>
      </c>
      <c r="AV123" s="298">
        <v>2.4</v>
      </c>
      <c r="AW123" s="285"/>
      <c r="AX123" s="285"/>
      <c r="AY123" s="285"/>
      <c r="AZ123" s="285"/>
      <c r="BA123" s="285"/>
    </row>
    <row r="124" s="258" customFormat="1" ht="48" spans="1:53">
      <c r="A124" s="283">
        <v>117</v>
      </c>
      <c r="B124" s="284" t="s">
        <v>195</v>
      </c>
      <c r="C124" s="284" t="s">
        <v>196</v>
      </c>
      <c r="D124" s="284" t="s">
        <v>346</v>
      </c>
      <c r="E124" s="284" t="s">
        <v>347</v>
      </c>
      <c r="F124" s="285">
        <f t="shared" si="55"/>
        <v>72.82</v>
      </c>
      <c r="G124" s="285">
        <v>50</v>
      </c>
      <c r="H124" s="285"/>
      <c r="I124" s="285">
        <v>2.82</v>
      </c>
      <c r="J124" s="285"/>
      <c r="K124" s="285"/>
      <c r="L124" s="285" t="s">
        <v>1023</v>
      </c>
      <c r="M124" s="285"/>
      <c r="N124" s="285">
        <v>20</v>
      </c>
      <c r="O124" s="285" t="s">
        <v>1024</v>
      </c>
      <c r="P124" s="285">
        <f t="shared" si="36"/>
        <v>72.82</v>
      </c>
      <c r="Q124" s="285">
        <v>72.82</v>
      </c>
      <c r="R124" s="285"/>
      <c r="S124" s="285"/>
      <c r="T124" s="285"/>
      <c r="U124" s="285"/>
      <c r="V124" s="298">
        <f t="shared" si="56"/>
        <v>0.2</v>
      </c>
      <c r="W124" s="298"/>
      <c r="X124" s="298"/>
      <c r="Y124" s="298">
        <v>0.2</v>
      </c>
      <c r="Z124" s="298"/>
      <c r="AA124" s="298"/>
      <c r="AB124" s="298"/>
      <c r="AC124" s="298"/>
      <c r="AD124" s="298"/>
      <c r="AE124" s="285"/>
      <c r="AF124" s="299">
        <f t="shared" si="37"/>
        <v>0.200000000000017</v>
      </c>
      <c r="AG124" s="299">
        <f t="shared" si="38"/>
        <v>0.200000000000017</v>
      </c>
      <c r="AH124" s="299">
        <f t="shared" si="39"/>
        <v>0</v>
      </c>
      <c r="AI124" s="299">
        <f t="shared" si="40"/>
        <v>0</v>
      </c>
      <c r="AJ124" s="299">
        <f t="shared" si="41"/>
        <v>0</v>
      </c>
      <c r="AK124" s="299">
        <f t="shared" si="42"/>
        <v>0</v>
      </c>
      <c r="AL124" s="298">
        <f t="shared" si="57"/>
        <v>73.02</v>
      </c>
      <c r="AM124" s="298">
        <f t="shared" si="58"/>
        <v>50</v>
      </c>
      <c r="AN124" s="298">
        <f t="shared" si="59"/>
        <v>0</v>
      </c>
      <c r="AO124" s="298">
        <f t="shared" si="60"/>
        <v>3.02</v>
      </c>
      <c r="AP124" s="298">
        <f t="shared" si="61"/>
        <v>0</v>
      </c>
      <c r="AQ124" s="298">
        <f t="shared" si="62"/>
        <v>0</v>
      </c>
      <c r="AR124" s="298">
        <f t="shared" si="63"/>
        <v>0</v>
      </c>
      <c r="AS124" s="298">
        <f t="shared" si="53"/>
        <v>0</v>
      </c>
      <c r="AT124" s="298">
        <f t="shared" si="64"/>
        <v>20</v>
      </c>
      <c r="AU124" s="285">
        <f t="shared" si="43"/>
        <v>73.02</v>
      </c>
      <c r="AV124" s="298">
        <v>73.02</v>
      </c>
      <c r="AW124" s="285"/>
      <c r="AX124" s="285"/>
      <c r="AY124" s="285"/>
      <c r="AZ124" s="285"/>
      <c r="BA124" s="285"/>
    </row>
    <row r="125" s="258" customFormat="1" ht="48" spans="1:53">
      <c r="A125" s="283">
        <v>118</v>
      </c>
      <c r="B125" s="284" t="s">
        <v>208</v>
      </c>
      <c r="C125" s="284" t="s">
        <v>196</v>
      </c>
      <c r="D125" s="284" t="s">
        <v>350</v>
      </c>
      <c r="E125" s="284" t="s">
        <v>351</v>
      </c>
      <c r="F125" s="285">
        <f t="shared" si="55"/>
        <v>8.39</v>
      </c>
      <c r="G125" s="285">
        <v>3.6</v>
      </c>
      <c r="H125" s="285"/>
      <c r="I125" s="285">
        <v>4.79</v>
      </c>
      <c r="J125" s="285"/>
      <c r="K125" s="285"/>
      <c r="L125" s="285"/>
      <c r="M125" s="285"/>
      <c r="N125" s="285"/>
      <c r="O125" s="285"/>
      <c r="P125" s="285">
        <f t="shared" si="36"/>
        <v>8.39</v>
      </c>
      <c r="Q125" s="285">
        <v>8.39</v>
      </c>
      <c r="R125" s="285"/>
      <c r="S125" s="285"/>
      <c r="T125" s="285"/>
      <c r="U125" s="285"/>
      <c r="V125" s="298">
        <f t="shared" si="56"/>
        <v>7.98</v>
      </c>
      <c r="W125" s="298"/>
      <c r="X125" s="298"/>
      <c r="Y125" s="298"/>
      <c r="Z125" s="298"/>
      <c r="AA125" s="298"/>
      <c r="AB125" s="298"/>
      <c r="AC125" s="298"/>
      <c r="AD125" s="298">
        <v>7.98</v>
      </c>
      <c r="AE125" s="285" t="s">
        <v>1025</v>
      </c>
      <c r="AF125" s="299">
        <f t="shared" si="37"/>
        <v>7.98</v>
      </c>
      <c r="AG125" s="299">
        <f t="shared" si="38"/>
        <v>7.98</v>
      </c>
      <c r="AH125" s="299">
        <f t="shared" si="39"/>
        <v>0</v>
      </c>
      <c r="AI125" s="299">
        <f t="shared" si="40"/>
        <v>0</v>
      </c>
      <c r="AJ125" s="299">
        <f t="shared" si="41"/>
        <v>0</v>
      </c>
      <c r="AK125" s="299">
        <f t="shared" si="42"/>
        <v>0</v>
      </c>
      <c r="AL125" s="298">
        <f t="shared" si="57"/>
        <v>16.37</v>
      </c>
      <c r="AM125" s="298">
        <f t="shared" si="58"/>
        <v>3.6</v>
      </c>
      <c r="AN125" s="298">
        <f t="shared" si="59"/>
        <v>0</v>
      </c>
      <c r="AO125" s="298">
        <f t="shared" si="60"/>
        <v>4.79</v>
      </c>
      <c r="AP125" s="298">
        <f t="shared" si="61"/>
        <v>0</v>
      </c>
      <c r="AQ125" s="298">
        <f t="shared" si="62"/>
        <v>0</v>
      </c>
      <c r="AR125" s="298">
        <f t="shared" si="63"/>
        <v>0</v>
      </c>
      <c r="AS125" s="298">
        <f t="shared" si="53"/>
        <v>0</v>
      </c>
      <c r="AT125" s="298">
        <f t="shared" si="64"/>
        <v>7.98</v>
      </c>
      <c r="AU125" s="285">
        <f t="shared" si="43"/>
        <v>16.37</v>
      </c>
      <c r="AV125" s="298">
        <v>16.37</v>
      </c>
      <c r="AW125" s="285"/>
      <c r="AX125" s="285"/>
      <c r="AY125" s="285"/>
      <c r="AZ125" s="285"/>
      <c r="BA125" s="285"/>
    </row>
    <row r="126" s="258" customFormat="1" ht="24" spans="1:53">
      <c r="A126" s="283">
        <v>119</v>
      </c>
      <c r="B126" s="284" t="s">
        <v>208</v>
      </c>
      <c r="C126" s="284" t="s">
        <v>199</v>
      </c>
      <c r="D126" s="284" t="s">
        <v>352</v>
      </c>
      <c r="E126" s="284" t="s">
        <v>353</v>
      </c>
      <c r="F126" s="285">
        <f t="shared" si="55"/>
        <v>0.6</v>
      </c>
      <c r="G126" s="285">
        <v>0.6</v>
      </c>
      <c r="H126" s="285"/>
      <c r="I126" s="285"/>
      <c r="J126" s="285"/>
      <c r="K126" s="285"/>
      <c r="L126" s="285"/>
      <c r="M126" s="285"/>
      <c r="N126" s="285"/>
      <c r="O126" s="285"/>
      <c r="P126" s="285">
        <f t="shared" si="36"/>
        <v>0.6</v>
      </c>
      <c r="Q126" s="285">
        <v>0.6</v>
      </c>
      <c r="R126" s="285"/>
      <c r="S126" s="285"/>
      <c r="T126" s="285"/>
      <c r="U126" s="285"/>
      <c r="V126" s="298">
        <f t="shared" si="56"/>
        <v>0</v>
      </c>
      <c r="W126" s="298"/>
      <c r="X126" s="298"/>
      <c r="Y126" s="298"/>
      <c r="Z126" s="298"/>
      <c r="AA126" s="298"/>
      <c r="AB126" s="298"/>
      <c r="AC126" s="298"/>
      <c r="AD126" s="298"/>
      <c r="AE126" s="285"/>
      <c r="AF126" s="299">
        <f t="shared" si="37"/>
        <v>0</v>
      </c>
      <c r="AG126" s="299">
        <f t="shared" si="38"/>
        <v>0</v>
      </c>
      <c r="AH126" s="299">
        <f t="shared" si="39"/>
        <v>0</v>
      </c>
      <c r="AI126" s="299">
        <f t="shared" si="40"/>
        <v>0</v>
      </c>
      <c r="AJ126" s="299">
        <f t="shared" si="41"/>
        <v>0</v>
      </c>
      <c r="AK126" s="299">
        <f t="shared" si="42"/>
        <v>0</v>
      </c>
      <c r="AL126" s="298">
        <f t="shared" si="57"/>
        <v>0.6</v>
      </c>
      <c r="AM126" s="298">
        <f t="shared" si="58"/>
        <v>0.6</v>
      </c>
      <c r="AN126" s="298">
        <f t="shared" si="59"/>
        <v>0</v>
      </c>
      <c r="AO126" s="298">
        <f t="shared" si="60"/>
        <v>0</v>
      </c>
      <c r="AP126" s="298">
        <f t="shared" si="61"/>
        <v>0</v>
      </c>
      <c r="AQ126" s="298">
        <f t="shared" si="62"/>
        <v>0</v>
      </c>
      <c r="AR126" s="298">
        <f t="shared" si="63"/>
        <v>0</v>
      </c>
      <c r="AS126" s="298">
        <f t="shared" si="53"/>
        <v>0</v>
      </c>
      <c r="AT126" s="298">
        <f t="shared" si="64"/>
        <v>0</v>
      </c>
      <c r="AU126" s="285">
        <f t="shared" si="43"/>
        <v>0.6</v>
      </c>
      <c r="AV126" s="298">
        <v>0.6</v>
      </c>
      <c r="AW126" s="285"/>
      <c r="AX126" s="285"/>
      <c r="AY126" s="285"/>
      <c r="AZ126" s="285"/>
      <c r="BA126" s="285"/>
    </row>
    <row r="127" s="258" customFormat="1" ht="24" spans="1:53">
      <c r="A127" s="283">
        <v>120</v>
      </c>
      <c r="B127" s="284" t="s">
        <v>195</v>
      </c>
      <c r="C127" s="284" t="s">
        <v>196</v>
      </c>
      <c r="D127" s="284" t="s">
        <v>354</v>
      </c>
      <c r="E127" s="284" t="s">
        <v>355</v>
      </c>
      <c r="F127" s="285">
        <f t="shared" si="55"/>
        <v>23</v>
      </c>
      <c r="G127" s="285"/>
      <c r="H127" s="285"/>
      <c r="I127" s="285"/>
      <c r="J127" s="285"/>
      <c r="K127" s="285"/>
      <c r="L127" s="285"/>
      <c r="M127" s="285"/>
      <c r="N127" s="285">
        <v>23</v>
      </c>
      <c r="O127" s="285" t="s">
        <v>1026</v>
      </c>
      <c r="P127" s="285">
        <f t="shared" si="36"/>
        <v>23</v>
      </c>
      <c r="Q127" s="285">
        <v>23</v>
      </c>
      <c r="R127" s="285"/>
      <c r="S127" s="285"/>
      <c r="T127" s="285"/>
      <c r="U127" s="285"/>
      <c r="V127" s="298">
        <f t="shared" si="56"/>
        <v>0</v>
      </c>
      <c r="W127" s="298"/>
      <c r="X127" s="298"/>
      <c r="Y127" s="298"/>
      <c r="Z127" s="298"/>
      <c r="AA127" s="298"/>
      <c r="AB127" s="298"/>
      <c r="AC127" s="298"/>
      <c r="AD127" s="298"/>
      <c r="AE127" s="285"/>
      <c r="AF127" s="299">
        <f t="shared" si="37"/>
        <v>0</v>
      </c>
      <c r="AG127" s="299">
        <f t="shared" si="38"/>
        <v>0</v>
      </c>
      <c r="AH127" s="299">
        <f t="shared" si="39"/>
        <v>0</v>
      </c>
      <c r="AI127" s="299">
        <f t="shared" si="40"/>
        <v>0</v>
      </c>
      <c r="AJ127" s="299">
        <f t="shared" si="41"/>
        <v>0</v>
      </c>
      <c r="AK127" s="299">
        <f t="shared" si="42"/>
        <v>0</v>
      </c>
      <c r="AL127" s="298">
        <f t="shared" si="57"/>
        <v>23</v>
      </c>
      <c r="AM127" s="298">
        <f t="shared" si="58"/>
        <v>0</v>
      </c>
      <c r="AN127" s="298">
        <f t="shared" si="59"/>
        <v>0</v>
      </c>
      <c r="AO127" s="298">
        <f t="shared" si="60"/>
        <v>0</v>
      </c>
      <c r="AP127" s="298">
        <f t="shared" si="61"/>
        <v>0</v>
      </c>
      <c r="AQ127" s="298">
        <f t="shared" si="62"/>
        <v>0</v>
      </c>
      <c r="AR127" s="298">
        <f t="shared" si="63"/>
        <v>0</v>
      </c>
      <c r="AS127" s="298">
        <f t="shared" si="53"/>
        <v>0</v>
      </c>
      <c r="AT127" s="298">
        <f t="shared" si="64"/>
        <v>23</v>
      </c>
      <c r="AU127" s="285">
        <f t="shared" si="43"/>
        <v>23</v>
      </c>
      <c r="AV127" s="298">
        <v>23</v>
      </c>
      <c r="AW127" s="285"/>
      <c r="AX127" s="285"/>
      <c r="AY127" s="285"/>
      <c r="AZ127" s="285"/>
      <c r="BA127" s="285"/>
    </row>
    <row r="128" s="258" customFormat="1" ht="84" spans="1:53">
      <c r="A128" s="283">
        <v>121</v>
      </c>
      <c r="B128" s="284" t="s">
        <v>195</v>
      </c>
      <c r="C128" s="284" t="s">
        <v>196</v>
      </c>
      <c r="D128" s="284" t="s">
        <v>356</v>
      </c>
      <c r="E128" s="284" t="s">
        <v>355</v>
      </c>
      <c r="F128" s="285">
        <f t="shared" si="55"/>
        <v>69.23</v>
      </c>
      <c r="G128" s="285">
        <v>13</v>
      </c>
      <c r="H128" s="285"/>
      <c r="I128" s="285">
        <v>0.72</v>
      </c>
      <c r="J128" s="285"/>
      <c r="K128" s="285"/>
      <c r="L128" s="285"/>
      <c r="M128" s="285"/>
      <c r="N128" s="285">
        <v>55.51</v>
      </c>
      <c r="O128" s="285" t="s">
        <v>1027</v>
      </c>
      <c r="P128" s="285">
        <f t="shared" si="36"/>
        <v>69.23</v>
      </c>
      <c r="Q128" s="285">
        <v>69.23</v>
      </c>
      <c r="R128" s="285"/>
      <c r="S128" s="285"/>
      <c r="T128" s="285"/>
      <c r="U128" s="285"/>
      <c r="V128" s="298">
        <f t="shared" si="56"/>
        <v>1.5</v>
      </c>
      <c r="W128" s="298"/>
      <c r="X128" s="298"/>
      <c r="Y128" s="298">
        <v>1.11</v>
      </c>
      <c r="Z128" s="298"/>
      <c r="AA128" s="298"/>
      <c r="AB128" s="298">
        <v>0.39</v>
      </c>
      <c r="AC128" s="298"/>
      <c r="AD128" s="298"/>
      <c r="AE128" s="285" t="s">
        <v>1028</v>
      </c>
      <c r="AF128" s="299">
        <f t="shared" si="37"/>
        <v>1.5</v>
      </c>
      <c r="AG128" s="299">
        <f t="shared" si="38"/>
        <v>1.11</v>
      </c>
      <c r="AH128" s="299">
        <f t="shared" si="39"/>
        <v>0</v>
      </c>
      <c r="AI128" s="299">
        <f t="shared" si="40"/>
        <v>0.39</v>
      </c>
      <c r="AJ128" s="299">
        <f t="shared" si="41"/>
        <v>0</v>
      </c>
      <c r="AK128" s="299">
        <f t="shared" si="42"/>
        <v>0</v>
      </c>
      <c r="AL128" s="298">
        <f t="shared" si="57"/>
        <v>70.73</v>
      </c>
      <c r="AM128" s="298">
        <f t="shared" si="58"/>
        <v>13</v>
      </c>
      <c r="AN128" s="298">
        <f t="shared" si="59"/>
        <v>0</v>
      </c>
      <c r="AO128" s="298">
        <f t="shared" si="60"/>
        <v>1.83</v>
      </c>
      <c r="AP128" s="298">
        <f t="shared" si="61"/>
        <v>0</v>
      </c>
      <c r="AQ128" s="298">
        <f t="shared" si="62"/>
        <v>0</v>
      </c>
      <c r="AR128" s="298">
        <f t="shared" si="63"/>
        <v>0.39</v>
      </c>
      <c r="AS128" s="298">
        <f t="shared" si="53"/>
        <v>0</v>
      </c>
      <c r="AT128" s="298">
        <f t="shared" si="64"/>
        <v>55.51</v>
      </c>
      <c r="AU128" s="285">
        <f t="shared" si="43"/>
        <v>70.73</v>
      </c>
      <c r="AV128" s="298">
        <v>70.34</v>
      </c>
      <c r="AW128" s="285"/>
      <c r="AX128" s="285">
        <v>0.39</v>
      </c>
      <c r="AY128" s="285"/>
      <c r="AZ128" s="285"/>
      <c r="BA128" s="285"/>
    </row>
    <row r="129" s="258" customFormat="1" ht="84" spans="1:53">
      <c r="A129" s="283">
        <v>122</v>
      </c>
      <c r="B129" s="284" t="s">
        <v>195</v>
      </c>
      <c r="C129" s="284" t="s">
        <v>196</v>
      </c>
      <c r="D129" s="284" t="s">
        <v>357</v>
      </c>
      <c r="E129" s="284" t="s">
        <v>355</v>
      </c>
      <c r="F129" s="285">
        <f t="shared" si="55"/>
        <v>73.72</v>
      </c>
      <c r="G129" s="285">
        <v>30</v>
      </c>
      <c r="H129" s="285"/>
      <c r="I129" s="285">
        <v>3.72</v>
      </c>
      <c r="J129" s="285"/>
      <c r="K129" s="285"/>
      <c r="L129" s="285"/>
      <c r="M129" s="285"/>
      <c r="N129" s="285">
        <v>40</v>
      </c>
      <c r="O129" s="285" t="s">
        <v>1029</v>
      </c>
      <c r="P129" s="285">
        <f t="shared" si="36"/>
        <v>73.72</v>
      </c>
      <c r="Q129" s="285">
        <v>73.72</v>
      </c>
      <c r="R129" s="285"/>
      <c r="S129" s="285"/>
      <c r="T129" s="285"/>
      <c r="U129" s="285"/>
      <c r="V129" s="298">
        <f t="shared" si="56"/>
        <v>0</v>
      </c>
      <c r="W129" s="298"/>
      <c r="X129" s="298"/>
      <c r="Y129" s="298"/>
      <c r="Z129" s="298"/>
      <c r="AA129" s="298"/>
      <c r="AB129" s="298"/>
      <c r="AC129" s="298"/>
      <c r="AD129" s="298"/>
      <c r="AE129" s="285"/>
      <c r="AF129" s="299">
        <f t="shared" si="37"/>
        <v>0</v>
      </c>
      <c r="AG129" s="299">
        <f t="shared" si="38"/>
        <v>0</v>
      </c>
      <c r="AH129" s="299">
        <f t="shared" si="39"/>
        <v>0</v>
      </c>
      <c r="AI129" s="299">
        <f t="shared" si="40"/>
        <v>0</v>
      </c>
      <c r="AJ129" s="299">
        <f t="shared" si="41"/>
        <v>0</v>
      </c>
      <c r="AK129" s="299">
        <f t="shared" si="42"/>
        <v>0</v>
      </c>
      <c r="AL129" s="298">
        <f t="shared" si="57"/>
        <v>73.72</v>
      </c>
      <c r="AM129" s="298">
        <f t="shared" si="58"/>
        <v>30</v>
      </c>
      <c r="AN129" s="298">
        <f t="shared" si="59"/>
        <v>0</v>
      </c>
      <c r="AO129" s="298">
        <f t="shared" si="60"/>
        <v>3.72</v>
      </c>
      <c r="AP129" s="298">
        <f t="shared" si="61"/>
        <v>0</v>
      </c>
      <c r="AQ129" s="298">
        <f t="shared" si="62"/>
        <v>0</v>
      </c>
      <c r="AR129" s="298">
        <f t="shared" si="63"/>
        <v>0</v>
      </c>
      <c r="AS129" s="298">
        <f t="shared" si="53"/>
        <v>0</v>
      </c>
      <c r="AT129" s="298">
        <f t="shared" si="64"/>
        <v>40</v>
      </c>
      <c r="AU129" s="298">
        <f t="shared" si="43"/>
        <v>73.72</v>
      </c>
      <c r="AV129" s="298">
        <v>73.72</v>
      </c>
      <c r="AW129" s="298"/>
      <c r="AX129" s="298"/>
      <c r="AY129" s="298"/>
      <c r="AZ129" s="298"/>
      <c r="BA129" s="285">
        <v>6</v>
      </c>
    </row>
    <row r="130" s="258" customFormat="1" ht="24" spans="1:53">
      <c r="A130" s="283">
        <v>123</v>
      </c>
      <c r="B130" s="284" t="s">
        <v>195</v>
      </c>
      <c r="C130" s="284" t="s">
        <v>196</v>
      </c>
      <c r="D130" s="284" t="s">
        <v>358</v>
      </c>
      <c r="E130" s="284" t="s">
        <v>355</v>
      </c>
      <c r="F130" s="285">
        <f t="shared" si="55"/>
        <v>21.32</v>
      </c>
      <c r="G130" s="285">
        <v>0.6</v>
      </c>
      <c r="H130" s="285"/>
      <c r="I130" s="285">
        <v>0.72</v>
      </c>
      <c r="J130" s="285"/>
      <c r="K130" s="285">
        <v>20</v>
      </c>
      <c r="L130" s="285"/>
      <c r="M130" s="285"/>
      <c r="N130" s="285"/>
      <c r="O130" s="285"/>
      <c r="P130" s="285">
        <f t="shared" si="36"/>
        <v>21.32</v>
      </c>
      <c r="Q130" s="285">
        <v>21.32</v>
      </c>
      <c r="R130" s="285"/>
      <c r="S130" s="285"/>
      <c r="T130" s="285"/>
      <c r="U130" s="285"/>
      <c r="V130" s="298">
        <f t="shared" si="56"/>
        <v>0</v>
      </c>
      <c r="W130" s="298"/>
      <c r="X130" s="298"/>
      <c r="Y130" s="298"/>
      <c r="Z130" s="298"/>
      <c r="AA130" s="298"/>
      <c r="AB130" s="298"/>
      <c r="AC130" s="298"/>
      <c r="AD130" s="298"/>
      <c r="AE130" s="285"/>
      <c r="AF130" s="299">
        <f t="shared" si="37"/>
        <v>0</v>
      </c>
      <c r="AG130" s="299">
        <f t="shared" si="38"/>
        <v>0</v>
      </c>
      <c r="AH130" s="299">
        <f t="shared" si="39"/>
        <v>0</v>
      </c>
      <c r="AI130" s="299">
        <f t="shared" si="40"/>
        <v>0</v>
      </c>
      <c r="AJ130" s="299">
        <f t="shared" si="41"/>
        <v>0</v>
      </c>
      <c r="AK130" s="299">
        <f t="shared" si="42"/>
        <v>0</v>
      </c>
      <c r="AL130" s="298">
        <f t="shared" si="57"/>
        <v>21.32</v>
      </c>
      <c r="AM130" s="298">
        <f t="shared" si="58"/>
        <v>0.6</v>
      </c>
      <c r="AN130" s="298">
        <f t="shared" si="59"/>
        <v>0</v>
      </c>
      <c r="AO130" s="298">
        <f t="shared" si="60"/>
        <v>0.72</v>
      </c>
      <c r="AP130" s="298">
        <f t="shared" si="61"/>
        <v>0</v>
      </c>
      <c r="AQ130" s="298">
        <f t="shared" si="62"/>
        <v>20</v>
      </c>
      <c r="AR130" s="298">
        <f t="shared" si="63"/>
        <v>0</v>
      </c>
      <c r="AS130" s="298">
        <f t="shared" si="53"/>
        <v>0</v>
      </c>
      <c r="AT130" s="298">
        <f t="shared" si="64"/>
        <v>0</v>
      </c>
      <c r="AU130" s="285">
        <f t="shared" si="43"/>
        <v>21.32</v>
      </c>
      <c r="AV130" s="298">
        <v>21.32</v>
      </c>
      <c r="AW130" s="285"/>
      <c r="AX130" s="285"/>
      <c r="AY130" s="285"/>
      <c r="AZ130" s="285"/>
      <c r="BA130" s="285"/>
    </row>
    <row r="131" s="258" customFormat="1" ht="24" spans="1:53">
      <c r="A131" s="283">
        <v>124</v>
      </c>
      <c r="B131" s="284" t="s">
        <v>195</v>
      </c>
      <c r="C131" s="284" t="s">
        <v>196</v>
      </c>
      <c r="D131" s="284" t="s">
        <v>359</v>
      </c>
      <c r="E131" s="284" t="s">
        <v>355</v>
      </c>
      <c r="F131" s="285">
        <f t="shared" si="55"/>
        <v>33.17</v>
      </c>
      <c r="G131" s="285">
        <v>1.2</v>
      </c>
      <c r="H131" s="285"/>
      <c r="I131" s="285">
        <v>1.97</v>
      </c>
      <c r="J131" s="285"/>
      <c r="K131" s="285"/>
      <c r="L131" s="285"/>
      <c r="M131" s="285"/>
      <c r="N131" s="285">
        <v>30</v>
      </c>
      <c r="O131" s="285" t="s">
        <v>1030</v>
      </c>
      <c r="P131" s="285">
        <f t="shared" si="36"/>
        <v>33.17</v>
      </c>
      <c r="Q131" s="285">
        <v>33.17</v>
      </c>
      <c r="R131" s="285"/>
      <c r="S131" s="285"/>
      <c r="T131" s="285"/>
      <c r="U131" s="285"/>
      <c r="V131" s="298">
        <f t="shared" si="56"/>
        <v>-0.3</v>
      </c>
      <c r="W131" s="298"/>
      <c r="X131" s="298"/>
      <c r="Y131" s="298">
        <v>-0.3</v>
      </c>
      <c r="Z131" s="298"/>
      <c r="AA131" s="298"/>
      <c r="AB131" s="298"/>
      <c r="AC131" s="298"/>
      <c r="AD131" s="298"/>
      <c r="AE131" s="285"/>
      <c r="AF131" s="299">
        <f t="shared" si="37"/>
        <v>-0.300000000000004</v>
      </c>
      <c r="AG131" s="299">
        <f t="shared" si="38"/>
        <v>-0.300000000000004</v>
      </c>
      <c r="AH131" s="299">
        <f t="shared" si="39"/>
        <v>0</v>
      </c>
      <c r="AI131" s="299">
        <f t="shared" si="40"/>
        <v>0</v>
      </c>
      <c r="AJ131" s="299">
        <f t="shared" si="41"/>
        <v>0</v>
      </c>
      <c r="AK131" s="299">
        <f t="shared" si="42"/>
        <v>0</v>
      </c>
      <c r="AL131" s="298">
        <f t="shared" si="57"/>
        <v>32.87</v>
      </c>
      <c r="AM131" s="298">
        <f t="shared" si="58"/>
        <v>1.2</v>
      </c>
      <c r="AN131" s="298">
        <f t="shared" si="59"/>
        <v>0</v>
      </c>
      <c r="AO131" s="298">
        <f t="shared" si="60"/>
        <v>1.67</v>
      </c>
      <c r="AP131" s="298">
        <f t="shared" si="61"/>
        <v>0</v>
      </c>
      <c r="AQ131" s="298">
        <f t="shared" si="62"/>
        <v>0</v>
      </c>
      <c r="AR131" s="298">
        <f t="shared" si="63"/>
        <v>0</v>
      </c>
      <c r="AS131" s="298">
        <f t="shared" si="53"/>
        <v>0</v>
      </c>
      <c r="AT131" s="298">
        <f t="shared" si="64"/>
        <v>30</v>
      </c>
      <c r="AU131" s="285">
        <f t="shared" si="43"/>
        <v>32.87</v>
      </c>
      <c r="AV131" s="298">
        <v>32.87</v>
      </c>
      <c r="AW131" s="285"/>
      <c r="AX131" s="285"/>
      <c r="AY131" s="285"/>
      <c r="AZ131" s="285"/>
      <c r="BA131" s="285"/>
    </row>
    <row r="132" s="258" customFormat="1" ht="24" spans="1:53">
      <c r="A132" s="283">
        <v>125</v>
      </c>
      <c r="B132" s="284" t="s">
        <v>208</v>
      </c>
      <c r="C132" s="284" t="s">
        <v>196</v>
      </c>
      <c r="D132" s="284" t="s">
        <v>360</v>
      </c>
      <c r="E132" s="284" t="s">
        <v>355</v>
      </c>
      <c r="F132" s="285">
        <f t="shared" si="55"/>
        <v>12.64</v>
      </c>
      <c r="G132" s="285">
        <v>1.2</v>
      </c>
      <c r="H132" s="285"/>
      <c r="I132" s="285">
        <v>1.44</v>
      </c>
      <c r="J132" s="285"/>
      <c r="K132" s="285"/>
      <c r="L132" s="285"/>
      <c r="M132" s="285"/>
      <c r="N132" s="285">
        <v>10</v>
      </c>
      <c r="O132" s="285" t="s">
        <v>1031</v>
      </c>
      <c r="P132" s="285">
        <f t="shared" si="36"/>
        <v>12.64</v>
      </c>
      <c r="Q132" s="285">
        <v>12.64</v>
      </c>
      <c r="R132" s="285"/>
      <c r="S132" s="285"/>
      <c r="T132" s="285"/>
      <c r="U132" s="285"/>
      <c r="V132" s="298">
        <f t="shared" si="56"/>
        <v>0.14</v>
      </c>
      <c r="W132" s="298"/>
      <c r="X132" s="298"/>
      <c r="Y132" s="298"/>
      <c r="Z132" s="298"/>
      <c r="AA132" s="298"/>
      <c r="AB132" s="298">
        <v>0.14</v>
      </c>
      <c r="AC132" s="298"/>
      <c r="AD132" s="298"/>
      <c r="AE132" s="285" t="s">
        <v>1032</v>
      </c>
      <c r="AF132" s="299">
        <f t="shared" si="37"/>
        <v>0.14</v>
      </c>
      <c r="AG132" s="299">
        <f t="shared" si="38"/>
        <v>0</v>
      </c>
      <c r="AH132" s="299">
        <f t="shared" si="39"/>
        <v>0</v>
      </c>
      <c r="AI132" s="299">
        <f t="shared" si="40"/>
        <v>0.14</v>
      </c>
      <c r="AJ132" s="299">
        <f t="shared" si="41"/>
        <v>0</v>
      </c>
      <c r="AK132" s="299">
        <f t="shared" si="42"/>
        <v>0</v>
      </c>
      <c r="AL132" s="298">
        <f t="shared" si="57"/>
        <v>12.78</v>
      </c>
      <c r="AM132" s="298">
        <f t="shared" si="58"/>
        <v>1.2</v>
      </c>
      <c r="AN132" s="298">
        <f t="shared" si="59"/>
        <v>0</v>
      </c>
      <c r="AO132" s="298">
        <f t="shared" si="60"/>
        <v>1.44</v>
      </c>
      <c r="AP132" s="298">
        <f t="shared" si="61"/>
        <v>0</v>
      </c>
      <c r="AQ132" s="298">
        <f t="shared" si="62"/>
        <v>0</v>
      </c>
      <c r="AR132" s="298">
        <f t="shared" si="63"/>
        <v>0.14</v>
      </c>
      <c r="AS132" s="298">
        <f t="shared" si="53"/>
        <v>0</v>
      </c>
      <c r="AT132" s="298">
        <f t="shared" si="64"/>
        <v>10</v>
      </c>
      <c r="AU132" s="285">
        <f t="shared" si="43"/>
        <v>12.78</v>
      </c>
      <c r="AV132" s="298">
        <v>12.64</v>
      </c>
      <c r="AW132" s="285"/>
      <c r="AX132" s="285">
        <v>0.14</v>
      </c>
      <c r="AY132" s="285"/>
      <c r="AZ132" s="285"/>
      <c r="BA132" s="285"/>
    </row>
    <row r="133" s="258" customFormat="1" ht="24" spans="1:53">
      <c r="A133" s="283">
        <v>126</v>
      </c>
      <c r="B133" s="284" t="s">
        <v>195</v>
      </c>
      <c r="C133" s="284" t="s">
        <v>199</v>
      </c>
      <c r="D133" s="284" t="s">
        <v>361</v>
      </c>
      <c r="E133" s="284" t="s">
        <v>362</v>
      </c>
      <c r="F133" s="285">
        <f t="shared" si="55"/>
        <v>5</v>
      </c>
      <c r="G133" s="285"/>
      <c r="H133" s="285"/>
      <c r="I133" s="285"/>
      <c r="J133" s="285"/>
      <c r="K133" s="285"/>
      <c r="L133" s="285"/>
      <c r="M133" s="285"/>
      <c r="N133" s="285">
        <v>5</v>
      </c>
      <c r="O133" s="285" t="s">
        <v>1033</v>
      </c>
      <c r="P133" s="285">
        <f t="shared" si="36"/>
        <v>5</v>
      </c>
      <c r="Q133" s="285">
        <v>5</v>
      </c>
      <c r="R133" s="285"/>
      <c r="S133" s="285"/>
      <c r="T133" s="285"/>
      <c r="U133" s="285"/>
      <c r="V133" s="298">
        <f t="shared" si="56"/>
        <v>0</v>
      </c>
      <c r="W133" s="298"/>
      <c r="X133" s="298"/>
      <c r="Y133" s="298"/>
      <c r="Z133" s="298"/>
      <c r="AA133" s="298"/>
      <c r="AB133" s="298"/>
      <c r="AC133" s="298"/>
      <c r="AD133" s="298"/>
      <c r="AE133" s="285"/>
      <c r="AF133" s="299">
        <f t="shared" si="37"/>
        <v>0</v>
      </c>
      <c r="AG133" s="299">
        <f t="shared" si="38"/>
        <v>0</v>
      </c>
      <c r="AH133" s="299">
        <f t="shared" si="39"/>
        <v>0</v>
      </c>
      <c r="AI133" s="299">
        <f t="shared" si="40"/>
        <v>0</v>
      </c>
      <c r="AJ133" s="299">
        <f t="shared" si="41"/>
        <v>0</v>
      </c>
      <c r="AK133" s="299">
        <f t="shared" si="42"/>
        <v>0</v>
      </c>
      <c r="AL133" s="298">
        <f t="shared" si="57"/>
        <v>5</v>
      </c>
      <c r="AM133" s="298">
        <f t="shared" si="58"/>
        <v>0</v>
      </c>
      <c r="AN133" s="298">
        <f t="shared" si="59"/>
        <v>0</v>
      </c>
      <c r="AO133" s="298">
        <f t="shared" si="60"/>
        <v>0</v>
      </c>
      <c r="AP133" s="298">
        <f t="shared" si="61"/>
        <v>0</v>
      </c>
      <c r="AQ133" s="298">
        <f t="shared" si="62"/>
        <v>0</v>
      </c>
      <c r="AR133" s="298">
        <f t="shared" si="63"/>
        <v>0</v>
      </c>
      <c r="AS133" s="298">
        <f t="shared" si="53"/>
        <v>0</v>
      </c>
      <c r="AT133" s="298">
        <f t="shared" si="64"/>
        <v>5</v>
      </c>
      <c r="AU133" s="285">
        <f t="shared" si="43"/>
        <v>5</v>
      </c>
      <c r="AV133" s="298">
        <v>5</v>
      </c>
      <c r="AW133" s="285"/>
      <c r="AX133" s="285"/>
      <c r="AY133" s="285"/>
      <c r="AZ133" s="285"/>
      <c r="BA133" s="285"/>
    </row>
    <row r="134" s="258" customFormat="1" ht="24" spans="1:53">
      <c r="A134" s="283">
        <v>127</v>
      </c>
      <c r="B134" s="284" t="s">
        <v>195</v>
      </c>
      <c r="C134" s="284" t="s">
        <v>199</v>
      </c>
      <c r="D134" s="284" t="s">
        <v>364</v>
      </c>
      <c r="E134" s="284" t="s">
        <v>362</v>
      </c>
      <c r="F134" s="285">
        <f t="shared" si="55"/>
        <v>1.8</v>
      </c>
      <c r="G134" s="285">
        <v>1.8</v>
      </c>
      <c r="H134" s="285"/>
      <c r="I134" s="285"/>
      <c r="J134" s="285"/>
      <c r="K134" s="285"/>
      <c r="L134" s="285"/>
      <c r="M134" s="285"/>
      <c r="N134" s="285"/>
      <c r="O134" s="285"/>
      <c r="P134" s="285">
        <f t="shared" si="36"/>
        <v>1.8</v>
      </c>
      <c r="Q134" s="285">
        <v>1.8</v>
      </c>
      <c r="R134" s="285"/>
      <c r="S134" s="285"/>
      <c r="T134" s="285"/>
      <c r="U134" s="285"/>
      <c r="V134" s="298">
        <f t="shared" si="56"/>
        <v>0</v>
      </c>
      <c r="W134" s="298"/>
      <c r="X134" s="298"/>
      <c r="Y134" s="298"/>
      <c r="Z134" s="298"/>
      <c r="AA134" s="298"/>
      <c r="AB134" s="298"/>
      <c r="AC134" s="298"/>
      <c r="AD134" s="298"/>
      <c r="AE134" s="285"/>
      <c r="AF134" s="299">
        <f t="shared" si="37"/>
        <v>0</v>
      </c>
      <c r="AG134" s="299">
        <f t="shared" si="38"/>
        <v>0</v>
      </c>
      <c r="AH134" s="299">
        <f t="shared" si="39"/>
        <v>0</v>
      </c>
      <c r="AI134" s="299">
        <f t="shared" si="40"/>
        <v>0</v>
      </c>
      <c r="AJ134" s="299">
        <f t="shared" si="41"/>
        <v>0</v>
      </c>
      <c r="AK134" s="299">
        <f t="shared" si="42"/>
        <v>0</v>
      </c>
      <c r="AL134" s="298">
        <f t="shared" si="57"/>
        <v>1.8</v>
      </c>
      <c r="AM134" s="298">
        <f t="shared" si="58"/>
        <v>1.8</v>
      </c>
      <c r="AN134" s="298">
        <f t="shared" si="59"/>
        <v>0</v>
      </c>
      <c r="AO134" s="298">
        <f t="shared" si="60"/>
        <v>0</v>
      </c>
      <c r="AP134" s="298">
        <f t="shared" si="61"/>
        <v>0</v>
      </c>
      <c r="AQ134" s="298">
        <f t="shared" si="62"/>
        <v>0</v>
      </c>
      <c r="AR134" s="298">
        <f t="shared" si="63"/>
        <v>0</v>
      </c>
      <c r="AS134" s="298">
        <f t="shared" si="53"/>
        <v>0</v>
      </c>
      <c r="AT134" s="298">
        <f t="shared" si="64"/>
        <v>0</v>
      </c>
      <c r="AU134" s="285">
        <f t="shared" si="43"/>
        <v>1.8</v>
      </c>
      <c r="AV134" s="298">
        <v>1.8</v>
      </c>
      <c r="AW134" s="285"/>
      <c r="AX134" s="285"/>
      <c r="AY134" s="285"/>
      <c r="AZ134" s="285"/>
      <c r="BA134" s="285"/>
    </row>
    <row r="135" s="258" customFormat="1" ht="24" spans="1:53">
      <c r="A135" s="283">
        <v>128</v>
      </c>
      <c r="B135" s="284" t="s">
        <v>208</v>
      </c>
      <c r="C135" s="284" t="s">
        <v>199</v>
      </c>
      <c r="D135" s="284" t="s">
        <v>365</v>
      </c>
      <c r="E135" s="284" t="s">
        <v>362</v>
      </c>
      <c r="F135" s="285">
        <f t="shared" si="55"/>
        <v>1.2</v>
      </c>
      <c r="G135" s="285">
        <v>1.2</v>
      </c>
      <c r="H135" s="285"/>
      <c r="I135" s="285"/>
      <c r="J135" s="285"/>
      <c r="K135" s="285"/>
      <c r="L135" s="285"/>
      <c r="M135" s="285"/>
      <c r="N135" s="285"/>
      <c r="O135" s="285"/>
      <c r="P135" s="285">
        <f t="shared" si="36"/>
        <v>1.2</v>
      </c>
      <c r="Q135" s="285">
        <v>1.2</v>
      </c>
      <c r="R135" s="285"/>
      <c r="S135" s="285"/>
      <c r="T135" s="285"/>
      <c r="U135" s="285"/>
      <c r="V135" s="298">
        <f t="shared" si="56"/>
        <v>0</v>
      </c>
      <c r="W135" s="298"/>
      <c r="X135" s="298"/>
      <c r="Y135" s="298"/>
      <c r="Z135" s="298"/>
      <c r="AA135" s="298"/>
      <c r="AB135" s="298"/>
      <c r="AC135" s="298"/>
      <c r="AD135" s="298"/>
      <c r="AE135" s="285"/>
      <c r="AF135" s="299">
        <f t="shared" si="37"/>
        <v>0</v>
      </c>
      <c r="AG135" s="299">
        <f t="shared" si="38"/>
        <v>0</v>
      </c>
      <c r="AH135" s="299">
        <f t="shared" si="39"/>
        <v>0</v>
      </c>
      <c r="AI135" s="299">
        <f t="shared" si="40"/>
        <v>0</v>
      </c>
      <c r="AJ135" s="299">
        <f t="shared" si="41"/>
        <v>0</v>
      </c>
      <c r="AK135" s="299">
        <f t="shared" si="42"/>
        <v>0</v>
      </c>
      <c r="AL135" s="298">
        <f t="shared" si="57"/>
        <v>1.2</v>
      </c>
      <c r="AM135" s="298">
        <f t="shared" si="58"/>
        <v>1.2</v>
      </c>
      <c r="AN135" s="298">
        <f t="shared" si="59"/>
        <v>0</v>
      </c>
      <c r="AO135" s="298">
        <f t="shared" si="60"/>
        <v>0</v>
      </c>
      <c r="AP135" s="298">
        <f t="shared" si="61"/>
        <v>0</v>
      </c>
      <c r="AQ135" s="298">
        <f t="shared" si="62"/>
        <v>0</v>
      </c>
      <c r="AR135" s="298">
        <f t="shared" si="63"/>
        <v>0</v>
      </c>
      <c r="AS135" s="298">
        <f t="shared" si="53"/>
        <v>0</v>
      </c>
      <c r="AT135" s="298">
        <f t="shared" si="64"/>
        <v>0</v>
      </c>
      <c r="AU135" s="285">
        <f t="shared" si="43"/>
        <v>1.2</v>
      </c>
      <c r="AV135" s="298">
        <v>1.2</v>
      </c>
      <c r="AW135" s="285"/>
      <c r="AX135" s="285"/>
      <c r="AY135" s="285"/>
      <c r="AZ135" s="285"/>
      <c r="BA135" s="285"/>
    </row>
    <row r="136" s="258" customFormat="1" ht="36" spans="1:53">
      <c r="A136" s="283">
        <v>129</v>
      </c>
      <c r="B136" s="284" t="s">
        <v>195</v>
      </c>
      <c r="C136" s="284" t="s">
        <v>196</v>
      </c>
      <c r="D136" s="284" t="s">
        <v>401</v>
      </c>
      <c r="E136" s="284" t="s">
        <v>368</v>
      </c>
      <c r="F136" s="285">
        <f t="shared" si="55"/>
        <v>10</v>
      </c>
      <c r="G136" s="285"/>
      <c r="H136" s="285"/>
      <c r="I136" s="285"/>
      <c r="J136" s="285"/>
      <c r="K136" s="285">
        <v>10</v>
      </c>
      <c r="L136" s="285"/>
      <c r="M136" s="285"/>
      <c r="N136" s="285"/>
      <c r="O136" s="285"/>
      <c r="P136" s="285">
        <f t="shared" si="36"/>
        <v>10</v>
      </c>
      <c r="Q136" s="285">
        <v>10</v>
      </c>
      <c r="R136" s="285"/>
      <c r="S136" s="285"/>
      <c r="T136" s="285"/>
      <c r="U136" s="285"/>
      <c r="V136" s="298">
        <f t="shared" si="56"/>
        <v>0</v>
      </c>
      <c r="W136" s="298"/>
      <c r="X136" s="298"/>
      <c r="Y136" s="298"/>
      <c r="Z136" s="298"/>
      <c r="AA136" s="298"/>
      <c r="AB136" s="298"/>
      <c r="AC136" s="298"/>
      <c r="AD136" s="298"/>
      <c r="AE136" s="285"/>
      <c r="AF136" s="299">
        <f t="shared" si="37"/>
        <v>0</v>
      </c>
      <c r="AG136" s="299">
        <f t="shared" si="38"/>
        <v>0</v>
      </c>
      <c r="AH136" s="299">
        <f t="shared" si="39"/>
        <v>0</v>
      </c>
      <c r="AI136" s="299">
        <f t="shared" si="40"/>
        <v>0</v>
      </c>
      <c r="AJ136" s="299">
        <f t="shared" si="41"/>
        <v>0</v>
      </c>
      <c r="AK136" s="299">
        <f t="shared" si="42"/>
        <v>0</v>
      </c>
      <c r="AL136" s="298">
        <f t="shared" si="57"/>
        <v>10</v>
      </c>
      <c r="AM136" s="298">
        <f t="shared" si="58"/>
        <v>0</v>
      </c>
      <c r="AN136" s="298">
        <f t="shared" si="59"/>
        <v>0</v>
      </c>
      <c r="AO136" s="298">
        <f t="shared" si="60"/>
        <v>0</v>
      </c>
      <c r="AP136" s="298">
        <f t="shared" si="61"/>
        <v>0</v>
      </c>
      <c r="AQ136" s="298">
        <f t="shared" si="62"/>
        <v>10</v>
      </c>
      <c r="AR136" s="298">
        <f t="shared" si="63"/>
        <v>0</v>
      </c>
      <c r="AS136" s="298">
        <f t="shared" si="53"/>
        <v>0</v>
      </c>
      <c r="AT136" s="298">
        <f t="shared" si="64"/>
        <v>0</v>
      </c>
      <c r="AU136" s="285">
        <f t="shared" si="43"/>
        <v>10</v>
      </c>
      <c r="AV136" s="298">
        <v>10</v>
      </c>
      <c r="AW136" s="285"/>
      <c r="AX136" s="285"/>
      <c r="AY136" s="285"/>
      <c r="AZ136" s="285"/>
      <c r="BA136" s="285"/>
    </row>
    <row r="137" s="258" customFormat="1" ht="36" spans="1:53">
      <c r="A137" s="283">
        <v>130</v>
      </c>
      <c r="B137" s="284" t="s">
        <v>195</v>
      </c>
      <c r="C137" s="284" t="s">
        <v>196</v>
      </c>
      <c r="D137" s="284" t="s">
        <v>402</v>
      </c>
      <c r="E137" s="284" t="s">
        <v>368</v>
      </c>
      <c r="F137" s="285">
        <f t="shared" si="55"/>
        <v>8</v>
      </c>
      <c r="G137" s="285"/>
      <c r="H137" s="285"/>
      <c r="I137" s="285"/>
      <c r="J137" s="285"/>
      <c r="K137" s="285">
        <v>8</v>
      </c>
      <c r="L137" s="285"/>
      <c r="M137" s="285"/>
      <c r="N137" s="285"/>
      <c r="O137" s="285"/>
      <c r="P137" s="285">
        <f t="shared" ref="P137:P177" si="65">SUM(Q137:S137)</f>
        <v>8</v>
      </c>
      <c r="Q137" s="285">
        <v>8</v>
      </c>
      <c r="R137" s="285"/>
      <c r="S137" s="285"/>
      <c r="T137" s="285"/>
      <c r="U137" s="285"/>
      <c r="V137" s="298">
        <f t="shared" si="56"/>
        <v>0</v>
      </c>
      <c r="W137" s="298"/>
      <c r="X137" s="298"/>
      <c r="Y137" s="298"/>
      <c r="Z137" s="298"/>
      <c r="AA137" s="298"/>
      <c r="AB137" s="298"/>
      <c r="AC137" s="298"/>
      <c r="AD137" s="298"/>
      <c r="AE137" s="285"/>
      <c r="AF137" s="299">
        <f t="shared" ref="AF137:AF177" si="66">SUM(AG137:AI137)</f>
        <v>0</v>
      </c>
      <c r="AG137" s="299">
        <f t="shared" ref="AG137:AG177" si="67">AV137-Q137</f>
        <v>0</v>
      </c>
      <c r="AH137" s="299">
        <f t="shared" ref="AH137:AH177" si="68">AW137-R137</f>
        <v>0</v>
      </c>
      <c r="AI137" s="299">
        <f t="shared" ref="AI137:AI177" si="69">AX137-S137</f>
        <v>0</v>
      </c>
      <c r="AJ137" s="299">
        <f t="shared" ref="AJ137:AJ177" si="70">AY137-T137</f>
        <v>0</v>
      </c>
      <c r="AK137" s="299">
        <f t="shared" ref="AK137:AK177" si="71">AZ137-U137</f>
        <v>0</v>
      </c>
      <c r="AL137" s="298">
        <f t="shared" si="57"/>
        <v>8</v>
      </c>
      <c r="AM137" s="298">
        <f t="shared" si="58"/>
        <v>0</v>
      </c>
      <c r="AN137" s="298">
        <f t="shared" si="59"/>
        <v>0</v>
      </c>
      <c r="AO137" s="298">
        <f t="shared" si="60"/>
        <v>0</v>
      </c>
      <c r="AP137" s="298">
        <f t="shared" si="61"/>
        <v>0</v>
      </c>
      <c r="AQ137" s="298">
        <f t="shared" si="62"/>
        <v>8</v>
      </c>
      <c r="AR137" s="298">
        <f t="shared" si="63"/>
        <v>0</v>
      </c>
      <c r="AS137" s="298">
        <f t="shared" si="53"/>
        <v>0</v>
      </c>
      <c r="AT137" s="298">
        <f t="shared" si="64"/>
        <v>0</v>
      </c>
      <c r="AU137" s="285">
        <f t="shared" ref="AU137:AU177" si="72">SUM(AV137:AX137)</f>
        <v>8</v>
      </c>
      <c r="AV137" s="298">
        <v>8</v>
      </c>
      <c r="AW137" s="285"/>
      <c r="AX137" s="285"/>
      <c r="AY137" s="285"/>
      <c r="AZ137" s="285"/>
      <c r="BA137" s="285"/>
    </row>
    <row r="138" s="258" customFormat="1" ht="36" spans="1:53">
      <c r="A138" s="283">
        <v>131</v>
      </c>
      <c r="B138" s="284" t="s">
        <v>195</v>
      </c>
      <c r="C138" s="284" t="s">
        <v>199</v>
      </c>
      <c r="D138" s="284" t="s">
        <v>1034</v>
      </c>
      <c r="E138" s="284" t="s">
        <v>368</v>
      </c>
      <c r="F138" s="285">
        <f t="shared" ref="F138:F177" si="73">SUM(G138:N138)</f>
        <v>0</v>
      </c>
      <c r="G138" s="285"/>
      <c r="H138" s="285"/>
      <c r="I138" s="285"/>
      <c r="J138" s="285"/>
      <c r="K138" s="285"/>
      <c r="L138" s="285"/>
      <c r="M138" s="285"/>
      <c r="N138" s="285"/>
      <c r="O138" s="285"/>
      <c r="P138" s="285">
        <f t="shared" si="65"/>
        <v>0</v>
      </c>
      <c r="Q138" s="285">
        <v>0</v>
      </c>
      <c r="R138" s="285"/>
      <c r="S138" s="285"/>
      <c r="T138" s="285"/>
      <c r="U138" s="285"/>
      <c r="V138" s="298">
        <f t="shared" ref="V138:V177" si="74">SUM(W138:AD138)</f>
        <v>0</v>
      </c>
      <c r="W138" s="298"/>
      <c r="X138" s="298"/>
      <c r="Y138" s="298"/>
      <c r="Z138" s="298"/>
      <c r="AA138" s="298"/>
      <c r="AB138" s="298"/>
      <c r="AC138" s="298"/>
      <c r="AD138" s="298"/>
      <c r="AE138" s="285"/>
      <c r="AF138" s="299">
        <f t="shared" si="66"/>
        <v>0</v>
      </c>
      <c r="AG138" s="299">
        <f t="shared" si="67"/>
        <v>0</v>
      </c>
      <c r="AH138" s="299">
        <f t="shared" si="68"/>
        <v>0</v>
      </c>
      <c r="AI138" s="299">
        <f t="shared" si="69"/>
        <v>0</v>
      </c>
      <c r="AJ138" s="299">
        <f t="shared" si="70"/>
        <v>0</v>
      </c>
      <c r="AK138" s="299">
        <f t="shared" si="71"/>
        <v>0</v>
      </c>
      <c r="AL138" s="298">
        <f t="shared" ref="AL138:AL177" si="75">SUM(AM138:AT138)</f>
        <v>0</v>
      </c>
      <c r="AM138" s="298">
        <f t="shared" ref="AM138:AM177" si="76">G138+W138</f>
        <v>0</v>
      </c>
      <c r="AN138" s="298">
        <f t="shared" ref="AN138:AN177" si="77">H138+X138</f>
        <v>0</v>
      </c>
      <c r="AO138" s="298">
        <f t="shared" ref="AO138:AO177" si="78">I138+Y138</f>
        <v>0</v>
      </c>
      <c r="AP138" s="298">
        <f t="shared" ref="AP138:AP177" si="79">J138+Z138</f>
        <v>0</v>
      </c>
      <c r="AQ138" s="298">
        <f t="shared" ref="AQ138:AQ177" si="80">K138+AA138</f>
        <v>0</v>
      </c>
      <c r="AR138" s="298">
        <f t="shared" ref="AR138:AR177" si="81">M138+AB138</f>
        <v>0</v>
      </c>
      <c r="AS138" s="298">
        <f t="shared" ref="AS138:AS201" si="82">AC138</f>
        <v>0</v>
      </c>
      <c r="AT138" s="298">
        <f t="shared" ref="AT138:AT177" si="83">N138+AD138</f>
        <v>0</v>
      </c>
      <c r="AU138" s="285">
        <f t="shared" si="72"/>
        <v>0</v>
      </c>
      <c r="AV138" s="298">
        <v>0</v>
      </c>
      <c r="AW138" s="285"/>
      <c r="AX138" s="285"/>
      <c r="AY138" s="285"/>
      <c r="AZ138" s="285"/>
      <c r="BA138" s="285"/>
    </row>
    <row r="139" s="258" customFormat="1" ht="36" spans="1:53">
      <c r="A139" s="283">
        <v>132</v>
      </c>
      <c r="B139" s="284" t="s">
        <v>195</v>
      </c>
      <c r="C139" s="284" t="s">
        <v>196</v>
      </c>
      <c r="D139" s="284" t="s">
        <v>403</v>
      </c>
      <c r="E139" s="284" t="s">
        <v>368</v>
      </c>
      <c r="F139" s="285">
        <f t="shared" si="73"/>
        <v>17</v>
      </c>
      <c r="G139" s="285"/>
      <c r="H139" s="285"/>
      <c r="I139" s="285"/>
      <c r="J139" s="285"/>
      <c r="K139" s="285">
        <v>17</v>
      </c>
      <c r="L139" s="285"/>
      <c r="M139" s="285"/>
      <c r="N139" s="285"/>
      <c r="O139" s="285"/>
      <c r="P139" s="285">
        <f t="shared" si="65"/>
        <v>17</v>
      </c>
      <c r="Q139" s="285">
        <v>17</v>
      </c>
      <c r="R139" s="285"/>
      <c r="S139" s="285"/>
      <c r="T139" s="285"/>
      <c r="U139" s="285"/>
      <c r="V139" s="298">
        <f t="shared" si="74"/>
        <v>0</v>
      </c>
      <c r="W139" s="298"/>
      <c r="X139" s="298"/>
      <c r="Y139" s="298"/>
      <c r="Z139" s="298"/>
      <c r="AA139" s="298"/>
      <c r="AB139" s="298"/>
      <c r="AC139" s="298"/>
      <c r="AD139" s="298"/>
      <c r="AE139" s="285"/>
      <c r="AF139" s="299">
        <f t="shared" si="66"/>
        <v>0</v>
      </c>
      <c r="AG139" s="299">
        <f t="shared" si="67"/>
        <v>0</v>
      </c>
      <c r="AH139" s="299">
        <f t="shared" si="68"/>
        <v>0</v>
      </c>
      <c r="AI139" s="299">
        <f t="shared" si="69"/>
        <v>0</v>
      </c>
      <c r="AJ139" s="299">
        <f t="shared" si="70"/>
        <v>0</v>
      </c>
      <c r="AK139" s="299">
        <f t="shared" si="71"/>
        <v>0</v>
      </c>
      <c r="AL139" s="298">
        <f t="shared" si="75"/>
        <v>17</v>
      </c>
      <c r="AM139" s="298">
        <f t="shared" si="76"/>
        <v>0</v>
      </c>
      <c r="AN139" s="298">
        <f t="shared" si="77"/>
        <v>0</v>
      </c>
      <c r="AO139" s="298">
        <f t="shared" si="78"/>
        <v>0</v>
      </c>
      <c r="AP139" s="298">
        <f t="shared" si="79"/>
        <v>0</v>
      </c>
      <c r="AQ139" s="298">
        <f t="shared" si="80"/>
        <v>17</v>
      </c>
      <c r="AR139" s="298">
        <f t="shared" si="81"/>
        <v>0</v>
      </c>
      <c r="AS139" s="298">
        <f t="shared" si="82"/>
        <v>0</v>
      </c>
      <c r="AT139" s="298">
        <f t="shared" si="83"/>
        <v>0</v>
      </c>
      <c r="AU139" s="285">
        <f t="shared" si="72"/>
        <v>17</v>
      </c>
      <c r="AV139" s="298">
        <v>17</v>
      </c>
      <c r="AW139" s="285"/>
      <c r="AX139" s="285"/>
      <c r="AY139" s="285"/>
      <c r="AZ139" s="285"/>
      <c r="BA139" s="285"/>
    </row>
    <row r="140" s="258" customFormat="1" ht="36" spans="1:53">
      <c r="A140" s="283">
        <v>133</v>
      </c>
      <c r="B140" s="284" t="s">
        <v>195</v>
      </c>
      <c r="C140" s="284" t="s">
        <v>366</v>
      </c>
      <c r="D140" s="284" t="s">
        <v>367</v>
      </c>
      <c r="E140" s="284" t="s">
        <v>368</v>
      </c>
      <c r="F140" s="285">
        <f t="shared" si="73"/>
        <v>20</v>
      </c>
      <c r="G140" s="285"/>
      <c r="H140" s="285"/>
      <c r="I140" s="285"/>
      <c r="J140" s="285"/>
      <c r="K140" s="285">
        <v>20</v>
      </c>
      <c r="L140" s="285"/>
      <c r="M140" s="285"/>
      <c r="N140" s="285"/>
      <c r="O140" s="285"/>
      <c r="P140" s="285">
        <f t="shared" si="65"/>
        <v>20</v>
      </c>
      <c r="Q140" s="285">
        <v>20</v>
      </c>
      <c r="R140" s="285"/>
      <c r="S140" s="285"/>
      <c r="T140" s="285"/>
      <c r="U140" s="285"/>
      <c r="V140" s="298">
        <f t="shared" si="74"/>
        <v>36</v>
      </c>
      <c r="W140" s="298"/>
      <c r="X140" s="298"/>
      <c r="Y140" s="298"/>
      <c r="Z140" s="298"/>
      <c r="AA140" s="298"/>
      <c r="AB140" s="298">
        <v>36</v>
      </c>
      <c r="AC140" s="298"/>
      <c r="AD140" s="298"/>
      <c r="AE140" s="285" t="s">
        <v>1035</v>
      </c>
      <c r="AF140" s="299">
        <f t="shared" si="66"/>
        <v>36</v>
      </c>
      <c r="AG140" s="299">
        <f t="shared" si="67"/>
        <v>0</v>
      </c>
      <c r="AH140" s="299">
        <f t="shared" si="68"/>
        <v>0</v>
      </c>
      <c r="AI140" s="299">
        <f t="shared" si="69"/>
        <v>36</v>
      </c>
      <c r="AJ140" s="299">
        <f t="shared" si="70"/>
        <v>0</v>
      </c>
      <c r="AK140" s="299">
        <f t="shared" si="71"/>
        <v>0</v>
      </c>
      <c r="AL140" s="298">
        <f t="shared" si="75"/>
        <v>56</v>
      </c>
      <c r="AM140" s="298">
        <f t="shared" si="76"/>
        <v>0</v>
      </c>
      <c r="AN140" s="298">
        <f t="shared" si="77"/>
        <v>0</v>
      </c>
      <c r="AO140" s="298">
        <f t="shared" si="78"/>
        <v>0</v>
      </c>
      <c r="AP140" s="298">
        <f t="shared" si="79"/>
        <v>0</v>
      </c>
      <c r="AQ140" s="298">
        <f t="shared" si="80"/>
        <v>20</v>
      </c>
      <c r="AR140" s="298">
        <f t="shared" si="81"/>
        <v>36</v>
      </c>
      <c r="AS140" s="298">
        <f t="shared" si="82"/>
        <v>0</v>
      </c>
      <c r="AT140" s="298">
        <f t="shared" si="83"/>
        <v>0</v>
      </c>
      <c r="AU140" s="285">
        <f t="shared" si="72"/>
        <v>56</v>
      </c>
      <c r="AV140" s="298">
        <v>20</v>
      </c>
      <c r="AW140" s="285"/>
      <c r="AX140" s="285">
        <v>36</v>
      </c>
      <c r="AY140" s="285"/>
      <c r="AZ140" s="285"/>
      <c r="BA140" s="285"/>
    </row>
    <row r="141" s="258" customFormat="1" ht="24" spans="1:53">
      <c r="A141" s="283">
        <v>134</v>
      </c>
      <c r="B141" s="284" t="s">
        <v>195</v>
      </c>
      <c r="C141" s="284" t="s">
        <v>196</v>
      </c>
      <c r="D141" s="284" t="s">
        <v>369</v>
      </c>
      <c r="E141" s="284" t="s">
        <v>370</v>
      </c>
      <c r="F141" s="285">
        <f t="shared" si="73"/>
        <v>239.308</v>
      </c>
      <c r="G141" s="285">
        <v>85</v>
      </c>
      <c r="H141" s="285">
        <v>9.6</v>
      </c>
      <c r="I141" s="285">
        <v>24.708</v>
      </c>
      <c r="J141" s="285"/>
      <c r="K141" s="285">
        <v>100</v>
      </c>
      <c r="L141" s="285" t="s">
        <v>1036</v>
      </c>
      <c r="M141" s="285"/>
      <c r="N141" s="285">
        <v>20</v>
      </c>
      <c r="O141" s="285" t="s">
        <v>1037</v>
      </c>
      <c r="P141" s="285">
        <f t="shared" si="65"/>
        <v>239.308</v>
      </c>
      <c r="Q141" s="285">
        <v>239.308</v>
      </c>
      <c r="R141" s="285"/>
      <c r="S141" s="285"/>
      <c r="T141" s="285"/>
      <c r="U141" s="285"/>
      <c r="V141" s="298">
        <f t="shared" si="74"/>
        <v>-2.12</v>
      </c>
      <c r="W141" s="298"/>
      <c r="X141" s="298"/>
      <c r="Y141" s="298">
        <v>-2.58</v>
      </c>
      <c r="Z141" s="298"/>
      <c r="AA141" s="298"/>
      <c r="AB141" s="298">
        <v>0.46</v>
      </c>
      <c r="AC141" s="298"/>
      <c r="AD141" s="298"/>
      <c r="AE141" s="285" t="s">
        <v>1038</v>
      </c>
      <c r="AF141" s="299">
        <f t="shared" si="66"/>
        <v>-2.11999999999998</v>
      </c>
      <c r="AG141" s="299">
        <f t="shared" si="67"/>
        <v>-2.57999999999998</v>
      </c>
      <c r="AH141" s="299">
        <f t="shared" si="68"/>
        <v>0</v>
      </c>
      <c r="AI141" s="299">
        <f t="shared" si="69"/>
        <v>0.46</v>
      </c>
      <c r="AJ141" s="299">
        <f t="shared" si="70"/>
        <v>0</v>
      </c>
      <c r="AK141" s="299">
        <f t="shared" si="71"/>
        <v>0</v>
      </c>
      <c r="AL141" s="298">
        <f t="shared" si="75"/>
        <v>237.188</v>
      </c>
      <c r="AM141" s="298">
        <f t="shared" si="76"/>
        <v>85</v>
      </c>
      <c r="AN141" s="298">
        <f t="shared" si="77"/>
        <v>9.6</v>
      </c>
      <c r="AO141" s="298">
        <f t="shared" si="78"/>
        <v>22.128</v>
      </c>
      <c r="AP141" s="298">
        <f t="shared" si="79"/>
        <v>0</v>
      </c>
      <c r="AQ141" s="298">
        <f t="shared" si="80"/>
        <v>100</v>
      </c>
      <c r="AR141" s="298">
        <f t="shared" si="81"/>
        <v>0.46</v>
      </c>
      <c r="AS141" s="298">
        <f t="shared" si="82"/>
        <v>0</v>
      </c>
      <c r="AT141" s="298">
        <f t="shared" si="83"/>
        <v>20</v>
      </c>
      <c r="AU141" s="285">
        <f t="shared" si="72"/>
        <v>237.188</v>
      </c>
      <c r="AV141" s="298">
        <v>236.728</v>
      </c>
      <c r="AW141" s="285"/>
      <c r="AX141" s="285">
        <v>0.46</v>
      </c>
      <c r="AY141" s="285"/>
      <c r="AZ141" s="285"/>
      <c r="BA141" s="285">
        <v>300</v>
      </c>
    </row>
    <row r="142" s="258" customFormat="1" ht="24" spans="1:53">
      <c r="A142" s="283">
        <v>135</v>
      </c>
      <c r="B142" s="284" t="s">
        <v>195</v>
      </c>
      <c r="C142" s="284" t="s">
        <v>196</v>
      </c>
      <c r="D142" s="284" t="s">
        <v>371</v>
      </c>
      <c r="E142" s="284" t="s">
        <v>370</v>
      </c>
      <c r="F142" s="285">
        <f t="shared" si="73"/>
        <v>16.208</v>
      </c>
      <c r="G142" s="285">
        <v>12.5</v>
      </c>
      <c r="H142" s="285"/>
      <c r="I142" s="285">
        <v>3.708</v>
      </c>
      <c r="J142" s="285"/>
      <c r="K142" s="285"/>
      <c r="L142" s="285"/>
      <c r="M142" s="285"/>
      <c r="N142" s="285"/>
      <c r="O142" s="285"/>
      <c r="P142" s="285">
        <f t="shared" si="65"/>
        <v>16.208</v>
      </c>
      <c r="Q142" s="285">
        <v>16.208</v>
      </c>
      <c r="R142" s="285"/>
      <c r="S142" s="285"/>
      <c r="T142" s="285"/>
      <c r="U142" s="285"/>
      <c r="V142" s="298">
        <f t="shared" si="74"/>
        <v>-0.4</v>
      </c>
      <c r="W142" s="298"/>
      <c r="X142" s="298"/>
      <c r="Y142" s="298">
        <v>-0.4</v>
      </c>
      <c r="Z142" s="298"/>
      <c r="AA142" s="298"/>
      <c r="AB142" s="298"/>
      <c r="AC142" s="298"/>
      <c r="AD142" s="298"/>
      <c r="AE142" s="285"/>
      <c r="AF142" s="299">
        <f t="shared" si="66"/>
        <v>-0.399999999999999</v>
      </c>
      <c r="AG142" s="299">
        <f t="shared" si="67"/>
        <v>-0.399999999999999</v>
      </c>
      <c r="AH142" s="299">
        <f t="shared" si="68"/>
        <v>0</v>
      </c>
      <c r="AI142" s="299">
        <f t="shared" si="69"/>
        <v>0</v>
      </c>
      <c r="AJ142" s="299">
        <f t="shared" si="70"/>
        <v>0</v>
      </c>
      <c r="AK142" s="299">
        <f t="shared" si="71"/>
        <v>0</v>
      </c>
      <c r="AL142" s="298">
        <f t="shared" si="75"/>
        <v>15.808</v>
      </c>
      <c r="AM142" s="298">
        <f t="shared" si="76"/>
        <v>12.5</v>
      </c>
      <c r="AN142" s="298">
        <f t="shared" si="77"/>
        <v>0</v>
      </c>
      <c r="AO142" s="298">
        <f t="shared" si="78"/>
        <v>3.308</v>
      </c>
      <c r="AP142" s="298">
        <f t="shared" si="79"/>
        <v>0</v>
      </c>
      <c r="AQ142" s="298">
        <f t="shared" si="80"/>
        <v>0</v>
      </c>
      <c r="AR142" s="298">
        <f t="shared" si="81"/>
        <v>0</v>
      </c>
      <c r="AS142" s="298">
        <f t="shared" si="82"/>
        <v>0</v>
      </c>
      <c r="AT142" s="298">
        <f t="shared" si="83"/>
        <v>0</v>
      </c>
      <c r="AU142" s="285">
        <f t="shared" si="72"/>
        <v>15.808</v>
      </c>
      <c r="AV142" s="298">
        <v>15.808</v>
      </c>
      <c r="AW142" s="285"/>
      <c r="AX142" s="285"/>
      <c r="AY142" s="285"/>
      <c r="AZ142" s="285"/>
      <c r="BA142" s="285"/>
    </row>
    <row r="143" s="258" customFormat="1" ht="24" spans="1:53">
      <c r="A143" s="283">
        <v>136</v>
      </c>
      <c r="B143" s="284" t="s">
        <v>195</v>
      </c>
      <c r="C143" s="284" t="s">
        <v>199</v>
      </c>
      <c r="D143" s="284" t="s">
        <v>375</v>
      </c>
      <c r="E143" s="284" t="s">
        <v>376</v>
      </c>
      <c r="F143" s="285">
        <f t="shared" si="73"/>
        <v>10</v>
      </c>
      <c r="G143" s="285">
        <v>10</v>
      </c>
      <c r="H143" s="285"/>
      <c r="I143" s="285"/>
      <c r="J143" s="285"/>
      <c r="K143" s="285"/>
      <c r="L143" s="285"/>
      <c r="M143" s="285"/>
      <c r="N143" s="285"/>
      <c r="O143" s="285"/>
      <c r="P143" s="285">
        <f t="shared" si="65"/>
        <v>10</v>
      </c>
      <c r="Q143" s="285">
        <v>10</v>
      </c>
      <c r="R143" s="285"/>
      <c r="S143" s="285"/>
      <c r="T143" s="285"/>
      <c r="U143" s="285"/>
      <c r="V143" s="298">
        <f t="shared" si="74"/>
        <v>0</v>
      </c>
      <c r="W143" s="298"/>
      <c r="X143" s="298"/>
      <c r="Y143" s="298"/>
      <c r="Z143" s="298"/>
      <c r="AA143" s="298"/>
      <c r="AB143" s="298"/>
      <c r="AC143" s="298"/>
      <c r="AD143" s="298"/>
      <c r="AE143" s="285"/>
      <c r="AF143" s="299">
        <f t="shared" si="66"/>
        <v>0</v>
      </c>
      <c r="AG143" s="299">
        <f t="shared" si="67"/>
        <v>0</v>
      </c>
      <c r="AH143" s="299">
        <f t="shared" si="68"/>
        <v>0</v>
      </c>
      <c r="AI143" s="299">
        <f t="shared" si="69"/>
        <v>0</v>
      </c>
      <c r="AJ143" s="299">
        <f t="shared" si="70"/>
        <v>0</v>
      </c>
      <c r="AK143" s="299">
        <f t="shared" si="71"/>
        <v>0</v>
      </c>
      <c r="AL143" s="298">
        <f t="shared" si="75"/>
        <v>10</v>
      </c>
      <c r="AM143" s="298">
        <f t="shared" si="76"/>
        <v>10</v>
      </c>
      <c r="AN143" s="298">
        <f t="shared" si="77"/>
        <v>0</v>
      </c>
      <c r="AO143" s="298">
        <f t="shared" si="78"/>
        <v>0</v>
      </c>
      <c r="AP143" s="298">
        <f t="shared" si="79"/>
        <v>0</v>
      </c>
      <c r="AQ143" s="298">
        <f t="shared" si="80"/>
        <v>0</v>
      </c>
      <c r="AR143" s="298">
        <f t="shared" si="81"/>
        <v>0</v>
      </c>
      <c r="AS143" s="298">
        <f t="shared" si="82"/>
        <v>0</v>
      </c>
      <c r="AT143" s="298">
        <f t="shared" si="83"/>
        <v>0</v>
      </c>
      <c r="AU143" s="285">
        <f t="shared" si="72"/>
        <v>10</v>
      </c>
      <c r="AV143" s="298">
        <v>10</v>
      </c>
      <c r="AW143" s="285"/>
      <c r="AX143" s="285"/>
      <c r="AY143" s="285"/>
      <c r="AZ143" s="285"/>
      <c r="BA143" s="285"/>
    </row>
    <row r="144" s="258" customFormat="1" ht="24" spans="1:53">
      <c r="A144" s="283">
        <v>137</v>
      </c>
      <c r="B144" s="284" t="s">
        <v>195</v>
      </c>
      <c r="C144" s="284" t="s">
        <v>199</v>
      </c>
      <c r="D144" s="284" t="s">
        <v>377</v>
      </c>
      <c r="E144" s="284" t="s">
        <v>376</v>
      </c>
      <c r="F144" s="285">
        <f t="shared" si="73"/>
        <v>7.5</v>
      </c>
      <c r="G144" s="285">
        <v>7.5</v>
      </c>
      <c r="H144" s="285"/>
      <c r="I144" s="285"/>
      <c r="J144" s="285"/>
      <c r="K144" s="285"/>
      <c r="L144" s="285"/>
      <c r="M144" s="285"/>
      <c r="N144" s="285"/>
      <c r="O144" s="285"/>
      <c r="P144" s="285">
        <f t="shared" si="65"/>
        <v>7.5</v>
      </c>
      <c r="Q144" s="285">
        <v>7.5</v>
      </c>
      <c r="R144" s="285"/>
      <c r="S144" s="285"/>
      <c r="T144" s="285"/>
      <c r="U144" s="285"/>
      <c r="V144" s="298">
        <f t="shared" si="74"/>
        <v>0</v>
      </c>
      <c r="W144" s="298"/>
      <c r="X144" s="298"/>
      <c r="Y144" s="298"/>
      <c r="Z144" s="298"/>
      <c r="AA144" s="298"/>
      <c r="AB144" s="298"/>
      <c r="AC144" s="298"/>
      <c r="AD144" s="298"/>
      <c r="AE144" s="285"/>
      <c r="AF144" s="299">
        <f t="shared" si="66"/>
        <v>0</v>
      </c>
      <c r="AG144" s="299">
        <f t="shared" si="67"/>
        <v>0</v>
      </c>
      <c r="AH144" s="299">
        <f t="shared" si="68"/>
        <v>0</v>
      </c>
      <c r="AI144" s="299">
        <f t="shared" si="69"/>
        <v>0</v>
      </c>
      <c r="AJ144" s="299">
        <f t="shared" si="70"/>
        <v>0</v>
      </c>
      <c r="AK144" s="299">
        <f t="shared" si="71"/>
        <v>0</v>
      </c>
      <c r="AL144" s="298">
        <f t="shared" si="75"/>
        <v>7.5</v>
      </c>
      <c r="AM144" s="298">
        <f t="shared" si="76"/>
        <v>7.5</v>
      </c>
      <c r="AN144" s="298">
        <f t="shared" si="77"/>
        <v>0</v>
      </c>
      <c r="AO144" s="298">
        <f t="shared" si="78"/>
        <v>0</v>
      </c>
      <c r="AP144" s="298">
        <f t="shared" si="79"/>
        <v>0</v>
      </c>
      <c r="AQ144" s="298">
        <f t="shared" si="80"/>
        <v>0</v>
      </c>
      <c r="AR144" s="298">
        <f t="shared" si="81"/>
        <v>0</v>
      </c>
      <c r="AS144" s="298">
        <f t="shared" si="82"/>
        <v>0</v>
      </c>
      <c r="AT144" s="298">
        <f t="shared" si="83"/>
        <v>0</v>
      </c>
      <c r="AU144" s="285">
        <f t="shared" si="72"/>
        <v>7.5</v>
      </c>
      <c r="AV144" s="298">
        <v>7.5</v>
      </c>
      <c r="AW144" s="285"/>
      <c r="AX144" s="285"/>
      <c r="AY144" s="285"/>
      <c r="AZ144" s="285"/>
      <c r="BA144" s="285"/>
    </row>
    <row r="145" s="258" customFormat="1" ht="24" spans="1:53">
      <c r="A145" s="283">
        <v>138</v>
      </c>
      <c r="B145" s="284" t="s">
        <v>195</v>
      </c>
      <c r="C145" s="284" t="s">
        <v>199</v>
      </c>
      <c r="D145" s="284" t="s">
        <v>378</v>
      </c>
      <c r="E145" s="284" t="s">
        <v>376</v>
      </c>
      <c r="F145" s="285">
        <f t="shared" si="73"/>
        <v>5</v>
      </c>
      <c r="G145" s="285">
        <v>5</v>
      </c>
      <c r="H145" s="285"/>
      <c r="I145" s="285"/>
      <c r="J145" s="285"/>
      <c r="K145" s="285"/>
      <c r="L145" s="285"/>
      <c r="M145" s="285"/>
      <c r="N145" s="285"/>
      <c r="O145" s="285"/>
      <c r="P145" s="285">
        <f t="shared" si="65"/>
        <v>5</v>
      </c>
      <c r="Q145" s="285">
        <v>5</v>
      </c>
      <c r="R145" s="285"/>
      <c r="S145" s="285"/>
      <c r="T145" s="285"/>
      <c r="U145" s="285"/>
      <c r="V145" s="298">
        <f t="shared" si="74"/>
        <v>0</v>
      </c>
      <c r="W145" s="298"/>
      <c r="X145" s="298"/>
      <c r="Y145" s="298"/>
      <c r="Z145" s="298"/>
      <c r="AA145" s="298"/>
      <c r="AB145" s="298"/>
      <c r="AC145" s="298"/>
      <c r="AD145" s="298"/>
      <c r="AE145" s="285"/>
      <c r="AF145" s="299">
        <f t="shared" si="66"/>
        <v>0</v>
      </c>
      <c r="AG145" s="299">
        <f t="shared" si="67"/>
        <v>0</v>
      </c>
      <c r="AH145" s="299">
        <f t="shared" si="68"/>
        <v>0</v>
      </c>
      <c r="AI145" s="299">
        <f t="shared" si="69"/>
        <v>0</v>
      </c>
      <c r="AJ145" s="299">
        <f t="shared" si="70"/>
        <v>0</v>
      </c>
      <c r="AK145" s="299">
        <f t="shared" si="71"/>
        <v>0</v>
      </c>
      <c r="AL145" s="298">
        <f t="shared" si="75"/>
        <v>5</v>
      </c>
      <c r="AM145" s="298">
        <f t="shared" si="76"/>
        <v>5</v>
      </c>
      <c r="AN145" s="298">
        <f t="shared" si="77"/>
        <v>0</v>
      </c>
      <c r="AO145" s="298">
        <f t="shared" si="78"/>
        <v>0</v>
      </c>
      <c r="AP145" s="298">
        <f t="shared" si="79"/>
        <v>0</v>
      </c>
      <c r="AQ145" s="298">
        <f t="shared" si="80"/>
        <v>0</v>
      </c>
      <c r="AR145" s="298">
        <f t="shared" si="81"/>
        <v>0</v>
      </c>
      <c r="AS145" s="298">
        <f t="shared" si="82"/>
        <v>0</v>
      </c>
      <c r="AT145" s="298">
        <f t="shared" si="83"/>
        <v>0</v>
      </c>
      <c r="AU145" s="285">
        <f t="shared" si="72"/>
        <v>5</v>
      </c>
      <c r="AV145" s="298">
        <v>5</v>
      </c>
      <c r="AW145" s="285"/>
      <c r="AX145" s="285"/>
      <c r="AY145" s="285"/>
      <c r="AZ145" s="285"/>
      <c r="BA145" s="285"/>
    </row>
    <row r="146" s="258" customFormat="1" ht="24" spans="1:53">
      <c r="A146" s="283">
        <v>139</v>
      </c>
      <c r="B146" s="284" t="s">
        <v>195</v>
      </c>
      <c r="C146" s="284" t="s">
        <v>199</v>
      </c>
      <c r="D146" s="284" t="s">
        <v>379</v>
      </c>
      <c r="E146" s="284" t="s">
        <v>376</v>
      </c>
      <c r="F146" s="285">
        <f t="shared" si="73"/>
        <v>5</v>
      </c>
      <c r="G146" s="285">
        <v>5</v>
      </c>
      <c r="H146" s="285"/>
      <c r="I146" s="285"/>
      <c r="J146" s="285"/>
      <c r="K146" s="285"/>
      <c r="L146" s="285"/>
      <c r="M146" s="285"/>
      <c r="N146" s="285"/>
      <c r="O146" s="285"/>
      <c r="P146" s="285">
        <f t="shared" si="65"/>
        <v>5</v>
      </c>
      <c r="Q146" s="285">
        <v>5</v>
      </c>
      <c r="R146" s="285"/>
      <c r="S146" s="285"/>
      <c r="T146" s="285"/>
      <c r="U146" s="285"/>
      <c r="V146" s="298">
        <f t="shared" si="74"/>
        <v>0</v>
      </c>
      <c r="W146" s="298"/>
      <c r="X146" s="298"/>
      <c r="Y146" s="298"/>
      <c r="Z146" s="298"/>
      <c r="AA146" s="298"/>
      <c r="AB146" s="298"/>
      <c r="AC146" s="298"/>
      <c r="AD146" s="298"/>
      <c r="AE146" s="285"/>
      <c r="AF146" s="299">
        <f t="shared" si="66"/>
        <v>0</v>
      </c>
      <c r="AG146" s="299">
        <f t="shared" si="67"/>
        <v>0</v>
      </c>
      <c r="AH146" s="299">
        <f t="shared" si="68"/>
        <v>0</v>
      </c>
      <c r="AI146" s="299">
        <f t="shared" si="69"/>
        <v>0</v>
      </c>
      <c r="AJ146" s="299">
        <f t="shared" si="70"/>
        <v>0</v>
      </c>
      <c r="AK146" s="299">
        <f t="shared" si="71"/>
        <v>0</v>
      </c>
      <c r="AL146" s="298">
        <f t="shared" si="75"/>
        <v>5</v>
      </c>
      <c r="AM146" s="298">
        <f t="shared" si="76"/>
        <v>5</v>
      </c>
      <c r="AN146" s="298">
        <f t="shared" si="77"/>
        <v>0</v>
      </c>
      <c r="AO146" s="298">
        <f t="shared" si="78"/>
        <v>0</v>
      </c>
      <c r="AP146" s="298">
        <f t="shared" si="79"/>
        <v>0</v>
      </c>
      <c r="AQ146" s="298">
        <f t="shared" si="80"/>
        <v>0</v>
      </c>
      <c r="AR146" s="298">
        <f t="shared" si="81"/>
        <v>0</v>
      </c>
      <c r="AS146" s="298">
        <f t="shared" si="82"/>
        <v>0</v>
      </c>
      <c r="AT146" s="298">
        <f t="shared" si="83"/>
        <v>0</v>
      </c>
      <c r="AU146" s="285">
        <f t="shared" si="72"/>
        <v>5</v>
      </c>
      <c r="AV146" s="298">
        <v>5</v>
      </c>
      <c r="AW146" s="285"/>
      <c r="AX146" s="285"/>
      <c r="AY146" s="285"/>
      <c r="AZ146" s="285"/>
      <c r="BA146" s="285"/>
    </row>
    <row r="147" s="258" customFormat="1" ht="24" spans="1:53">
      <c r="A147" s="283">
        <v>140</v>
      </c>
      <c r="B147" s="284" t="s">
        <v>195</v>
      </c>
      <c r="C147" s="284" t="s">
        <v>199</v>
      </c>
      <c r="D147" s="284" t="s">
        <v>380</v>
      </c>
      <c r="E147" s="284" t="s">
        <v>376</v>
      </c>
      <c r="F147" s="285">
        <f t="shared" si="73"/>
        <v>5</v>
      </c>
      <c r="G147" s="285">
        <v>5</v>
      </c>
      <c r="H147" s="285"/>
      <c r="I147" s="285"/>
      <c r="J147" s="285"/>
      <c r="K147" s="285"/>
      <c r="L147" s="285"/>
      <c r="M147" s="285"/>
      <c r="N147" s="285"/>
      <c r="O147" s="285"/>
      <c r="P147" s="285">
        <f t="shared" si="65"/>
        <v>5</v>
      </c>
      <c r="Q147" s="285">
        <v>5</v>
      </c>
      <c r="R147" s="285"/>
      <c r="S147" s="285"/>
      <c r="T147" s="285"/>
      <c r="U147" s="285"/>
      <c r="V147" s="298">
        <f t="shared" si="74"/>
        <v>0</v>
      </c>
      <c r="W147" s="298"/>
      <c r="X147" s="298"/>
      <c r="Y147" s="298"/>
      <c r="Z147" s="298"/>
      <c r="AA147" s="298"/>
      <c r="AB147" s="298"/>
      <c r="AC147" s="298"/>
      <c r="AD147" s="298"/>
      <c r="AE147" s="285"/>
      <c r="AF147" s="299">
        <f t="shared" si="66"/>
        <v>0</v>
      </c>
      <c r="AG147" s="299">
        <f t="shared" si="67"/>
        <v>0</v>
      </c>
      <c r="AH147" s="299">
        <f t="shared" si="68"/>
        <v>0</v>
      </c>
      <c r="AI147" s="299">
        <f t="shared" si="69"/>
        <v>0</v>
      </c>
      <c r="AJ147" s="299">
        <f t="shared" si="70"/>
        <v>0</v>
      </c>
      <c r="AK147" s="299">
        <f t="shared" si="71"/>
        <v>0</v>
      </c>
      <c r="AL147" s="298">
        <f t="shared" si="75"/>
        <v>5</v>
      </c>
      <c r="AM147" s="298">
        <f t="shared" si="76"/>
        <v>5</v>
      </c>
      <c r="AN147" s="298">
        <f t="shared" si="77"/>
        <v>0</v>
      </c>
      <c r="AO147" s="298">
        <f t="shared" si="78"/>
        <v>0</v>
      </c>
      <c r="AP147" s="298">
        <f t="shared" si="79"/>
        <v>0</v>
      </c>
      <c r="AQ147" s="298">
        <f t="shared" si="80"/>
        <v>0</v>
      </c>
      <c r="AR147" s="298">
        <f t="shared" si="81"/>
        <v>0</v>
      </c>
      <c r="AS147" s="298">
        <f t="shared" si="82"/>
        <v>0</v>
      </c>
      <c r="AT147" s="298">
        <f t="shared" si="83"/>
        <v>0</v>
      </c>
      <c r="AU147" s="285">
        <f t="shared" si="72"/>
        <v>5</v>
      </c>
      <c r="AV147" s="298">
        <v>5</v>
      </c>
      <c r="AW147" s="285"/>
      <c r="AX147" s="285"/>
      <c r="AY147" s="285"/>
      <c r="AZ147" s="285"/>
      <c r="BA147" s="285"/>
    </row>
    <row r="148" s="258" customFormat="1" ht="24" spans="1:53">
      <c r="A148" s="283">
        <v>141</v>
      </c>
      <c r="B148" s="284" t="s">
        <v>195</v>
      </c>
      <c r="C148" s="284" t="s">
        <v>196</v>
      </c>
      <c r="D148" s="284" t="s">
        <v>372</v>
      </c>
      <c r="E148" s="284" t="s">
        <v>370</v>
      </c>
      <c r="F148" s="285">
        <f t="shared" si="73"/>
        <v>42.48</v>
      </c>
      <c r="G148" s="285">
        <v>5.4</v>
      </c>
      <c r="H148" s="285"/>
      <c r="I148" s="285">
        <v>7.08</v>
      </c>
      <c r="J148" s="285"/>
      <c r="K148" s="285"/>
      <c r="L148" s="285"/>
      <c r="M148" s="285"/>
      <c r="N148" s="285">
        <v>30</v>
      </c>
      <c r="O148" s="285" t="s">
        <v>1039</v>
      </c>
      <c r="P148" s="285">
        <f t="shared" si="65"/>
        <v>42.48</v>
      </c>
      <c r="Q148" s="285">
        <v>42.48</v>
      </c>
      <c r="R148" s="285"/>
      <c r="S148" s="285"/>
      <c r="T148" s="285"/>
      <c r="U148" s="285"/>
      <c r="V148" s="298">
        <f t="shared" si="74"/>
        <v>-2.32</v>
      </c>
      <c r="W148" s="298"/>
      <c r="X148" s="298"/>
      <c r="Y148" s="298">
        <v>-2.32</v>
      </c>
      <c r="Z148" s="298"/>
      <c r="AA148" s="298"/>
      <c r="AB148" s="298"/>
      <c r="AC148" s="298"/>
      <c r="AD148" s="298"/>
      <c r="AE148" s="285"/>
      <c r="AF148" s="299">
        <f t="shared" si="66"/>
        <v>-2.32</v>
      </c>
      <c r="AG148" s="299">
        <f t="shared" si="67"/>
        <v>-2.32</v>
      </c>
      <c r="AH148" s="299">
        <f t="shared" si="68"/>
        <v>0</v>
      </c>
      <c r="AI148" s="299">
        <f t="shared" si="69"/>
        <v>0</v>
      </c>
      <c r="AJ148" s="299">
        <f t="shared" si="70"/>
        <v>0</v>
      </c>
      <c r="AK148" s="299">
        <f t="shared" si="71"/>
        <v>0</v>
      </c>
      <c r="AL148" s="298">
        <f t="shared" si="75"/>
        <v>40.16</v>
      </c>
      <c r="AM148" s="298">
        <f t="shared" si="76"/>
        <v>5.4</v>
      </c>
      <c r="AN148" s="298">
        <f t="shared" si="77"/>
        <v>0</v>
      </c>
      <c r="AO148" s="298">
        <f t="shared" si="78"/>
        <v>4.76</v>
      </c>
      <c r="AP148" s="298">
        <f t="shared" si="79"/>
        <v>0</v>
      </c>
      <c r="AQ148" s="298">
        <f t="shared" si="80"/>
        <v>0</v>
      </c>
      <c r="AR148" s="298">
        <f t="shared" si="81"/>
        <v>0</v>
      </c>
      <c r="AS148" s="298">
        <f t="shared" si="82"/>
        <v>0</v>
      </c>
      <c r="AT148" s="298">
        <f t="shared" si="83"/>
        <v>30</v>
      </c>
      <c r="AU148" s="298">
        <f t="shared" si="72"/>
        <v>40.16</v>
      </c>
      <c r="AV148" s="298">
        <v>40.16</v>
      </c>
      <c r="AW148" s="298"/>
      <c r="AX148" s="298"/>
      <c r="AY148" s="298"/>
      <c r="AZ148" s="298"/>
      <c r="BA148" s="285">
        <v>16.5</v>
      </c>
    </row>
    <row r="149" s="258" customFormat="1" ht="144" spans="1:53">
      <c r="A149" s="283">
        <v>142</v>
      </c>
      <c r="B149" s="284" t="s">
        <v>195</v>
      </c>
      <c r="C149" s="284" t="s">
        <v>196</v>
      </c>
      <c r="D149" s="284" t="s">
        <v>373</v>
      </c>
      <c r="E149" s="284" t="s">
        <v>370</v>
      </c>
      <c r="F149" s="285">
        <f t="shared" si="73"/>
        <v>264.24</v>
      </c>
      <c r="G149" s="285">
        <v>2.4</v>
      </c>
      <c r="H149" s="285"/>
      <c r="I149" s="285">
        <v>3.84</v>
      </c>
      <c r="J149" s="285"/>
      <c r="K149" s="285"/>
      <c r="L149" s="285"/>
      <c r="M149" s="285">
        <v>2</v>
      </c>
      <c r="N149" s="285">
        <f>245+11</f>
        <v>256</v>
      </c>
      <c r="O149" s="285" t="s">
        <v>1040</v>
      </c>
      <c r="P149" s="285">
        <f t="shared" si="65"/>
        <v>264.24</v>
      </c>
      <c r="Q149" s="285">
        <v>262.24</v>
      </c>
      <c r="R149" s="285"/>
      <c r="S149" s="285">
        <v>2</v>
      </c>
      <c r="T149" s="285"/>
      <c r="U149" s="285"/>
      <c r="V149" s="298">
        <f t="shared" si="74"/>
        <v>-0.57</v>
      </c>
      <c r="W149" s="298"/>
      <c r="X149" s="298"/>
      <c r="Y149" s="298">
        <v>-0.37</v>
      </c>
      <c r="Z149" s="298"/>
      <c r="AA149" s="298"/>
      <c r="AB149" s="298">
        <f>-2+1.8</f>
        <v>-0.2</v>
      </c>
      <c r="AC149" s="298"/>
      <c r="AD149" s="298"/>
      <c r="AE149" s="285" t="s">
        <v>1041</v>
      </c>
      <c r="AF149" s="299">
        <f t="shared" si="66"/>
        <v>-0.570000000000005</v>
      </c>
      <c r="AG149" s="299">
        <f t="shared" si="67"/>
        <v>-0.370000000000005</v>
      </c>
      <c r="AH149" s="299">
        <f t="shared" si="68"/>
        <v>0</v>
      </c>
      <c r="AI149" s="299">
        <f t="shared" si="69"/>
        <v>-0.2</v>
      </c>
      <c r="AJ149" s="299">
        <f t="shared" si="70"/>
        <v>0</v>
      </c>
      <c r="AK149" s="299">
        <f t="shared" si="71"/>
        <v>0</v>
      </c>
      <c r="AL149" s="298">
        <f t="shared" si="75"/>
        <v>263.67</v>
      </c>
      <c r="AM149" s="298">
        <f t="shared" si="76"/>
        <v>2.4</v>
      </c>
      <c r="AN149" s="298">
        <f t="shared" si="77"/>
        <v>0</v>
      </c>
      <c r="AO149" s="298">
        <f t="shared" si="78"/>
        <v>3.47</v>
      </c>
      <c r="AP149" s="298">
        <f t="shared" si="79"/>
        <v>0</v>
      </c>
      <c r="AQ149" s="298">
        <f t="shared" si="80"/>
        <v>0</v>
      </c>
      <c r="AR149" s="298">
        <f t="shared" si="81"/>
        <v>1.8</v>
      </c>
      <c r="AS149" s="298">
        <f t="shared" si="82"/>
        <v>0</v>
      </c>
      <c r="AT149" s="298">
        <f t="shared" si="83"/>
        <v>256</v>
      </c>
      <c r="AU149" s="285">
        <f t="shared" si="72"/>
        <v>263.67</v>
      </c>
      <c r="AV149" s="298">
        <v>261.87</v>
      </c>
      <c r="AW149" s="285"/>
      <c r="AX149" s="285">
        <v>1.8</v>
      </c>
      <c r="AY149" s="285"/>
      <c r="AZ149" s="285"/>
      <c r="BA149" s="285"/>
    </row>
    <row r="150" s="258" customFormat="1" ht="60" spans="1:53">
      <c r="A150" s="283">
        <v>143</v>
      </c>
      <c r="B150" s="284" t="s">
        <v>195</v>
      </c>
      <c r="C150" s="284" t="s">
        <v>196</v>
      </c>
      <c r="D150" s="284" t="s">
        <v>374</v>
      </c>
      <c r="E150" s="284" t="s">
        <v>370</v>
      </c>
      <c r="F150" s="285">
        <f t="shared" si="73"/>
        <v>56.632</v>
      </c>
      <c r="G150" s="285">
        <v>9</v>
      </c>
      <c r="H150" s="285"/>
      <c r="I150" s="285">
        <v>7.632</v>
      </c>
      <c r="J150" s="285"/>
      <c r="K150" s="285"/>
      <c r="L150" s="285"/>
      <c r="M150" s="285"/>
      <c r="N150" s="285">
        <v>40</v>
      </c>
      <c r="O150" s="285" t="s">
        <v>1042</v>
      </c>
      <c r="P150" s="285">
        <f t="shared" si="65"/>
        <v>56.632</v>
      </c>
      <c r="Q150" s="285">
        <v>56.632</v>
      </c>
      <c r="R150" s="285"/>
      <c r="S150" s="285"/>
      <c r="T150" s="285"/>
      <c r="U150" s="285"/>
      <c r="V150" s="298">
        <f t="shared" si="74"/>
        <v>1.74</v>
      </c>
      <c r="W150" s="298"/>
      <c r="X150" s="298"/>
      <c r="Y150" s="298">
        <v>0.66</v>
      </c>
      <c r="Z150" s="298"/>
      <c r="AA150" s="298"/>
      <c r="AB150" s="298">
        <v>1.08</v>
      </c>
      <c r="AC150" s="298"/>
      <c r="AD150" s="298"/>
      <c r="AE150" s="285" t="s">
        <v>1043</v>
      </c>
      <c r="AF150" s="299">
        <f t="shared" si="66"/>
        <v>1.74</v>
      </c>
      <c r="AG150" s="299">
        <f t="shared" si="67"/>
        <v>0.660000000000004</v>
      </c>
      <c r="AH150" s="299">
        <f t="shared" si="68"/>
        <v>0</v>
      </c>
      <c r="AI150" s="299">
        <f t="shared" si="69"/>
        <v>1.08</v>
      </c>
      <c r="AJ150" s="299">
        <f t="shared" si="70"/>
        <v>0</v>
      </c>
      <c r="AK150" s="299">
        <f t="shared" si="71"/>
        <v>0</v>
      </c>
      <c r="AL150" s="298">
        <f t="shared" si="75"/>
        <v>58.372</v>
      </c>
      <c r="AM150" s="298">
        <f t="shared" si="76"/>
        <v>9</v>
      </c>
      <c r="AN150" s="298">
        <f t="shared" si="77"/>
        <v>0</v>
      </c>
      <c r="AO150" s="298">
        <f t="shared" si="78"/>
        <v>8.292</v>
      </c>
      <c r="AP150" s="298">
        <f t="shared" si="79"/>
        <v>0</v>
      </c>
      <c r="AQ150" s="298">
        <f t="shared" si="80"/>
        <v>0</v>
      </c>
      <c r="AR150" s="298">
        <f t="shared" si="81"/>
        <v>1.08</v>
      </c>
      <c r="AS150" s="298">
        <f t="shared" si="82"/>
        <v>0</v>
      </c>
      <c r="AT150" s="298">
        <f t="shared" si="83"/>
        <v>40</v>
      </c>
      <c r="AU150" s="298">
        <f t="shared" si="72"/>
        <v>58.372</v>
      </c>
      <c r="AV150" s="298">
        <v>57.292</v>
      </c>
      <c r="AW150" s="298"/>
      <c r="AX150" s="298">
        <v>1.08</v>
      </c>
      <c r="AY150" s="298"/>
      <c r="AZ150" s="298"/>
      <c r="BA150" s="285">
        <v>100</v>
      </c>
    </row>
    <row r="151" s="258" customFormat="1" ht="24" spans="1:53">
      <c r="A151" s="283">
        <v>144</v>
      </c>
      <c r="B151" s="284" t="s">
        <v>195</v>
      </c>
      <c r="C151" s="284" t="s">
        <v>199</v>
      </c>
      <c r="D151" s="284" t="s">
        <v>383</v>
      </c>
      <c r="E151" s="284" t="s">
        <v>376</v>
      </c>
      <c r="F151" s="285">
        <f t="shared" si="73"/>
        <v>10</v>
      </c>
      <c r="G151" s="285">
        <v>10</v>
      </c>
      <c r="H151" s="285"/>
      <c r="I151" s="285"/>
      <c r="J151" s="285"/>
      <c r="K151" s="285"/>
      <c r="L151" s="285"/>
      <c r="M151" s="285"/>
      <c r="N151" s="285"/>
      <c r="O151" s="285"/>
      <c r="P151" s="285">
        <f t="shared" si="65"/>
        <v>10</v>
      </c>
      <c r="Q151" s="285">
        <v>10</v>
      </c>
      <c r="R151" s="285"/>
      <c r="S151" s="285"/>
      <c r="T151" s="285"/>
      <c r="U151" s="285"/>
      <c r="V151" s="298">
        <f t="shared" si="74"/>
        <v>0</v>
      </c>
      <c r="W151" s="298"/>
      <c r="X151" s="298"/>
      <c r="Y151" s="298"/>
      <c r="Z151" s="298"/>
      <c r="AA151" s="298"/>
      <c r="AB151" s="298"/>
      <c r="AC151" s="298"/>
      <c r="AD151" s="298"/>
      <c r="AE151" s="285"/>
      <c r="AF151" s="299">
        <f t="shared" si="66"/>
        <v>0</v>
      </c>
      <c r="AG151" s="299">
        <f t="shared" si="67"/>
        <v>0</v>
      </c>
      <c r="AH151" s="299">
        <f t="shared" si="68"/>
        <v>0</v>
      </c>
      <c r="AI151" s="299">
        <f t="shared" si="69"/>
        <v>0</v>
      </c>
      <c r="AJ151" s="299">
        <f t="shared" si="70"/>
        <v>0</v>
      </c>
      <c r="AK151" s="299">
        <f t="shared" si="71"/>
        <v>0</v>
      </c>
      <c r="AL151" s="298">
        <f t="shared" si="75"/>
        <v>10</v>
      </c>
      <c r="AM151" s="298">
        <f t="shared" si="76"/>
        <v>10</v>
      </c>
      <c r="AN151" s="298">
        <f t="shared" si="77"/>
        <v>0</v>
      </c>
      <c r="AO151" s="298">
        <f t="shared" si="78"/>
        <v>0</v>
      </c>
      <c r="AP151" s="298">
        <f t="shared" si="79"/>
        <v>0</v>
      </c>
      <c r="AQ151" s="298">
        <f t="shared" si="80"/>
        <v>0</v>
      </c>
      <c r="AR151" s="298">
        <f t="shared" si="81"/>
        <v>0</v>
      </c>
      <c r="AS151" s="298">
        <f t="shared" si="82"/>
        <v>0</v>
      </c>
      <c r="AT151" s="298">
        <f t="shared" si="83"/>
        <v>0</v>
      </c>
      <c r="AU151" s="285">
        <f t="shared" si="72"/>
        <v>10</v>
      </c>
      <c r="AV151" s="298">
        <v>10</v>
      </c>
      <c r="AW151" s="285"/>
      <c r="AX151" s="285"/>
      <c r="AY151" s="285"/>
      <c r="AZ151" s="285"/>
      <c r="BA151" s="285"/>
    </row>
    <row r="152" s="258" customFormat="1" ht="24" spans="1:53">
      <c r="A152" s="283">
        <v>145</v>
      </c>
      <c r="B152" s="284" t="s">
        <v>195</v>
      </c>
      <c r="C152" s="284" t="s">
        <v>199</v>
      </c>
      <c r="D152" s="284" t="s">
        <v>381</v>
      </c>
      <c r="E152" s="284" t="s">
        <v>376</v>
      </c>
      <c r="F152" s="285">
        <f t="shared" si="73"/>
        <v>2.4</v>
      </c>
      <c r="G152" s="285">
        <v>2.4</v>
      </c>
      <c r="H152" s="285"/>
      <c r="I152" s="285"/>
      <c r="J152" s="285"/>
      <c r="K152" s="285"/>
      <c r="L152" s="285"/>
      <c r="M152" s="285"/>
      <c r="N152" s="285"/>
      <c r="O152" s="285"/>
      <c r="P152" s="285">
        <f t="shared" si="65"/>
        <v>2.4</v>
      </c>
      <c r="Q152" s="285">
        <v>2.4</v>
      </c>
      <c r="R152" s="285"/>
      <c r="S152" s="285"/>
      <c r="T152" s="285"/>
      <c r="U152" s="285"/>
      <c r="V152" s="298">
        <f t="shared" si="74"/>
        <v>0</v>
      </c>
      <c r="W152" s="298"/>
      <c r="X152" s="298"/>
      <c r="Y152" s="298"/>
      <c r="Z152" s="298"/>
      <c r="AA152" s="298"/>
      <c r="AB152" s="298"/>
      <c r="AC152" s="298"/>
      <c r="AD152" s="298"/>
      <c r="AE152" s="285"/>
      <c r="AF152" s="299">
        <f t="shared" si="66"/>
        <v>0</v>
      </c>
      <c r="AG152" s="299">
        <f t="shared" si="67"/>
        <v>0</v>
      </c>
      <c r="AH152" s="299">
        <f t="shared" si="68"/>
        <v>0</v>
      </c>
      <c r="AI152" s="299">
        <f t="shared" si="69"/>
        <v>0</v>
      </c>
      <c r="AJ152" s="299">
        <f t="shared" si="70"/>
        <v>0</v>
      </c>
      <c r="AK152" s="299">
        <f t="shared" si="71"/>
        <v>0</v>
      </c>
      <c r="AL152" s="298">
        <f t="shared" si="75"/>
        <v>2.4</v>
      </c>
      <c r="AM152" s="298">
        <f t="shared" si="76"/>
        <v>2.4</v>
      </c>
      <c r="AN152" s="298">
        <f t="shared" si="77"/>
        <v>0</v>
      </c>
      <c r="AO152" s="298">
        <f t="shared" si="78"/>
        <v>0</v>
      </c>
      <c r="AP152" s="298">
        <f t="shared" si="79"/>
        <v>0</v>
      </c>
      <c r="AQ152" s="298">
        <f t="shared" si="80"/>
        <v>0</v>
      </c>
      <c r="AR152" s="298">
        <f t="shared" si="81"/>
        <v>0</v>
      </c>
      <c r="AS152" s="298">
        <f t="shared" si="82"/>
        <v>0</v>
      </c>
      <c r="AT152" s="298">
        <f t="shared" si="83"/>
        <v>0</v>
      </c>
      <c r="AU152" s="285">
        <f t="shared" si="72"/>
        <v>2.4</v>
      </c>
      <c r="AV152" s="298">
        <v>2.4</v>
      </c>
      <c r="AW152" s="285"/>
      <c r="AX152" s="285"/>
      <c r="AY152" s="285"/>
      <c r="AZ152" s="285"/>
      <c r="BA152" s="285"/>
    </row>
    <row r="153" s="258" customFormat="1" ht="24" spans="1:53">
      <c r="A153" s="283">
        <v>146</v>
      </c>
      <c r="B153" s="284" t="s">
        <v>195</v>
      </c>
      <c r="C153" s="284" t="s">
        <v>199</v>
      </c>
      <c r="D153" s="284" t="s">
        <v>382</v>
      </c>
      <c r="E153" s="284" t="s">
        <v>376</v>
      </c>
      <c r="F153" s="285">
        <f t="shared" si="73"/>
        <v>1.8</v>
      </c>
      <c r="G153" s="285">
        <v>1.8</v>
      </c>
      <c r="H153" s="285"/>
      <c r="I153" s="285"/>
      <c r="J153" s="285"/>
      <c r="K153" s="285"/>
      <c r="L153" s="285"/>
      <c r="M153" s="285"/>
      <c r="N153" s="285"/>
      <c r="O153" s="285"/>
      <c r="P153" s="285">
        <f t="shared" si="65"/>
        <v>1.8</v>
      </c>
      <c r="Q153" s="285">
        <v>1.8</v>
      </c>
      <c r="R153" s="285"/>
      <c r="S153" s="285"/>
      <c r="T153" s="285"/>
      <c r="U153" s="285"/>
      <c r="V153" s="298">
        <f t="shared" si="74"/>
        <v>0</v>
      </c>
      <c r="W153" s="298"/>
      <c r="X153" s="298"/>
      <c r="Y153" s="298"/>
      <c r="Z153" s="298"/>
      <c r="AA153" s="298"/>
      <c r="AB153" s="298"/>
      <c r="AC153" s="298"/>
      <c r="AD153" s="298"/>
      <c r="AE153" s="285"/>
      <c r="AF153" s="299">
        <f t="shared" si="66"/>
        <v>0</v>
      </c>
      <c r="AG153" s="299">
        <f t="shared" si="67"/>
        <v>0</v>
      </c>
      <c r="AH153" s="299">
        <f t="shared" si="68"/>
        <v>0</v>
      </c>
      <c r="AI153" s="299">
        <f t="shared" si="69"/>
        <v>0</v>
      </c>
      <c r="AJ153" s="299">
        <f t="shared" si="70"/>
        <v>0</v>
      </c>
      <c r="AK153" s="299">
        <f t="shared" si="71"/>
        <v>0</v>
      </c>
      <c r="AL153" s="298">
        <f t="shared" si="75"/>
        <v>1.8</v>
      </c>
      <c r="AM153" s="298">
        <f t="shared" si="76"/>
        <v>1.8</v>
      </c>
      <c r="AN153" s="298">
        <f t="shared" si="77"/>
        <v>0</v>
      </c>
      <c r="AO153" s="298">
        <f t="shared" si="78"/>
        <v>0</v>
      </c>
      <c r="AP153" s="298">
        <f t="shared" si="79"/>
        <v>0</v>
      </c>
      <c r="AQ153" s="298">
        <f t="shared" si="80"/>
        <v>0</v>
      </c>
      <c r="AR153" s="298">
        <f t="shared" si="81"/>
        <v>0</v>
      </c>
      <c r="AS153" s="298">
        <f t="shared" si="82"/>
        <v>0</v>
      </c>
      <c r="AT153" s="298">
        <f t="shared" si="83"/>
        <v>0</v>
      </c>
      <c r="AU153" s="285">
        <f t="shared" si="72"/>
        <v>1.8</v>
      </c>
      <c r="AV153" s="298">
        <v>1.8</v>
      </c>
      <c r="AW153" s="285"/>
      <c r="AX153" s="285"/>
      <c r="AY153" s="285"/>
      <c r="AZ153" s="285"/>
      <c r="BA153" s="285"/>
    </row>
    <row r="154" s="258" customFormat="1" ht="24" spans="1:53">
      <c r="A154" s="283">
        <v>147</v>
      </c>
      <c r="B154" s="284" t="s">
        <v>195</v>
      </c>
      <c r="C154" s="284" t="s">
        <v>196</v>
      </c>
      <c r="D154" s="284" t="s">
        <v>384</v>
      </c>
      <c r="E154" s="284" t="s">
        <v>385</v>
      </c>
      <c r="F154" s="285">
        <f t="shared" si="73"/>
        <v>47.996</v>
      </c>
      <c r="G154" s="285">
        <v>14</v>
      </c>
      <c r="H154" s="285"/>
      <c r="I154" s="285">
        <v>12.996</v>
      </c>
      <c r="J154" s="285"/>
      <c r="K154" s="285"/>
      <c r="L154" s="285"/>
      <c r="M154" s="285">
        <v>21</v>
      </c>
      <c r="N154" s="285"/>
      <c r="O154" s="285"/>
      <c r="P154" s="285">
        <f t="shared" si="65"/>
        <v>47.996</v>
      </c>
      <c r="Q154" s="285">
        <v>26.996</v>
      </c>
      <c r="R154" s="285"/>
      <c r="S154" s="285">
        <v>21</v>
      </c>
      <c r="T154" s="285"/>
      <c r="U154" s="285"/>
      <c r="V154" s="298">
        <f t="shared" si="74"/>
        <v>11.6</v>
      </c>
      <c r="W154" s="298"/>
      <c r="X154" s="298"/>
      <c r="Y154" s="298">
        <v>-2.1</v>
      </c>
      <c r="Z154" s="298"/>
      <c r="AA154" s="298"/>
      <c r="AB154" s="298">
        <f>-21+34.7</f>
        <v>13.7</v>
      </c>
      <c r="AC154" s="298"/>
      <c r="AD154" s="298"/>
      <c r="AE154" s="285" t="s">
        <v>1044</v>
      </c>
      <c r="AF154" s="299">
        <f t="shared" si="66"/>
        <v>11.6</v>
      </c>
      <c r="AG154" s="299">
        <f t="shared" si="67"/>
        <v>-2.1</v>
      </c>
      <c r="AH154" s="299">
        <f t="shared" si="68"/>
        <v>0</v>
      </c>
      <c r="AI154" s="299">
        <f t="shared" si="69"/>
        <v>13.7</v>
      </c>
      <c r="AJ154" s="299">
        <f t="shared" si="70"/>
        <v>0</v>
      </c>
      <c r="AK154" s="299">
        <f t="shared" si="71"/>
        <v>0</v>
      </c>
      <c r="AL154" s="298">
        <f t="shared" si="75"/>
        <v>59.596</v>
      </c>
      <c r="AM154" s="298">
        <f t="shared" si="76"/>
        <v>14</v>
      </c>
      <c r="AN154" s="298">
        <f t="shared" si="77"/>
        <v>0</v>
      </c>
      <c r="AO154" s="298">
        <f t="shared" si="78"/>
        <v>10.896</v>
      </c>
      <c r="AP154" s="298">
        <f t="shared" si="79"/>
        <v>0</v>
      </c>
      <c r="AQ154" s="298">
        <f t="shared" si="80"/>
        <v>0</v>
      </c>
      <c r="AR154" s="298">
        <f t="shared" si="81"/>
        <v>34.7</v>
      </c>
      <c r="AS154" s="298">
        <f t="shared" si="82"/>
        <v>0</v>
      </c>
      <c r="AT154" s="298">
        <f t="shared" si="83"/>
        <v>0</v>
      </c>
      <c r="AU154" s="298">
        <f t="shared" si="72"/>
        <v>59.596</v>
      </c>
      <c r="AV154" s="298">
        <v>24.896</v>
      </c>
      <c r="AW154" s="298"/>
      <c r="AX154" s="298">
        <v>34.7</v>
      </c>
      <c r="AY154" s="298"/>
      <c r="AZ154" s="298"/>
      <c r="BA154" s="285">
        <v>104.198496</v>
      </c>
    </row>
    <row r="155" s="258" customFormat="1" ht="24" spans="1:53">
      <c r="A155" s="283">
        <v>148</v>
      </c>
      <c r="B155" s="284" t="s">
        <v>195</v>
      </c>
      <c r="C155" s="284" t="s">
        <v>196</v>
      </c>
      <c r="D155" s="284" t="s">
        <v>386</v>
      </c>
      <c r="E155" s="284" t="s">
        <v>385</v>
      </c>
      <c r="F155" s="285">
        <f t="shared" si="73"/>
        <v>5.1</v>
      </c>
      <c r="G155" s="285">
        <v>3</v>
      </c>
      <c r="H155" s="285"/>
      <c r="I155" s="285">
        <v>2.1</v>
      </c>
      <c r="J155" s="285"/>
      <c r="K155" s="285"/>
      <c r="L155" s="285"/>
      <c r="M155" s="285"/>
      <c r="N155" s="285"/>
      <c r="O155" s="285"/>
      <c r="P155" s="285">
        <f t="shared" si="65"/>
        <v>5.1</v>
      </c>
      <c r="Q155" s="285">
        <v>5.1</v>
      </c>
      <c r="R155" s="285"/>
      <c r="S155" s="285"/>
      <c r="T155" s="285"/>
      <c r="U155" s="285"/>
      <c r="V155" s="298">
        <f t="shared" si="74"/>
        <v>0.46</v>
      </c>
      <c r="W155" s="298"/>
      <c r="X155" s="298"/>
      <c r="Y155" s="298">
        <v>0.46</v>
      </c>
      <c r="Z155" s="298"/>
      <c r="AA155" s="298"/>
      <c r="AB155" s="298"/>
      <c r="AC155" s="298"/>
      <c r="AD155" s="298"/>
      <c r="AE155" s="285"/>
      <c r="AF155" s="299">
        <f t="shared" si="66"/>
        <v>0.460000000000001</v>
      </c>
      <c r="AG155" s="299">
        <f t="shared" si="67"/>
        <v>0.460000000000001</v>
      </c>
      <c r="AH155" s="299">
        <f t="shared" si="68"/>
        <v>0</v>
      </c>
      <c r="AI155" s="299">
        <f t="shared" si="69"/>
        <v>0</v>
      </c>
      <c r="AJ155" s="299">
        <f t="shared" si="70"/>
        <v>0</v>
      </c>
      <c r="AK155" s="299">
        <f t="shared" si="71"/>
        <v>0</v>
      </c>
      <c r="AL155" s="298">
        <f t="shared" si="75"/>
        <v>5.56</v>
      </c>
      <c r="AM155" s="298">
        <f t="shared" si="76"/>
        <v>3</v>
      </c>
      <c r="AN155" s="298">
        <f t="shared" si="77"/>
        <v>0</v>
      </c>
      <c r="AO155" s="298">
        <f t="shared" si="78"/>
        <v>2.56</v>
      </c>
      <c r="AP155" s="298">
        <f t="shared" si="79"/>
        <v>0</v>
      </c>
      <c r="AQ155" s="298">
        <f t="shared" si="80"/>
        <v>0</v>
      </c>
      <c r="AR155" s="298">
        <f t="shared" si="81"/>
        <v>0</v>
      </c>
      <c r="AS155" s="298">
        <f t="shared" si="82"/>
        <v>0</v>
      </c>
      <c r="AT155" s="298">
        <f t="shared" si="83"/>
        <v>0</v>
      </c>
      <c r="AU155" s="285">
        <f t="shared" si="72"/>
        <v>5.56</v>
      </c>
      <c r="AV155" s="298">
        <v>5.56</v>
      </c>
      <c r="AW155" s="285"/>
      <c r="AX155" s="285"/>
      <c r="AY155" s="285"/>
      <c r="AZ155" s="285"/>
      <c r="BA155" s="285"/>
    </row>
    <row r="156" s="258" customFormat="1" ht="24" spans="1:53">
      <c r="A156" s="283">
        <v>149</v>
      </c>
      <c r="B156" s="284" t="s">
        <v>195</v>
      </c>
      <c r="C156" s="284" t="s">
        <v>199</v>
      </c>
      <c r="D156" s="284" t="s">
        <v>387</v>
      </c>
      <c r="E156" s="284" t="s">
        <v>388</v>
      </c>
      <c r="F156" s="285">
        <f t="shared" si="73"/>
        <v>2</v>
      </c>
      <c r="G156" s="285">
        <v>2</v>
      </c>
      <c r="H156" s="285"/>
      <c r="I156" s="285"/>
      <c r="J156" s="285"/>
      <c r="K156" s="285"/>
      <c r="L156" s="285"/>
      <c r="M156" s="285"/>
      <c r="N156" s="285"/>
      <c r="O156" s="285"/>
      <c r="P156" s="285">
        <f t="shared" si="65"/>
        <v>2</v>
      </c>
      <c r="Q156" s="285">
        <v>2</v>
      </c>
      <c r="R156" s="285"/>
      <c r="S156" s="285"/>
      <c r="T156" s="285"/>
      <c r="U156" s="285"/>
      <c r="V156" s="298">
        <f t="shared" si="74"/>
        <v>0</v>
      </c>
      <c r="W156" s="298"/>
      <c r="X156" s="298"/>
      <c r="Y156" s="298"/>
      <c r="Z156" s="298"/>
      <c r="AA156" s="298"/>
      <c r="AB156" s="298"/>
      <c r="AC156" s="298"/>
      <c r="AD156" s="298"/>
      <c r="AE156" s="285"/>
      <c r="AF156" s="299">
        <f t="shared" si="66"/>
        <v>0</v>
      </c>
      <c r="AG156" s="299">
        <f t="shared" si="67"/>
        <v>0</v>
      </c>
      <c r="AH156" s="299">
        <f t="shared" si="68"/>
        <v>0</v>
      </c>
      <c r="AI156" s="299">
        <f t="shared" si="69"/>
        <v>0</v>
      </c>
      <c r="AJ156" s="299">
        <f t="shared" si="70"/>
        <v>0</v>
      </c>
      <c r="AK156" s="299">
        <f t="shared" si="71"/>
        <v>0</v>
      </c>
      <c r="AL156" s="298">
        <f t="shared" si="75"/>
        <v>2</v>
      </c>
      <c r="AM156" s="298">
        <f t="shared" si="76"/>
        <v>2</v>
      </c>
      <c r="AN156" s="298">
        <f t="shared" si="77"/>
        <v>0</v>
      </c>
      <c r="AO156" s="298">
        <f t="shared" si="78"/>
        <v>0</v>
      </c>
      <c r="AP156" s="298">
        <f t="shared" si="79"/>
        <v>0</v>
      </c>
      <c r="AQ156" s="298">
        <f t="shared" si="80"/>
        <v>0</v>
      </c>
      <c r="AR156" s="298">
        <f t="shared" si="81"/>
        <v>0</v>
      </c>
      <c r="AS156" s="298">
        <f t="shared" si="82"/>
        <v>0</v>
      </c>
      <c r="AT156" s="298">
        <f t="shared" si="83"/>
        <v>0</v>
      </c>
      <c r="AU156" s="285">
        <f t="shared" si="72"/>
        <v>2</v>
      </c>
      <c r="AV156" s="298">
        <v>2</v>
      </c>
      <c r="AW156" s="285"/>
      <c r="AX156" s="285"/>
      <c r="AY156" s="285"/>
      <c r="AZ156" s="285"/>
      <c r="BA156" s="285"/>
    </row>
    <row r="157" s="258" customFormat="1" ht="24" spans="1:53">
      <c r="A157" s="283">
        <v>150</v>
      </c>
      <c r="B157" s="284" t="s">
        <v>195</v>
      </c>
      <c r="C157" s="284" t="s">
        <v>199</v>
      </c>
      <c r="D157" s="284" t="s">
        <v>389</v>
      </c>
      <c r="E157" s="284" t="s">
        <v>388</v>
      </c>
      <c r="F157" s="285">
        <f t="shared" si="73"/>
        <v>5</v>
      </c>
      <c r="G157" s="285">
        <v>5</v>
      </c>
      <c r="H157" s="285"/>
      <c r="I157" s="285"/>
      <c r="J157" s="285"/>
      <c r="K157" s="285"/>
      <c r="L157" s="285"/>
      <c r="M157" s="285"/>
      <c r="N157" s="285"/>
      <c r="O157" s="285"/>
      <c r="P157" s="285">
        <f t="shared" si="65"/>
        <v>5</v>
      </c>
      <c r="Q157" s="285">
        <v>5</v>
      </c>
      <c r="R157" s="285"/>
      <c r="S157" s="285"/>
      <c r="T157" s="285"/>
      <c r="U157" s="285"/>
      <c r="V157" s="298">
        <f t="shared" si="74"/>
        <v>0</v>
      </c>
      <c r="W157" s="298"/>
      <c r="X157" s="298"/>
      <c r="Y157" s="298"/>
      <c r="Z157" s="298"/>
      <c r="AA157" s="298"/>
      <c r="AB157" s="298"/>
      <c r="AC157" s="298"/>
      <c r="AD157" s="298"/>
      <c r="AE157" s="285"/>
      <c r="AF157" s="299">
        <f t="shared" si="66"/>
        <v>0</v>
      </c>
      <c r="AG157" s="299">
        <f t="shared" si="67"/>
        <v>0</v>
      </c>
      <c r="AH157" s="299">
        <f t="shared" si="68"/>
        <v>0</v>
      </c>
      <c r="AI157" s="299">
        <f t="shared" si="69"/>
        <v>0</v>
      </c>
      <c r="AJ157" s="299">
        <f t="shared" si="70"/>
        <v>0</v>
      </c>
      <c r="AK157" s="299">
        <f t="shared" si="71"/>
        <v>0</v>
      </c>
      <c r="AL157" s="298">
        <f t="shared" si="75"/>
        <v>5</v>
      </c>
      <c r="AM157" s="298">
        <f t="shared" si="76"/>
        <v>5</v>
      </c>
      <c r="AN157" s="298">
        <f t="shared" si="77"/>
        <v>0</v>
      </c>
      <c r="AO157" s="298">
        <f t="shared" si="78"/>
        <v>0</v>
      </c>
      <c r="AP157" s="298">
        <f t="shared" si="79"/>
        <v>0</v>
      </c>
      <c r="AQ157" s="298">
        <f t="shared" si="80"/>
        <v>0</v>
      </c>
      <c r="AR157" s="298">
        <f t="shared" si="81"/>
        <v>0</v>
      </c>
      <c r="AS157" s="298">
        <f t="shared" si="82"/>
        <v>0</v>
      </c>
      <c r="AT157" s="298">
        <f t="shared" si="83"/>
        <v>0</v>
      </c>
      <c r="AU157" s="285">
        <f t="shared" si="72"/>
        <v>5</v>
      </c>
      <c r="AV157" s="298">
        <v>5</v>
      </c>
      <c r="AW157" s="285"/>
      <c r="AX157" s="285"/>
      <c r="AY157" s="285"/>
      <c r="AZ157" s="285"/>
      <c r="BA157" s="285"/>
    </row>
    <row r="158" s="258" customFormat="1" ht="108" spans="1:53">
      <c r="A158" s="283">
        <v>151</v>
      </c>
      <c r="B158" s="284" t="s">
        <v>195</v>
      </c>
      <c r="C158" s="284" t="s">
        <v>196</v>
      </c>
      <c r="D158" s="284" t="s">
        <v>390</v>
      </c>
      <c r="E158" s="284" t="s">
        <v>391</v>
      </c>
      <c r="F158" s="285">
        <f t="shared" si="73"/>
        <v>324.35</v>
      </c>
      <c r="G158" s="285">
        <v>13</v>
      </c>
      <c r="H158" s="285"/>
      <c r="I158" s="285">
        <v>11.35</v>
      </c>
      <c r="J158" s="285"/>
      <c r="K158" s="285"/>
      <c r="L158" s="285"/>
      <c r="M158" s="285"/>
      <c r="N158" s="285">
        <v>300</v>
      </c>
      <c r="O158" s="285" t="s">
        <v>1045</v>
      </c>
      <c r="P158" s="285">
        <f t="shared" si="65"/>
        <v>324.35</v>
      </c>
      <c r="Q158" s="285">
        <v>324.35</v>
      </c>
      <c r="R158" s="285"/>
      <c r="S158" s="285"/>
      <c r="T158" s="285"/>
      <c r="U158" s="285"/>
      <c r="V158" s="298">
        <f t="shared" si="74"/>
        <v>1.5</v>
      </c>
      <c r="W158" s="298"/>
      <c r="X158" s="298"/>
      <c r="Y158" s="298">
        <v>-1.25</v>
      </c>
      <c r="Z158" s="298"/>
      <c r="AA158" s="298"/>
      <c r="AB158" s="298">
        <v>2.75</v>
      </c>
      <c r="AC158" s="298"/>
      <c r="AD158" s="298"/>
      <c r="AE158" s="285" t="s">
        <v>1046</v>
      </c>
      <c r="AF158" s="299">
        <f t="shared" si="66"/>
        <v>1.5</v>
      </c>
      <c r="AG158" s="299">
        <f t="shared" si="67"/>
        <v>-1.25</v>
      </c>
      <c r="AH158" s="299">
        <f t="shared" si="68"/>
        <v>0</v>
      </c>
      <c r="AI158" s="299">
        <f t="shared" si="69"/>
        <v>2.75</v>
      </c>
      <c r="AJ158" s="299">
        <f t="shared" si="70"/>
        <v>0</v>
      </c>
      <c r="AK158" s="299">
        <f t="shared" si="71"/>
        <v>0</v>
      </c>
      <c r="AL158" s="298">
        <f t="shared" si="75"/>
        <v>325.85</v>
      </c>
      <c r="AM158" s="298">
        <f t="shared" si="76"/>
        <v>13</v>
      </c>
      <c r="AN158" s="298">
        <f t="shared" si="77"/>
        <v>0</v>
      </c>
      <c r="AO158" s="298">
        <f t="shared" si="78"/>
        <v>10.1</v>
      </c>
      <c r="AP158" s="298">
        <f t="shared" si="79"/>
        <v>0</v>
      </c>
      <c r="AQ158" s="298">
        <f t="shared" si="80"/>
        <v>0</v>
      </c>
      <c r="AR158" s="298">
        <f t="shared" si="81"/>
        <v>2.75</v>
      </c>
      <c r="AS158" s="298">
        <f t="shared" si="82"/>
        <v>0</v>
      </c>
      <c r="AT158" s="298">
        <f t="shared" si="83"/>
        <v>300</v>
      </c>
      <c r="AU158" s="298">
        <f t="shared" si="72"/>
        <v>325.85</v>
      </c>
      <c r="AV158" s="298">
        <v>323.1</v>
      </c>
      <c r="AW158" s="298"/>
      <c r="AX158" s="298">
        <v>2.75</v>
      </c>
      <c r="AY158" s="298"/>
      <c r="AZ158" s="298"/>
      <c r="BA158" s="285">
        <v>67</v>
      </c>
    </row>
    <row r="159" s="258" customFormat="1" ht="24" spans="1:53">
      <c r="A159" s="283">
        <v>152</v>
      </c>
      <c r="B159" s="284" t="s">
        <v>195</v>
      </c>
      <c r="C159" s="284" t="s">
        <v>199</v>
      </c>
      <c r="D159" s="284" t="s">
        <v>392</v>
      </c>
      <c r="E159" s="284" t="s">
        <v>393</v>
      </c>
      <c r="F159" s="285">
        <f t="shared" si="73"/>
        <v>9</v>
      </c>
      <c r="G159" s="285">
        <v>9</v>
      </c>
      <c r="H159" s="285"/>
      <c r="I159" s="285"/>
      <c r="J159" s="285"/>
      <c r="K159" s="285"/>
      <c r="L159" s="285"/>
      <c r="M159" s="285"/>
      <c r="N159" s="285"/>
      <c r="O159" s="285"/>
      <c r="P159" s="285">
        <f t="shared" si="65"/>
        <v>9</v>
      </c>
      <c r="Q159" s="285">
        <v>9</v>
      </c>
      <c r="R159" s="285"/>
      <c r="S159" s="285"/>
      <c r="T159" s="285"/>
      <c r="U159" s="285"/>
      <c r="V159" s="298">
        <f t="shared" si="74"/>
        <v>0</v>
      </c>
      <c r="W159" s="298"/>
      <c r="X159" s="298"/>
      <c r="Y159" s="298"/>
      <c r="Z159" s="298"/>
      <c r="AA159" s="298"/>
      <c r="AB159" s="298"/>
      <c r="AC159" s="298"/>
      <c r="AD159" s="298"/>
      <c r="AE159" s="285"/>
      <c r="AF159" s="299">
        <f t="shared" si="66"/>
        <v>0</v>
      </c>
      <c r="AG159" s="299">
        <f t="shared" si="67"/>
        <v>0</v>
      </c>
      <c r="AH159" s="299">
        <f t="shared" si="68"/>
        <v>0</v>
      </c>
      <c r="AI159" s="299">
        <f t="shared" si="69"/>
        <v>0</v>
      </c>
      <c r="AJ159" s="299">
        <f t="shared" si="70"/>
        <v>0</v>
      </c>
      <c r="AK159" s="299">
        <f t="shared" si="71"/>
        <v>0</v>
      </c>
      <c r="AL159" s="298">
        <f t="shared" si="75"/>
        <v>9</v>
      </c>
      <c r="AM159" s="298">
        <f t="shared" si="76"/>
        <v>9</v>
      </c>
      <c r="AN159" s="298">
        <f t="shared" si="77"/>
        <v>0</v>
      </c>
      <c r="AO159" s="298">
        <f t="shared" si="78"/>
        <v>0</v>
      </c>
      <c r="AP159" s="298">
        <f t="shared" si="79"/>
        <v>0</v>
      </c>
      <c r="AQ159" s="298">
        <f t="shared" si="80"/>
        <v>0</v>
      </c>
      <c r="AR159" s="298">
        <f t="shared" si="81"/>
        <v>0</v>
      </c>
      <c r="AS159" s="298">
        <f t="shared" si="82"/>
        <v>0</v>
      </c>
      <c r="AT159" s="298">
        <f t="shared" si="83"/>
        <v>0</v>
      </c>
      <c r="AU159" s="285">
        <f t="shared" si="72"/>
        <v>9</v>
      </c>
      <c r="AV159" s="298">
        <v>9</v>
      </c>
      <c r="AW159" s="285"/>
      <c r="AX159" s="285"/>
      <c r="AY159" s="285"/>
      <c r="AZ159" s="285"/>
      <c r="BA159" s="285"/>
    </row>
    <row r="160" s="258" customFormat="1" ht="36" spans="1:53">
      <c r="A160" s="283">
        <v>153</v>
      </c>
      <c r="B160" s="284" t="s">
        <v>195</v>
      </c>
      <c r="C160" s="284" t="s">
        <v>196</v>
      </c>
      <c r="D160" s="284" t="s">
        <v>536</v>
      </c>
      <c r="E160" s="284" t="s">
        <v>1047</v>
      </c>
      <c r="F160" s="285">
        <f t="shared" si="73"/>
        <v>177.4</v>
      </c>
      <c r="G160" s="285">
        <v>20.4</v>
      </c>
      <c r="H160" s="285">
        <v>4</v>
      </c>
      <c r="I160" s="285">
        <v>3</v>
      </c>
      <c r="J160" s="285"/>
      <c r="K160" s="285"/>
      <c r="L160" s="285"/>
      <c r="M160" s="285"/>
      <c r="N160" s="285">
        <v>150</v>
      </c>
      <c r="O160" s="285" t="s">
        <v>1048</v>
      </c>
      <c r="P160" s="285">
        <f t="shared" si="65"/>
        <v>177.4</v>
      </c>
      <c r="Q160" s="285">
        <v>177.4</v>
      </c>
      <c r="R160" s="285"/>
      <c r="S160" s="285"/>
      <c r="T160" s="285"/>
      <c r="U160" s="285"/>
      <c r="V160" s="298">
        <f t="shared" si="74"/>
        <v>1.04</v>
      </c>
      <c r="W160" s="298"/>
      <c r="X160" s="298"/>
      <c r="Y160" s="298">
        <v>-1.2</v>
      </c>
      <c r="Z160" s="298"/>
      <c r="AA160" s="298"/>
      <c r="AB160" s="298">
        <v>2.24</v>
      </c>
      <c r="AC160" s="298"/>
      <c r="AD160" s="298"/>
      <c r="AE160" s="285" t="s">
        <v>1049</v>
      </c>
      <c r="AF160" s="299">
        <f t="shared" si="66"/>
        <v>1.03999999999998</v>
      </c>
      <c r="AG160" s="299">
        <f t="shared" si="67"/>
        <v>-1.20000000000002</v>
      </c>
      <c r="AH160" s="299">
        <f t="shared" si="68"/>
        <v>0</v>
      </c>
      <c r="AI160" s="299">
        <f t="shared" si="69"/>
        <v>2.24</v>
      </c>
      <c r="AJ160" s="299">
        <f t="shared" si="70"/>
        <v>0</v>
      </c>
      <c r="AK160" s="299">
        <f t="shared" si="71"/>
        <v>0</v>
      </c>
      <c r="AL160" s="298">
        <f t="shared" si="75"/>
        <v>178.44</v>
      </c>
      <c r="AM160" s="298">
        <f t="shared" si="76"/>
        <v>20.4</v>
      </c>
      <c r="AN160" s="298">
        <f t="shared" si="77"/>
        <v>4</v>
      </c>
      <c r="AO160" s="298">
        <f t="shared" si="78"/>
        <v>1.8</v>
      </c>
      <c r="AP160" s="298">
        <f t="shared" si="79"/>
        <v>0</v>
      </c>
      <c r="AQ160" s="298">
        <f t="shared" si="80"/>
        <v>0</v>
      </c>
      <c r="AR160" s="298">
        <f t="shared" si="81"/>
        <v>2.24</v>
      </c>
      <c r="AS160" s="298">
        <f t="shared" si="82"/>
        <v>0</v>
      </c>
      <c r="AT160" s="298">
        <f t="shared" si="83"/>
        <v>150</v>
      </c>
      <c r="AU160" s="298">
        <f t="shared" si="72"/>
        <v>178.44</v>
      </c>
      <c r="AV160" s="298">
        <v>176.2</v>
      </c>
      <c r="AW160" s="298"/>
      <c r="AX160" s="298">
        <v>2.24</v>
      </c>
      <c r="AY160" s="298"/>
      <c r="AZ160" s="298"/>
      <c r="BA160" s="285">
        <v>100</v>
      </c>
    </row>
    <row r="161" s="258" customFormat="1" ht="60" spans="1:53">
      <c r="A161" s="283">
        <v>154</v>
      </c>
      <c r="B161" s="284" t="s">
        <v>195</v>
      </c>
      <c r="C161" s="284" t="s">
        <v>196</v>
      </c>
      <c r="D161" s="284" t="s">
        <v>394</v>
      </c>
      <c r="E161" s="284" t="s">
        <v>395</v>
      </c>
      <c r="F161" s="285">
        <f t="shared" si="73"/>
        <v>93.97</v>
      </c>
      <c r="G161" s="285">
        <v>7</v>
      </c>
      <c r="H161" s="285"/>
      <c r="I161" s="285">
        <v>6.97</v>
      </c>
      <c r="J161" s="285"/>
      <c r="K161" s="285"/>
      <c r="L161" s="285"/>
      <c r="M161" s="285"/>
      <c r="N161" s="285">
        <v>80</v>
      </c>
      <c r="O161" s="285" t="s">
        <v>1050</v>
      </c>
      <c r="P161" s="285">
        <f t="shared" si="65"/>
        <v>93.97</v>
      </c>
      <c r="Q161" s="285">
        <v>93.97</v>
      </c>
      <c r="R161" s="285"/>
      <c r="S161" s="285"/>
      <c r="T161" s="285"/>
      <c r="U161" s="285"/>
      <c r="V161" s="298">
        <f t="shared" si="74"/>
        <v>-0.15</v>
      </c>
      <c r="W161" s="298"/>
      <c r="X161" s="298"/>
      <c r="Y161" s="298">
        <v>-0.24</v>
      </c>
      <c r="Z161" s="298"/>
      <c r="AA161" s="298"/>
      <c r="AB161" s="298">
        <v>0.09</v>
      </c>
      <c r="AC161" s="298"/>
      <c r="AD161" s="298"/>
      <c r="AE161" s="285" t="s">
        <v>1051</v>
      </c>
      <c r="AF161" s="299">
        <f t="shared" si="66"/>
        <v>-0.150000000000009</v>
      </c>
      <c r="AG161" s="299">
        <f t="shared" si="67"/>
        <v>-0.240000000000009</v>
      </c>
      <c r="AH161" s="299">
        <f t="shared" si="68"/>
        <v>0</v>
      </c>
      <c r="AI161" s="299">
        <f t="shared" si="69"/>
        <v>0.09</v>
      </c>
      <c r="AJ161" s="299">
        <f t="shared" si="70"/>
        <v>0</v>
      </c>
      <c r="AK161" s="299">
        <f t="shared" si="71"/>
        <v>0</v>
      </c>
      <c r="AL161" s="298">
        <f t="shared" si="75"/>
        <v>93.82</v>
      </c>
      <c r="AM161" s="298">
        <f t="shared" si="76"/>
        <v>7</v>
      </c>
      <c r="AN161" s="298">
        <f t="shared" si="77"/>
        <v>0</v>
      </c>
      <c r="AO161" s="298">
        <f t="shared" si="78"/>
        <v>6.73</v>
      </c>
      <c r="AP161" s="298">
        <f t="shared" si="79"/>
        <v>0</v>
      </c>
      <c r="AQ161" s="298">
        <f t="shared" si="80"/>
        <v>0</v>
      </c>
      <c r="AR161" s="298">
        <f t="shared" si="81"/>
        <v>0.09</v>
      </c>
      <c r="AS161" s="298">
        <f t="shared" si="82"/>
        <v>0</v>
      </c>
      <c r="AT161" s="298">
        <f t="shared" si="83"/>
        <v>80</v>
      </c>
      <c r="AU161" s="285">
        <f t="shared" si="72"/>
        <v>93.82</v>
      </c>
      <c r="AV161" s="298">
        <v>93.73</v>
      </c>
      <c r="AW161" s="285"/>
      <c r="AX161" s="285">
        <v>0.09</v>
      </c>
      <c r="AY161" s="285"/>
      <c r="AZ161" s="285"/>
      <c r="BA161" s="285"/>
    </row>
    <row r="162" s="258" customFormat="1" ht="24" spans="1:53">
      <c r="A162" s="283">
        <v>155</v>
      </c>
      <c r="B162" s="284" t="s">
        <v>195</v>
      </c>
      <c r="C162" s="284" t="s">
        <v>199</v>
      </c>
      <c r="D162" s="284" t="s">
        <v>396</v>
      </c>
      <c r="E162" s="284" t="s">
        <v>397</v>
      </c>
      <c r="F162" s="285">
        <f t="shared" si="73"/>
        <v>3</v>
      </c>
      <c r="G162" s="285">
        <v>3</v>
      </c>
      <c r="H162" s="285"/>
      <c r="I162" s="285"/>
      <c r="J162" s="285"/>
      <c r="K162" s="285"/>
      <c r="L162" s="285"/>
      <c r="M162" s="285"/>
      <c r="N162" s="285"/>
      <c r="O162" s="285"/>
      <c r="P162" s="285">
        <f t="shared" si="65"/>
        <v>3</v>
      </c>
      <c r="Q162" s="285">
        <v>3</v>
      </c>
      <c r="R162" s="285"/>
      <c r="S162" s="285"/>
      <c r="T162" s="285"/>
      <c r="U162" s="285"/>
      <c r="V162" s="298">
        <f t="shared" si="74"/>
        <v>0</v>
      </c>
      <c r="W162" s="298"/>
      <c r="X162" s="298"/>
      <c r="Y162" s="298"/>
      <c r="Z162" s="298"/>
      <c r="AA162" s="298"/>
      <c r="AB162" s="298"/>
      <c r="AC162" s="298"/>
      <c r="AD162" s="298"/>
      <c r="AE162" s="285"/>
      <c r="AF162" s="299">
        <f t="shared" si="66"/>
        <v>0</v>
      </c>
      <c r="AG162" s="299">
        <f t="shared" si="67"/>
        <v>0</v>
      </c>
      <c r="AH162" s="299">
        <f t="shared" si="68"/>
        <v>0</v>
      </c>
      <c r="AI162" s="299">
        <f t="shared" si="69"/>
        <v>0</v>
      </c>
      <c r="AJ162" s="299">
        <f t="shared" si="70"/>
        <v>0</v>
      </c>
      <c r="AK162" s="299">
        <f t="shared" si="71"/>
        <v>0</v>
      </c>
      <c r="AL162" s="298">
        <f t="shared" si="75"/>
        <v>3</v>
      </c>
      <c r="AM162" s="298">
        <f t="shared" si="76"/>
        <v>3</v>
      </c>
      <c r="AN162" s="298">
        <f t="shared" si="77"/>
        <v>0</v>
      </c>
      <c r="AO162" s="298">
        <f t="shared" si="78"/>
        <v>0</v>
      </c>
      <c r="AP162" s="298">
        <f t="shared" si="79"/>
        <v>0</v>
      </c>
      <c r="AQ162" s="298">
        <f t="shared" si="80"/>
        <v>0</v>
      </c>
      <c r="AR162" s="298">
        <f t="shared" si="81"/>
        <v>0</v>
      </c>
      <c r="AS162" s="298">
        <f t="shared" si="82"/>
        <v>0</v>
      </c>
      <c r="AT162" s="298">
        <f t="shared" si="83"/>
        <v>0</v>
      </c>
      <c r="AU162" s="285">
        <f t="shared" si="72"/>
        <v>3</v>
      </c>
      <c r="AV162" s="298">
        <v>3</v>
      </c>
      <c r="AW162" s="285"/>
      <c r="AX162" s="285"/>
      <c r="AY162" s="285"/>
      <c r="AZ162" s="285"/>
      <c r="BA162" s="285"/>
    </row>
    <row r="163" s="258" customFormat="1" ht="24" spans="1:53">
      <c r="A163" s="283">
        <v>156</v>
      </c>
      <c r="B163" s="284" t="s">
        <v>195</v>
      </c>
      <c r="C163" s="284" t="s">
        <v>199</v>
      </c>
      <c r="D163" s="284" t="s">
        <v>398</v>
      </c>
      <c r="E163" s="284" t="s">
        <v>397</v>
      </c>
      <c r="F163" s="285">
        <f t="shared" si="73"/>
        <v>1</v>
      </c>
      <c r="G163" s="285">
        <v>1</v>
      </c>
      <c r="H163" s="285"/>
      <c r="I163" s="285"/>
      <c r="J163" s="285"/>
      <c r="K163" s="285"/>
      <c r="L163" s="285"/>
      <c r="M163" s="285"/>
      <c r="N163" s="285"/>
      <c r="O163" s="285"/>
      <c r="P163" s="285">
        <f t="shared" si="65"/>
        <v>1</v>
      </c>
      <c r="Q163" s="285">
        <v>1</v>
      </c>
      <c r="R163" s="285"/>
      <c r="S163" s="285"/>
      <c r="T163" s="285"/>
      <c r="U163" s="285"/>
      <c r="V163" s="298">
        <f t="shared" si="74"/>
        <v>0</v>
      </c>
      <c r="W163" s="298"/>
      <c r="X163" s="298"/>
      <c r="Y163" s="298"/>
      <c r="Z163" s="298"/>
      <c r="AA163" s="298"/>
      <c r="AB163" s="298"/>
      <c r="AC163" s="298"/>
      <c r="AD163" s="298"/>
      <c r="AE163" s="285"/>
      <c r="AF163" s="299">
        <f t="shared" si="66"/>
        <v>0</v>
      </c>
      <c r="AG163" s="299">
        <f t="shared" si="67"/>
        <v>0</v>
      </c>
      <c r="AH163" s="299">
        <f t="shared" si="68"/>
        <v>0</v>
      </c>
      <c r="AI163" s="299">
        <f t="shared" si="69"/>
        <v>0</v>
      </c>
      <c r="AJ163" s="299">
        <f t="shared" si="70"/>
        <v>0</v>
      </c>
      <c r="AK163" s="299">
        <f t="shared" si="71"/>
        <v>0</v>
      </c>
      <c r="AL163" s="298">
        <f t="shared" si="75"/>
        <v>1</v>
      </c>
      <c r="AM163" s="298">
        <f t="shared" si="76"/>
        <v>1</v>
      </c>
      <c r="AN163" s="298">
        <f t="shared" si="77"/>
        <v>0</v>
      </c>
      <c r="AO163" s="298">
        <f t="shared" si="78"/>
        <v>0</v>
      </c>
      <c r="AP163" s="298">
        <f t="shared" si="79"/>
        <v>0</v>
      </c>
      <c r="AQ163" s="298">
        <f t="shared" si="80"/>
        <v>0</v>
      </c>
      <c r="AR163" s="298">
        <f t="shared" si="81"/>
        <v>0</v>
      </c>
      <c r="AS163" s="298">
        <f t="shared" si="82"/>
        <v>0</v>
      </c>
      <c r="AT163" s="298">
        <f t="shared" si="83"/>
        <v>0</v>
      </c>
      <c r="AU163" s="285">
        <f t="shared" si="72"/>
        <v>1</v>
      </c>
      <c r="AV163" s="298">
        <v>1</v>
      </c>
      <c r="AW163" s="285"/>
      <c r="AX163" s="285"/>
      <c r="AY163" s="285"/>
      <c r="AZ163" s="285"/>
      <c r="BA163" s="285"/>
    </row>
    <row r="164" s="258" customFormat="1" ht="24" spans="1:53">
      <c r="A164" s="283">
        <v>157</v>
      </c>
      <c r="B164" s="284" t="s">
        <v>195</v>
      </c>
      <c r="C164" s="284" t="s">
        <v>196</v>
      </c>
      <c r="D164" s="284" t="s">
        <v>399</v>
      </c>
      <c r="E164" s="284" t="s">
        <v>400</v>
      </c>
      <c r="F164" s="285">
        <f t="shared" si="73"/>
        <v>105.4</v>
      </c>
      <c r="G164" s="285">
        <v>2.4</v>
      </c>
      <c r="H164" s="285"/>
      <c r="I164" s="285">
        <v>3</v>
      </c>
      <c r="J164" s="285"/>
      <c r="K164" s="285"/>
      <c r="L164" s="285"/>
      <c r="M164" s="285"/>
      <c r="N164" s="285">
        <v>100</v>
      </c>
      <c r="O164" s="285" t="s">
        <v>1052</v>
      </c>
      <c r="P164" s="285">
        <f t="shared" si="65"/>
        <v>105.4</v>
      </c>
      <c r="Q164" s="285">
        <v>105.4</v>
      </c>
      <c r="R164" s="285"/>
      <c r="S164" s="285"/>
      <c r="T164" s="285"/>
      <c r="U164" s="285"/>
      <c r="V164" s="298">
        <f t="shared" si="74"/>
        <v>0.52</v>
      </c>
      <c r="W164" s="298"/>
      <c r="X164" s="298"/>
      <c r="Y164" s="298">
        <v>0.52</v>
      </c>
      <c r="Z164" s="298"/>
      <c r="AA164" s="298"/>
      <c r="AB164" s="298"/>
      <c r="AC164" s="298"/>
      <c r="AD164" s="298"/>
      <c r="AE164" s="285"/>
      <c r="AF164" s="299">
        <f t="shared" si="66"/>
        <v>0.519999999999996</v>
      </c>
      <c r="AG164" s="299">
        <f t="shared" si="67"/>
        <v>0.519999999999996</v>
      </c>
      <c r="AH164" s="299">
        <f t="shared" si="68"/>
        <v>0</v>
      </c>
      <c r="AI164" s="299">
        <f t="shared" si="69"/>
        <v>0</v>
      </c>
      <c r="AJ164" s="299">
        <f t="shared" si="70"/>
        <v>0</v>
      </c>
      <c r="AK164" s="299">
        <f t="shared" si="71"/>
        <v>0</v>
      </c>
      <c r="AL164" s="298">
        <f t="shared" si="75"/>
        <v>105.92</v>
      </c>
      <c r="AM164" s="298">
        <f t="shared" si="76"/>
        <v>2.4</v>
      </c>
      <c r="AN164" s="298">
        <f t="shared" si="77"/>
        <v>0</v>
      </c>
      <c r="AO164" s="298">
        <f t="shared" si="78"/>
        <v>3.52</v>
      </c>
      <c r="AP164" s="298">
        <f t="shared" si="79"/>
        <v>0</v>
      </c>
      <c r="AQ164" s="298">
        <f t="shared" si="80"/>
        <v>0</v>
      </c>
      <c r="AR164" s="298">
        <f t="shared" si="81"/>
        <v>0</v>
      </c>
      <c r="AS164" s="298">
        <f t="shared" si="82"/>
        <v>0</v>
      </c>
      <c r="AT164" s="298">
        <f t="shared" si="83"/>
        <v>100</v>
      </c>
      <c r="AU164" s="285">
        <f t="shared" si="72"/>
        <v>105.92</v>
      </c>
      <c r="AV164" s="298">
        <v>105.92</v>
      </c>
      <c r="AW164" s="285"/>
      <c r="AX164" s="285"/>
      <c r="AY164" s="285"/>
      <c r="AZ164" s="285"/>
      <c r="BA164" s="285"/>
    </row>
    <row r="165" s="258" customFormat="1" ht="24" spans="1:53">
      <c r="A165" s="283">
        <v>158</v>
      </c>
      <c r="B165" s="284" t="s">
        <v>195</v>
      </c>
      <c r="C165" s="284" t="s">
        <v>196</v>
      </c>
      <c r="D165" s="284" t="s">
        <v>404</v>
      </c>
      <c r="E165" s="284" t="s">
        <v>400</v>
      </c>
      <c r="F165" s="285">
        <f t="shared" si="73"/>
        <v>2.4</v>
      </c>
      <c r="G165" s="285">
        <v>1.2</v>
      </c>
      <c r="H165" s="285"/>
      <c r="I165" s="285">
        <v>1.2</v>
      </c>
      <c r="J165" s="285"/>
      <c r="K165" s="285"/>
      <c r="L165" s="285"/>
      <c r="M165" s="285"/>
      <c r="N165" s="285"/>
      <c r="O165" s="285"/>
      <c r="P165" s="285">
        <f t="shared" si="65"/>
        <v>2.4</v>
      </c>
      <c r="Q165" s="285">
        <v>2.4</v>
      </c>
      <c r="R165" s="285"/>
      <c r="S165" s="285"/>
      <c r="T165" s="285"/>
      <c r="U165" s="285"/>
      <c r="V165" s="298">
        <f t="shared" si="74"/>
        <v>-0.15</v>
      </c>
      <c r="W165" s="298"/>
      <c r="X165" s="298"/>
      <c r="Y165" s="298">
        <v>-0.15</v>
      </c>
      <c r="Z165" s="298"/>
      <c r="AA165" s="298"/>
      <c r="AB165" s="298"/>
      <c r="AC165" s="298"/>
      <c r="AD165" s="298"/>
      <c r="AE165" s="285"/>
      <c r="AF165" s="299">
        <f t="shared" si="66"/>
        <v>-0.15</v>
      </c>
      <c r="AG165" s="299">
        <f t="shared" si="67"/>
        <v>-0.15</v>
      </c>
      <c r="AH165" s="299">
        <f t="shared" si="68"/>
        <v>0</v>
      </c>
      <c r="AI165" s="299">
        <f t="shared" si="69"/>
        <v>0</v>
      </c>
      <c r="AJ165" s="299">
        <f t="shared" si="70"/>
        <v>0</v>
      </c>
      <c r="AK165" s="299">
        <f t="shared" si="71"/>
        <v>0</v>
      </c>
      <c r="AL165" s="298">
        <f t="shared" si="75"/>
        <v>2.25</v>
      </c>
      <c r="AM165" s="298">
        <f t="shared" si="76"/>
        <v>1.2</v>
      </c>
      <c r="AN165" s="298">
        <f t="shared" si="77"/>
        <v>0</v>
      </c>
      <c r="AO165" s="298">
        <f t="shared" si="78"/>
        <v>1.05</v>
      </c>
      <c r="AP165" s="298">
        <f t="shared" si="79"/>
        <v>0</v>
      </c>
      <c r="AQ165" s="298">
        <f t="shared" si="80"/>
        <v>0</v>
      </c>
      <c r="AR165" s="298">
        <f t="shared" si="81"/>
        <v>0</v>
      </c>
      <c r="AS165" s="298">
        <f t="shared" si="82"/>
        <v>0</v>
      </c>
      <c r="AT165" s="298">
        <f t="shared" si="83"/>
        <v>0</v>
      </c>
      <c r="AU165" s="285">
        <f t="shared" si="72"/>
        <v>2.25</v>
      </c>
      <c r="AV165" s="298">
        <v>2.25</v>
      </c>
      <c r="AW165" s="285"/>
      <c r="AX165" s="285"/>
      <c r="AY165" s="285"/>
      <c r="AZ165" s="285"/>
      <c r="BA165" s="285"/>
    </row>
    <row r="166" s="258" customFormat="1" ht="24" spans="1:53">
      <c r="A166" s="283">
        <v>159</v>
      </c>
      <c r="B166" s="284" t="s">
        <v>195</v>
      </c>
      <c r="C166" s="284" t="s">
        <v>196</v>
      </c>
      <c r="D166" s="284" t="s">
        <v>405</v>
      </c>
      <c r="E166" s="284" t="s">
        <v>400</v>
      </c>
      <c r="F166" s="285">
        <f t="shared" si="73"/>
        <v>9.71</v>
      </c>
      <c r="G166" s="285">
        <v>4.2</v>
      </c>
      <c r="H166" s="285"/>
      <c r="I166" s="285">
        <v>5.51</v>
      </c>
      <c r="J166" s="285"/>
      <c r="K166" s="285"/>
      <c r="L166" s="285"/>
      <c r="M166" s="285"/>
      <c r="N166" s="285"/>
      <c r="O166" s="285"/>
      <c r="P166" s="285">
        <f t="shared" si="65"/>
        <v>9.71</v>
      </c>
      <c r="Q166" s="285">
        <v>9.71</v>
      </c>
      <c r="R166" s="285"/>
      <c r="S166" s="285"/>
      <c r="T166" s="285"/>
      <c r="U166" s="285"/>
      <c r="V166" s="298">
        <f t="shared" si="74"/>
        <v>0</v>
      </c>
      <c r="W166" s="298"/>
      <c r="X166" s="298"/>
      <c r="Y166" s="298"/>
      <c r="Z166" s="298"/>
      <c r="AA166" s="298"/>
      <c r="AB166" s="298"/>
      <c r="AC166" s="298"/>
      <c r="AD166" s="298"/>
      <c r="AE166" s="285"/>
      <c r="AF166" s="299">
        <f t="shared" si="66"/>
        <v>0</v>
      </c>
      <c r="AG166" s="299">
        <f t="shared" si="67"/>
        <v>0</v>
      </c>
      <c r="AH166" s="299">
        <f t="shared" si="68"/>
        <v>0</v>
      </c>
      <c r="AI166" s="299">
        <f t="shared" si="69"/>
        <v>0</v>
      </c>
      <c r="AJ166" s="299">
        <f t="shared" si="70"/>
        <v>0</v>
      </c>
      <c r="AK166" s="299">
        <f t="shared" si="71"/>
        <v>0</v>
      </c>
      <c r="AL166" s="298">
        <f t="shared" si="75"/>
        <v>9.71</v>
      </c>
      <c r="AM166" s="298">
        <f t="shared" si="76"/>
        <v>4.2</v>
      </c>
      <c r="AN166" s="298">
        <f t="shared" si="77"/>
        <v>0</v>
      </c>
      <c r="AO166" s="298">
        <f t="shared" si="78"/>
        <v>5.51</v>
      </c>
      <c r="AP166" s="298">
        <f t="shared" si="79"/>
        <v>0</v>
      </c>
      <c r="AQ166" s="298">
        <f t="shared" si="80"/>
        <v>0</v>
      </c>
      <c r="AR166" s="298">
        <f t="shared" si="81"/>
        <v>0</v>
      </c>
      <c r="AS166" s="298">
        <f t="shared" si="82"/>
        <v>0</v>
      </c>
      <c r="AT166" s="298">
        <f t="shared" si="83"/>
        <v>0</v>
      </c>
      <c r="AU166" s="285">
        <f t="shared" si="72"/>
        <v>9.71</v>
      </c>
      <c r="AV166" s="298">
        <v>9.71</v>
      </c>
      <c r="AW166" s="285"/>
      <c r="AX166" s="285"/>
      <c r="AY166" s="285"/>
      <c r="AZ166" s="285"/>
      <c r="BA166" s="285"/>
    </row>
    <row r="167" s="258" customFormat="1" ht="24" spans="1:53">
      <c r="A167" s="283">
        <v>160</v>
      </c>
      <c r="B167" s="284" t="s">
        <v>195</v>
      </c>
      <c r="C167" s="284" t="s">
        <v>196</v>
      </c>
      <c r="D167" s="284" t="s">
        <v>406</v>
      </c>
      <c r="E167" s="284" t="s">
        <v>400</v>
      </c>
      <c r="F167" s="285">
        <f t="shared" si="73"/>
        <v>2.52</v>
      </c>
      <c r="G167" s="285">
        <v>1.2</v>
      </c>
      <c r="H167" s="285"/>
      <c r="I167" s="285">
        <v>1.32</v>
      </c>
      <c r="J167" s="285"/>
      <c r="K167" s="285"/>
      <c r="L167" s="285"/>
      <c r="M167" s="285"/>
      <c r="N167" s="285"/>
      <c r="O167" s="285"/>
      <c r="P167" s="285">
        <f t="shared" si="65"/>
        <v>2.52</v>
      </c>
      <c r="Q167" s="285">
        <v>2.52</v>
      </c>
      <c r="R167" s="285"/>
      <c r="S167" s="285"/>
      <c r="T167" s="285"/>
      <c r="U167" s="285"/>
      <c r="V167" s="298">
        <f t="shared" si="74"/>
        <v>0</v>
      </c>
      <c r="W167" s="298"/>
      <c r="X167" s="298"/>
      <c r="Y167" s="298"/>
      <c r="Z167" s="298"/>
      <c r="AA167" s="298"/>
      <c r="AB167" s="298"/>
      <c r="AC167" s="298"/>
      <c r="AD167" s="298"/>
      <c r="AE167" s="285"/>
      <c r="AF167" s="299">
        <f t="shared" si="66"/>
        <v>0</v>
      </c>
      <c r="AG167" s="299">
        <f t="shared" si="67"/>
        <v>0</v>
      </c>
      <c r="AH167" s="299">
        <f t="shared" si="68"/>
        <v>0</v>
      </c>
      <c r="AI167" s="299">
        <f t="shared" si="69"/>
        <v>0</v>
      </c>
      <c r="AJ167" s="299">
        <f t="shared" si="70"/>
        <v>0</v>
      </c>
      <c r="AK167" s="299">
        <f t="shared" si="71"/>
        <v>0</v>
      </c>
      <c r="AL167" s="298">
        <f t="shared" si="75"/>
        <v>2.52</v>
      </c>
      <c r="AM167" s="298">
        <f t="shared" si="76"/>
        <v>1.2</v>
      </c>
      <c r="AN167" s="298">
        <f t="shared" si="77"/>
        <v>0</v>
      </c>
      <c r="AO167" s="298">
        <f t="shared" si="78"/>
        <v>1.32</v>
      </c>
      <c r="AP167" s="298">
        <f t="shared" si="79"/>
        <v>0</v>
      </c>
      <c r="AQ167" s="298">
        <f t="shared" si="80"/>
        <v>0</v>
      </c>
      <c r="AR167" s="298">
        <f t="shared" si="81"/>
        <v>0</v>
      </c>
      <c r="AS167" s="298">
        <f t="shared" si="82"/>
        <v>0</v>
      </c>
      <c r="AT167" s="298">
        <f t="shared" si="83"/>
        <v>0</v>
      </c>
      <c r="AU167" s="285">
        <f t="shared" si="72"/>
        <v>2.52</v>
      </c>
      <c r="AV167" s="298">
        <v>2.52</v>
      </c>
      <c r="AW167" s="285"/>
      <c r="AX167" s="285"/>
      <c r="AY167" s="285"/>
      <c r="AZ167" s="285"/>
      <c r="BA167" s="285"/>
    </row>
    <row r="168" s="258" customFormat="1" ht="84" spans="1:53">
      <c r="A168" s="283">
        <v>161</v>
      </c>
      <c r="B168" s="284" t="s">
        <v>195</v>
      </c>
      <c r="C168" s="284" t="s">
        <v>196</v>
      </c>
      <c r="D168" s="284" t="s">
        <v>407</v>
      </c>
      <c r="E168" s="284" t="s">
        <v>400</v>
      </c>
      <c r="F168" s="285">
        <f t="shared" si="73"/>
        <v>113.86</v>
      </c>
      <c r="G168" s="285">
        <v>6</v>
      </c>
      <c r="H168" s="285"/>
      <c r="I168" s="285">
        <v>7.86</v>
      </c>
      <c r="J168" s="285"/>
      <c r="K168" s="285"/>
      <c r="L168" s="285"/>
      <c r="M168" s="285"/>
      <c r="N168" s="285">
        <v>100</v>
      </c>
      <c r="O168" s="285" t="s">
        <v>1053</v>
      </c>
      <c r="P168" s="285">
        <f t="shared" si="65"/>
        <v>113.86</v>
      </c>
      <c r="Q168" s="285">
        <v>113.86</v>
      </c>
      <c r="R168" s="285"/>
      <c r="S168" s="285"/>
      <c r="T168" s="285"/>
      <c r="U168" s="285"/>
      <c r="V168" s="298">
        <f t="shared" si="74"/>
        <v>-0.59</v>
      </c>
      <c r="W168" s="298"/>
      <c r="X168" s="298"/>
      <c r="Y168" s="298">
        <v>-0.59</v>
      </c>
      <c r="Z168" s="298"/>
      <c r="AA168" s="298"/>
      <c r="AB168" s="298"/>
      <c r="AC168" s="298"/>
      <c r="AD168" s="298"/>
      <c r="AE168" s="285"/>
      <c r="AF168" s="299">
        <f t="shared" si="66"/>
        <v>-0.590000000000003</v>
      </c>
      <c r="AG168" s="299">
        <f t="shared" si="67"/>
        <v>-0.590000000000003</v>
      </c>
      <c r="AH168" s="299">
        <f t="shared" si="68"/>
        <v>0</v>
      </c>
      <c r="AI168" s="299">
        <f t="shared" si="69"/>
        <v>0</v>
      </c>
      <c r="AJ168" s="299">
        <f t="shared" si="70"/>
        <v>0</v>
      </c>
      <c r="AK168" s="299">
        <f t="shared" si="71"/>
        <v>0</v>
      </c>
      <c r="AL168" s="298">
        <f t="shared" si="75"/>
        <v>113.27</v>
      </c>
      <c r="AM168" s="298">
        <f t="shared" si="76"/>
        <v>6</v>
      </c>
      <c r="AN168" s="298">
        <f t="shared" si="77"/>
        <v>0</v>
      </c>
      <c r="AO168" s="298">
        <f t="shared" si="78"/>
        <v>7.27</v>
      </c>
      <c r="AP168" s="298">
        <f t="shared" si="79"/>
        <v>0</v>
      </c>
      <c r="AQ168" s="298">
        <f t="shared" si="80"/>
        <v>0</v>
      </c>
      <c r="AR168" s="298">
        <f t="shared" si="81"/>
        <v>0</v>
      </c>
      <c r="AS168" s="298">
        <f t="shared" si="82"/>
        <v>0</v>
      </c>
      <c r="AT168" s="298">
        <f t="shared" si="83"/>
        <v>100</v>
      </c>
      <c r="AU168" s="285">
        <f t="shared" si="72"/>
        <v>113.27</v>
      </c>
      <c r="AV168" s="298">
        <v>113.27</v>
      </c>
      <c r="AW168" s="285"/>
      <c r="AX168" s="285"/>
      <c r="AY168" s="285"/>
      <c r="AZ168" s="285"/>
      <c r="BA168" s="285"/>
    </row>
    <row r="169" s="258" customFormat="1" ht="24" spans="1:53">
      <c r="A169" s="283">
        <v>162</v>
      </c>
      <c r="B169" s="284" t="s">
        <v>195</v>
      </c>
      <c r="C169" s="284" t="s">
        <v>196</v>
      </c>
      <c r="D169" s="284" t="s">
        <v>408</v>
      </c>
      <c r="E169" s="284" t="s">
        <v>409</v>
      </c>
      <c r="F169" s="285">
        <f t="shared" si="73"/>
        <v>12.8</v>
      </c>
      <c r="G169" s="285">
        <v>0.6</v>
      </c>
      <c r="H169" s="285"/>
      <c r="I169" s="285">
        <v>0.6</v>
      </c>
      <c r="J169" s="285"/>
      <c r="K169" s="285">
        <v>11.6</v>
      </c>
      <c r="L169" s="285"/>
      <c r="M169" s="285"/>
      <c r="N169" s="285"/>
      <c r="O169" s="285"/>
      <c r="P169" s="285">
        <f t="shared" si="65"/>
        <v>12.8</v>
      </c>
      <c r="Q169" s="285">
        <v>12.8</v>
      </c>
      <c r="R169" s="285"/>
      <c r="S169" s="285"/>
      <c r="T169" s="285"/>
      <c r="U169" s="285"/>
      <c r="V169" s="298">
        <f t="shared" si="74"/>
        <v>0</v>
      </c>
      <c r="W169" s="298"/>
      <c r="X169" s="298"/>
      <c r="Y169" s="298"/>
      <c r="Z169" s="298"/>
      <c r="AA169" s="298"/>
      <c r="AB169" s="298"/>
      <c r="AC169" s="298"/>
      <c r="AD169" s="298"/>
      <c r="AE169" s="285"/>
      <c r="AF169" s="299">
        <f t="shared" si="66"/>
        <v>0</v>
      </c>
      <c r="AG169" s="299">
        <f t="shared" si="67"/>
        <v>0</v>
      </c>
      <c r="AH169" s="299">
        <f t="shared" si="68"/>
        <v>0</v>
      </c>
      <c r="AI169" s="299">
        <f t="shared" si="69"/>
        <v>0</v>
      </c>
      <c r="AJ169" s="299">
        <f t="shared" si="70"/>
        <v>0</v>
      </c>
      <c r="AK169" s="299">
        <f t="shared" si="71"/>
        <v>0</v>
      </c>
      <c r="AL169" s="298">
        <f t="shared" si="75"/>
        <v>12.8</v>
      </c>
      <c r="AM169" s="298">
        <f t="shared" si="76"/>
        <v>0.6</v>
      </c>
      <c r="AN169" s="298">
        <f t="shared" si="77"/>
        <v>0</v>
      </c>
      <c r="AO169" s="298">
        <f t="shared" si="78"/>
        <v>0.6</v>
      </c>
      <c r="AP169" s="298">
        <f t="shared" si="79"/>
        <v>0</v>
      </c>
      <c r="AQ169" s="298">
        <f t="shared" si="80"/>
        <v>11.6</v>
      </c>
      <c r="AR169" s="298">
        <f t="shared" si="81"/>
        <v>0</v>
      </c>
      <c r="AS169" s="298">
        <f t="shared" si="82"/>
        <v>0</v>
      </c>
      <c r="AT169" s="298">
        <f t="shared" si="83"/>
        <v>0</v>
      </c>
      <c r="AU169" s="285">
        <f t="shared" si="72"/>
        <v>12.8</v>
      </c>
      <c r="AV169" s="298">
        <v>12.8</v>
      </c>
      <c r="AW169" s="285"/>
      <c r="AX169" s="285"/>
      <c r="AY169" s="285"/>
      <c r="AZ169" s="285"/>
      <c r="BA169" s="285"/>
    </row>
    <row r="170" s="258" customFormat="1" ht="36" spans="1:53">
      <c r="A170" s="283">
        <v>163</v>
      </c>
      <c r="B170" s="284" t="s">
        <v>195</v>
      </c>
      <c r="C170" s="284" t="s">
        <v>199</v>
      </c>
      <c r="D170" s="284" t="s">
        <v>410</v>
      </c>
      <c r="E170" s="284" t="s">
        <v>411</v>
      </c>
      <c r="F170" s="285">
        <f t="shared" si="73"/>
        <v>50.92</v>
      </c>
      <c r="G170" s="285">
        <v>1.2</v>
      </c>
      <c r="H170" s="285">
        <v>2</v>
      </c>
      <c r="I170" s="285"/>
      <c r="J170" s="285"/>
      <c r="K170" s="285">
        <v>30</v>
      </c>
      <c r="L170" s="285" t="s">
        <v>1054</v>
      </c>
      <c r="M170" s="285"/>
      <c r="N170" s="285">
        <v>17.72</v>
      </c>
      <c r="O170" s="285" t="s">
        <v>1055</v>
      </c>
      <c r="P170" s="285">
        <f t="shared" si="65"/>
        <v>50.92</v>
      </c>
      <c r="Q170" s="285">
        <v>50.92</v>
      </c>
      <c r="R170" s="285"/>
      <c r="S170" s="285"/>
      <c r="T170" s="285"/>
      <c r="U170" s="285"/>
      <c r="V170" s="298">
        <f t="shared" si="74"/>
        <v>0</v>
      </c>
      <c r="W170" s="298"/>
      <c r="X170" s="298"/>
      <c r="Y170" s="298"/>
      <c r="Z170" s="298"/>
      <c r="AA170" s="298"/>
      <c r="AB170" s="298"/>
      <c r="AC170" s="298"/>
      <c r="AD170" s="298"/>
      <c r="AE170" s="285"/>
      <c r="AF170" s="299">
        <f t="shared" si="66"/>
        <v>0</v>
      </c>
      <c r="AG170" s="299">
        <f t="shared" si="67"/>
        <v>0</v>
      </c>
      <c r="AH170" s="299">
        <f t="shared" si="68"/>
        <v>0</v>
      </c>
      <c r="AI170" s="299">
        <f t="shared" si="69"/>
        <v>0</v>
      </c>
      <c r="AJ170" s="299">
        <f t="shared" si="70"/>
        <v>0</v>
      </c>
      <c r="AK170" s="299">
        <f t="shared" si="71"/>
        <v>0</v>
      </c>
      <c r="AL170" s="298">
        <f t="shared" si="75"/>
        <v>50.92</v>
      </c>
      <c r="AM170" s="298">
        <f t="shared" si="76"/>
        <v>1.2</v>
      </c>
      <c r="AN170" s="298">
        <f t="shared" si="77"/>
        <v>2</v>
      </c>
      <c r="AO170" s="298">
        <f t="shared" si="78"/>
        <v>0</v>
      </c>
      <c r="AP170" s="298">
        <f t="shared" si="79"/>
        <v>0</v>
      </c>
      <c r="AQ170" s="298">
        <f t="shared" si="80"/>
        <v>30</v>
      </c>
      <c r="AR170" s="298">
        <f t="shared" si="81"/>
        <v>0</v>
      </c>
      <c r="AS170" s="298">
        <f t="shared" si="82"/>
        <v>0</v>
      </c>
      <c r="AT170" s="298">
        <f t="shared" si="83"/>
        <v>17.72</v>
      </c>
      <c r="AU170" s="285">
        <f t="shared" si="72"/>
        <v>50.92</v>
      </c>
      <c r="AV170" s="298">
        <v>50.92</v>
      </c>
      <c r="AW170" s="285"/>
      <c r="AX170" s="285"/>
      <c r="AY170" s="285"/>
      <c r="AZ170" s="285"/>
      <c r="BA170" s="285"/>
    </row>
    <row r="171" s="258" customFormat="1" ht="24" spans="1:53">
      <c r="A171" s="283">
        <v>164</v>
      </c>
      <c r="B171" s="284" t="s">
        <v>195</v>
      </c>
      <c r="C171" s="284" t="s">
        <v>199</v>
      </c>
      <c r="D171" s="284" t="s">
        <v>412</v>
      </c>
      <c r="E171" s="284" t="s">
        <v>411</v>
      </c>
      <c r="F171" s="285">
        <f t="shared" si="73"/>
        <v>12.8</v>
      </c>
      <c r="G171" s="285">
        <v>1.8</v>
      </c>
      <c r="H171" s="285"/>
      <c r="I171" s="285"/>
      <c r="J171" s="285"/>
      <c r="K171" s="285">
        <v>11</v>
      </c>
      <c r="L171" s="285"/>
      <c r="M171" s="285"/>
      <c r="N171" s="285"/>
      <c r="O171" s="285"/>
      <c r="P171" s="285">
        <f t="shared" si="65"/>
        <v>12.8</v>
      </c>
      <c r="Q171" s="285">
        <v>12.8</v>
      </c>
      <c r="R171" s="285"/>
      <c r="S171" s="285"/>
      <c r="T171" s="285"/>
      <c r="U171" s="285"/>
      <c r="V171" s="298">
        <f t="shared" si="74"/>
        <v>0</v>
      </c>
      <c r="W171" s="298"/>
      <c r="X171" s="298"/>
      <c r="Y171" s="298"/>
      <c r="Z171" s="298"/>
      <c r="AA171" s="298"/>
      <c r="AB171" s="298"/>
      <c r="AC171" s="298"/>
      <c r="AD171" s="298"/>
      <c r="AE171" s="285"/>
      <c r="AF171" s="299">
        <f t="shared" si="66"/>
        <v>0</v>
      </c>
      <c r="AG171" s="299">
        <f t="shared" si="67"/>
        <v>0</v>
      </c>
      <c r="AH171" s="299">
        <f t="shared" si="68"/>
        <v>0</v>
      </c>
      <c r="AI171" s="299">
        <f t="shared" si="69"/>
        <v>0</v>
      </c>
      <c r="AJ171" s="299">
        <f t="shared" si="70"/>
        <v>0</v>
      </c>
      <c r="AK171" s="299">
        <f t="shared" si="71"/>
        <v>0</v>
      </c>
      <c r="AL171" s="298">
        <f t="shared" si="75"/>
        <v>12.8</v>
      </c>
      <c r="AM171" s="298">
        <f t="shared" si="76"/>
        <v>1.8</v>
      </c>
      <c r="AN171" s="298">
        <f t="shared" si="77"/>
        <v>0</v>
      </c>
      <c r="AO171" s="298">
        <f t="shared" si="78"/>
        <v>0</v>
      </c>
      <c r="AP171" s="298">
        <f t="shared" si="79"/>
        <v>0</v>
      </c>
      <c r="AQ171" s="298">
        <f t="shared" si="80"/>
        <v>11</v>
      </c>
      <c r="AR171" s="298">
        <f t="shared" si="81"/>
        <v>0</v>
      </c>
      <c r="AS171" s="298">
        <f t="shared" si="82"/>
        <v>0</v>
      </c>
      <c r="AT171" s="298">
        <f t="shared" si="83"/>
        <v>0</v>
      </c>
      <c r="AU171" s="285">
        <f t="shared" si="72"/>
        <v>12.8</v>
      </c>
      <c r="AV171" s="298">
        <v>12.8</v>
      </c>
      <c r="AW171" s="285"/>
      <c r="AX171" s="285"/>
      <c r="AY171" s="285"/>
      <c r="AZ171" s="285"/>
      <c r="BA171" s="285"/>
    </row>
    <row r="172" s="258" customFormat="1" ht="24" spans="1:53">
      <c r="A172" s="283">
        <v>165</v>
      </c>
      <c r="B172" s="284" t="s">
        <v>195</v>
      </c>
      <c r="C172" s="284" t="s">
        <v>199</v>
      </c>
      <c r="D172" s="284" t="s">
        <v>413</v>
      </c>
      <c r="E172" s="284" t="s">
        <v>411</v>
      </c>
      <c r="F172" s="285">
        <f t="shared" si="73"/>
        <v>1.8</v>
      </c>
      <c r="G172" s="285">
        <v>1.8</v>
      </c>
      <c r="H172" s="285"/>
      <c r="I172" s="285"/>
      <c r="J172" s="285"/>
      <c r="K172" s="285"/>
      <c r="L172" s="285"/>
      <c r="M172" s="285"/>
      <c r="N172" s="285"/>
      <c r="O172" s="285"/>
      <c r="P172" s="285">
        <f t="shared" si="65"/>
        <v>1.8</v>
      </c>
      <c r="Q172" s="285">
        <v>1.8</v>
      </c>
      <c r="R172" s="285"/>
      <c r="S172" s="285"/>
      <c r="T172" s="285"/>
      <c r="U172" s="285"/>
      <c r="V172" s="298">
        <f t="shared" si="74"/>
        <v>0</v>
      </c>
      <c r="W172" s="298"/>
      <c r="X172" s="298"/>
      <c r="Y172" s="298"/>
      <c r="Z172" s="298"/>
      <c r="AA172" s="298"/>
      <c r="AB172" s="298"/>
      <c r="AC172" s="298"/>
      <c r="AD172" s="298"/>
      <c r="AE172" s="285"/>
      <c r="AF172" s="299">
        <f t="shared" si="66"/>
        <v>0</v>
      </c>
      <c r="AG172" s="299">
        <f t="shared" si="67"/>
        <v>0</v>
      </c>
      <c r="AH172" s="299">
        <f t="shared" si="68"/>
        <v>0</v>
      </c>
      <c r="AI172" s="299">
        <f t="shared" si="69"/>
        <v>0</v>
      </c>
      <c r="AJ172" s="299">
        <f t="shared" si="70"/>
        <v>0</v>
      </c>
      <c r="AK172" s="299">
        <f t="shared" si="71"/>
        <v>0</v>
      </c>
      <c r="AL172" s="298">
        <f t="shared" si="75"/>
        <v>1.8</v>
      </c>
      <c r="AM172" s="298">
        <f t="shared" si="76"/>
        <v>1.8</v>
      </c>
      <c r="AN172" s="298">
        <f t="shared" si="77"/>
        <v>0</v>
      </c>
      <c r="AO172" s="298">
        <f t="shared" si="78"/>
        <v>0</v>
      </c>
      <c r="AP172" s="298">
        <f t="shared" si="79"/>
        <v>0</v>
      </c>
      <c r="AQ172" s="298">
        <f t="shared" si="80"/>
        <v>0</v>
      </c>
      <c r="AR172" s="298">
        <f t="shared" si="81"/>
        <v>0</v>
      </c>
      <c r="AS172" s="298">
        <f t="shared" si="82"/>
        <v>0</v>
      </c>
      <c r="AT172" s="298">
        <f t="shared" si="83"/>
        <v>0</v>
      </c>
      <c r="AU172" s="285">
        <f t="shared" si="72"/>
        <v>1.8</v>
      </c>
      <c r="AV172" s="298">
        <v>1.8</v>
      </c>
      <c r="AW172" s="285"/>
      <c r="AX172" s="285"/>
      <c r="AY172" s="285"/>
      <c r="AZ172" s="285"/>
      <c r="BA172" s="285"/>
    </row>
    <row r="173" s="258" customFormat="1" ht="24" spans="1:53">
      <c r="A173" s="283">
        <v>166</v>
      </c>
      <c r="B173" s="284" t="s">
        <v>195</v>
      </c>
      <c r="C173" s="284" t="s">
        <v>199</v>
      </c>
      <c r="D173" s="284" t="s">
        <v>414</v>
      </c>
      <c r="E173" s="284" t="s">
        <v>411</v>
      </c>
      <c r="F173" s="285">
        <f t="shared" si="73"/>
        <v>0.6</v>
      </c>
      <c r="G173" s="285">
        <v>0.6</v>
      </c>
      <c r="H173" s="285"/>
      <c r="I173" s="285"/>
      <c r="J173" s="285"/>
      <c r="K173" s="285"/>
      <c r="L173" s="285"/>
      <c r="M173" s="285"/>
      <c r="N173" s="285"/>
      <c r="O173" s="285"/>
      <c r="P173" s="285">
        <f t="shared" si="65"/>
        <v>0.6</v>
      </c>
      <c r="Q173" s="285">
        <v>0.6</v>
      </c>
      <c r="R173" s="285"/>
      <c r="S173" s="285"/>
      <c r="T173" s="285"/>
      <c r="U173" s="285"/>
      <c r="V173" s="298">
        <f t="shared" si="74"/>
        <v>0</v>
      </c>
      <c r="W173" s="298"/>
      <c r="X173" s="298"/>
      <c r="Y173" s="298"/>
      <c r="Z173" s="298"/>
      <c r="AA173" s="298"/>
      <c r="AB173" s="298"/>
      <c r="AC173" s="298"/>
      <c r="AD173" s="298"/>
      <c r="AE173" s="285"/>
      <c r="AF173" s="299">
        <f t="shared" si="66"/>
        <v>0</v>
      </c>
      <c r="AG173" s="299">
        <f t="shared" si="67"/>
        <v>0</v>
      </c>
      <c r="AH173" s="299">
        <f t="shared" si="68"/>
        <v>0</v>
      </c>
      <c r="AI173" s="299">
        <f t="shared" si="69"/>
        <v>0</v>
      </c>
      <c r="AJ173" s="299">
        <f t="shared" si="70"/>
        <v>0</v>
      </c>
      <c r="AK173" s="299">
        <f t="shared" si="71"/>
        <v>0</v>
      </c>
      <c r="AL173" s="298">
        <f t="shared" si="75"/>
        <v>0.6</v>
      </c>
      <c r="AM173" s="298">
        <f t="shared" si="76"/>
        <v>0.6</v>
      </c>
      <c r="AN173" s="298">
        <f t="shared" si="77"/>
        <v>0</v>
      </c>
      <c r="AO173" s="298">
        <f t="shared" si="78"/>
        <v>0</v>
      </c>
      <c r="AP173" s="298">
        <f t="shared" si="79"/>
        <v>0</v>
      </c>
      <c r="AQ173" s="298">
        <f t="shared" si="80"/>
        <v>0</v>
      </c>
      <c r="AR173" s="298">
        <f t="shared" si="81"/>
        <v>0</v>
      </c>
      <c r="AS173" s="298">
        <f t="shared" si="82"/>
        <v>0</v>
      </c>
      <c r="AT173" s="298">
        <f t="shared" si="83"/>
        <v>0</v>
      </c>
      <c r="AU173" s="285">
        <f t="shared" si="72"/>
        <v>0.6</v>
      </c>
      <c r="AV173" s="298">
        <v>0.6</v>
      </c>
      <c r="AW173" s="285"/>
      <c r="AX173" s="285"/>
      <c r="AY173" s="285"/>
      <c r="AZ173" s="285"/>
      <c r="BA173" s="285"/>
    </row>
    <row r="174" s="258" customFormat="1" ht="60" spans="1:53">
      <c r="A174" s="283">
        <v>167</v>
      </c>
      <c r="B174" s="284" t="s">
        <v>195</v>
      </c>
      <c r="C174" s="284" t="s">
        <v>196</v>
      </c>
      <c r="D174" s="284" t="s">
        <v>415</v>
      </c>
      <c r="E174" s="284" t="s">
        <v>416</v>
      </c>
      <c r="F174" s="285">
        <f t="shared" si="73"/>
        <v>462.25</v>
      </c>
      <c r="G174" s="285">
        <v>43.8</v>
      </c>
      <c r="H174" s="285">
        <v>34</v>
      </c>
      <c r="I174" s="285">
        <v>50.45</v>
      </c>
      <c r="J174" s="285"/>
      <c r="K174" s="285"/>
      <c r="L174" s="285"/>
      <c r="M174" s="285">
        <v>214</v>
      </c>
      <c r="N174" s="285">
        <v>120</v>
      </c>
      <c r="O174" s="285" t="s">
        <v>1056</v>
      </c>
      <c r="P174" s="285">
        <f t="shared" si="65"/>
        <v>462.25</v>
      </c>
      <c r="Q174" s="285">
        <v>248.25</v>
      </c>
      <c r="R174" s="285">
        <v>214</v>
      </c>
      <c r="S174" s="285"/>
      <c r="T174" s="285"/>
      <c r="U174" s="285"/>
      <c r="V174" s="298">
        <f t="shared" si="74"/>
        <v>-155.58</v>
      </c>
      <c r="W174" s="298"/>
      <c r="X174" s="298"/>
      <c r="Y174" s="298">
        <v>-2.69</v>
      </c>
      <c r="Z174" s="298"/>
      <c r="AA174" s="298"/>
      <c r="AB174" s="298">
        <f>-214+0.11+51</f>
        <v>-162.89</v>
      </c>
      <c r="AC174" s="298"/>
      <c r="AD174" s="298">
        <v>10</v>
      </c>
      <c r="AE174" s="285" t="s">
        <v>1057</v>
      </c>
      <c r="AF174" s="299">
        <f t="shared" si="66"/>
        <v>-165.58</v>
      </c>
      <c r="AG174" s="299">
        <f t="shared" si="67"/>
        <v>-2.69</v>
      </c>
      <c r="AH174" s="299">
        <f t="shared" si="68"/>
        <v>-163</v>
      </c>
      <c r="AI174" s="299">
        <f t="shared" si="69"/>
        <v>0.11</v>
      </c>
      <c r="AJ174" s="299">
        <f t="shared" si="70"/>
        <v>10</v>
      </c>
      <c r="AK174" s="299">
        <f t="shared" si="71"/>
        <v>0</v>
      </c>
      <c r="AL174" s="298">
        <f t="shared" si="75"/>
        <v>306.67</v>
      </c>
      <c r="AM174" s="298">
        <f t="shared" si="76"/>
        <v>43.8</v>
      </c>
      <c r="AN174" s="298">
        <f t="shared" si="77"/>
        <v>34</v>
      </c>
      <c r="AO174" s="298">
        <f t="shared" si="78"/>
        <v>47.76</v>
      </c>
      <c r="AP174" s="298">
        <f t="shared" si="79"/>
        <v>0</v>
      </c>
      <c r="AQ174" s="298">
        <f t="shared" si="80"/>
        <v>0</v>
      </c>
      <c r="AR174" s="298">
        <f t="shared" si="81"/>
        <v>51.11</v>
      </c>
      <c r="AS174" s="298">
        <f t="shared" si="82"/>
        <v>0</v>
      </c>
      <c r="AT174" s="298">
        <f t="shared" si="83"/>
        <v>130</v>
      </c>
      <c r="AU174" s="285">
        <f t="shared" si="72"/>
        <v>296.67</v>
      </c>
      <c r="AV174" s="298">
        <v>245.56</v>
      </c>
      <c r="AW174" s="285">
        <v>51</v>
      </c>
      <c r="AX174" s="285">
        <v>0.11</v>
      </c>
      <c r="AY174" s="285">
        <v>10</v>
      </c>
      <c r="AZ174" s="285"/>
      <c r="BA174" s="285">
        <v>540.57</v>
      </c>
    </row>
    <row r="175" s="258" customFormat="1" ht="24" spans="1:53">
      <c r="A175" s="283">
        <v>168</v>
      </c>
      <c r="B175" s="284" t="s">
        <v>195</v>
      </c>
      <c r="C175" s="284" t="s">
        <v>199</v>
      </c>
      <c r="D175" s="284" t="s">
        <v>417</v>
      </c>
      <c r="E175" s="284" t="s">
        <v>418</v>
      </c>
      <c r="F175" s="285">
        <f t="shared" si="73"/>
        <v>5.4</v>
      </c>
      <c r="G175" s="285">
        <v>5.4</v>
      </c>
      <c r="H175" s="285"/>
      <c r="I175" s="285"/>
      <c r="J175" s="285"/>
      <c r="K175" s="285"/>
      <c r="L175" s="285"/>
      <c r="M175" s="285"/>
      <c r="N175" s="285"/>
      <c r="O175" s="285"/>
      <c r="P175" s="285">
        <f t="shared" si="65"/>
        <v>5.4</v>
      </c>
      <c r="Q175" s="285">
        <v>5.4</v>
      </c>
      <c r="R175" s="285"/>
      <c r="S175" s="285"/>
      <c r="T175" s="285"/>
      <c r="U175" s="285"/>
      <c r="V175" s="298">
        <f t="shared" si="74"/>
        <v>0</v>
      </c>
      <c r="W175" s="298"/>
      <c r="X175" s="298"/>
      <c r="Y175" s="298"/>
      <c r="Z175" s="298"/>
      <c r="AA175" s="298"/>
      <c r="AB175" s="298"/>
      <c r="AC175" s="298"/>
      <c r="AD175" s="298"/>
      <c r="AE175" s="285"/>
      <c r="AF175" s="299">
        <f t="shared" si="66"/>
        <v>0</v>
      </c>
      <c r="AG175" s="299">
        <f t="shared" si="67"/>
        <v>0</v>
      </c>
      <c r="AH175" s="299">
        <f t="shared" si="68"/>
        <v>0</v>
      </c>
      <c r="AI175" s="299">
        <f t="shared" si="69"/>
        <v>0</v>
      </c>
      <c r="AJ175" s="299">
        <f t="shared" si="70"/>
        <v>0</v>
      </c>
      <c r="AK175" s="299">
        <f t="shared" si="71"/>
        <v>0</v>
      </c>
      <c r="AL175" s="298">
        <f t="shared" si="75"/>
        <v>5.4</v>
      </c>
      <c r="AM175" s="298">
        <f t="shared" si="76"/>
        <v>5.4</v>
      </c>
      <c r="AN175" s="298">
        <f t="shared" si="77"/>
        <v>0</v>
      </c>
      <c r="AO175" s="298">
        <f t="shared" si="78"/>
        <v>0</v>
      </c>
      <c r="AP175" s="298">
        <f t="shared" si="79"/>
        <v>0</v>
      </c>
      <c r="AQ175" s="298">
        <f t="shared" si="80"/>
        <v>0</v>
      </c>
      <c r="AR175" s="298">
        <f t="shared" si="81"/>
        <v>0</v>
      </c>
      <c r="AS175" s="298">
        <f t="shared" si="82"/>
        <v>0</v>
      </c>
      <c r="AT175" s="298">
        <f t="shared" si="83"/>
        <v>0</v>
      </c>
      <c r="AU175" s="285">
        <f t="shared" si="72"/>
        <v>5.4</v>
      </c>
      <c r="AV175" s="298">
        <v>5.4</v>
      </c>
      <c r="AW175" s="285"/>
      <c r="AX175" s="285"/>
      <c r="AY175" s="285"/>
      <c r="AZ175" s="285"/>
      <c r="BA175" s="285"/>
    </row>
    <row r="176" s="258" customFormat="1" ht="24" spans="1:53">
      <c r="A176" s="283">
        <v>169</v>
      </c>
      <c r="B176" s="284" t="s">
        <v>195</v>
      </c>
      <c r="C176" s="284" t="s">
        <v>199</v>
      </c>
      <c r="D176" s="284" t="s">
        <v>419</v>
      </c>
      <c r="E176" s="284" t="s">
        <v>418</v>
      </c>
      <c r="F176" s="285">
        <f t="shared" si="73"/>
        <v>1.8</v>
      </c>
      <c r="G176" s="285">
        <v>1.8</v>
      </c>
      <c r="H176" s="285"/>
      <c r="I176" s="285"/>
      <c r="J176" s="285"/>
      <c r="K176" s="285"/>
      <c r="L176" s="285"/>
      <c r="M176" s="285"/>
      <c r="N176" s="285"/>
      <c r="O176" s="285"/>
      <c r="P176" s="285">
        <f t="shared" si="65"/>
        <v>1.8</v>
      </c>
      <c r="Q176" s="285">
        <v>1.8</v>
      </c>
      <c r="R176" s="285"/>
      <c r="S176" s="285"/>
      <c r="T176" s="285"/>
      <c r="U176" s="285"/>
      <c r="V176" s="298">
        <f t="shared" si="74"/>
        <v>0</v>
      </c>
      <c r="W176" s="298"/>
      <c r="X176" s="298"/>
      <c r="Y176" s="298"/>
      <c r="Z176" s="298"/>
      <c r="AA176" s="298"/>
      <c r="AB176" s="298"/>
      <c r="AC176" s="298"/>
      <c r="AD176" s="298"/>
      <c r="AE176" s="285"/>
      <c r="AF176" s="299">
        <f t="shared" si="66"/>
        <v>0</v>
      </c>
      <c r="AG176" s="299">
        <f t="shared" si="67"/>
        <v>0</v>
      </c>
      <c r="AH176" s="299">
        <f t="shared" si="68"/>
        <v>0</v>
      </c>
      <c r="AI176" s="299">
        <f t="shared" si="69"/>
        <v>0</v>
      </c>
      <c r="AJ176" s="299">
        <f t="shared" si="70"/>
        <v>0</v>
      </c>
      <c r="AK176" s="299">
        <f t="shared" si="71"/>
        <v>0</v>
      </c>
      <c r="AL176" s="298">
        <f t="shared" si="75"/>
        <v>1.8</v>
      </c>
      <c r="AM176" s="298">
        <f t="shared" si="76"/>
        <v>1.8</v>
      </c>
      <c r="AN176" s="298">
        <f t="shared" si="77"/>
        <v>0</v>
      </c>
      <c r="AO176" s="298">
        <f t="shared" si="78"/>
        <v>0</v>
      </c>
      <c r="AP176" s="298">
        <f t="shared" si="79"/>
        <v>0</v>
      </c>
      <c r="AQ176" s="298">
        <f t="shared" si="80"/>
        <v>0</v>
      </c>
      <c r="AR176" s="298">
        <f t="shared" si="81"/>
        <v>0</v>
      </c>
      <c r="AS176" s="298">
        <f t="shared" si="82"/>
        <v>0</v>
      </c>
      <c r="AT176" s="298">
        <f t="shared" si="83"/>
        <v>0</v>
      </c>
      <c r="AU176" s="285">
        <f t="shared" si="72"/>
        <v>1.8</v>
      </c>
      <c r="AV176" s="298">
        <v>1.8</v>
      </c>
      <c r="AW176" s="285"/>
      <c r="AX176" s="285"/>
      <c r="AY176" s="285"/>
      <c r="AZ176" s="285"/>
      <c r="BA176" s="285"/>
    </row>
    <row r="177" s="258" customFormat="1" ht="24" spans="1:53">
      <c r="A177" s="283">
        <v>170</v>
      </c>
      <c r="B177" s="284" t="s">
        <v>195</v>
      </c>
      <c r="C177" s="284" t="s">
        <v>199</v>
      </c>
      <c r="D177" s="284" t="s">
        <v>420</v>
      </c>
      <c r="E177" s="284" t="s">
        <v>418</v>
      </c>
      <c r="F177" s="285">
        <f t="shared" si="73"/>
        <v>16.4</v>
      </c>
      <c r="G177" s="285">
        <v>14.4</v>
      </c>
      <c r="H177" s="285">
        <v>2</v>
      </c>
      <c r="I177" s="285"/>
      <c r="J177" s="285"/>
      <c r="K177" s="285"/>
      <c r="L177" s="285"/>
      <c r="M177" s="285"/>
      <c r="N177" s="285"/>
      <c r="O177" s="285"/>
      <c r="P177" s="285">
        <f t="shared" si="65"/>
        <v>16.4</v>
      </c>
      <c r="Q177" s="285">
        <v>16.4</v>
      </c>
      <c r="R177" s="285"/>
      <c r="S177" s="285"/>
      <c r="T177" s="285"/>
      <c r="U177" s="285"/>
      <c r="V177" s="298">
        <f t="shared" si="74"/>
        <v>0</v>
      </c>
      <c r="W177" s="298"/>
      <c r="X177" s="298"/>
      <c r="Y177" s="298"/>
      <c r="Z177" s="298"/>
      <c r="AA177" s="298"/>
      <c r="AB177" s="298"/>
      <c r="AC177" s="298"/>
      <c r="AD177" s="298"/>
      <c r="AE177" s="285"/>
      <c r="AF177" s="299">
        <f t="shared" si="66"/>
        <v>0</v>
      </c>
      <c r="AG177" s="299">
        <f t="shared" si="67"/>
        <v>0</v>
      </c>
      <c r="AH177" s="299">
        <f t="shared" si="68"/>
        <v>0</v>
      </c>
      <c r="AI177" s="299">
        <f t="shared" si="69"/>
        <v>0</v>
      </c>
      <c r="AJ177" s="299">
        <f t="shared" si="70"/>
        <v>0</v>
      </c>
      <c r="AK177" s="299">
        <f t="shared" si="71"/>
        <v>0</v>
      </c>
      <c r="AL177" s="298">
        <f t="shared" si="75"/>
        <v>16.4</v>
      </c>
      <c r="AM177" s="298">
        <f t="shared" si="76"/>
        <v>14.4</v>
      </c>
      <c r="AN177" s="298">
        <f t="shared" si="77"/>
        <v>2</v>
      </c>
      <c r="AO177" s="298">
        <f t="shared" si="78"/>
        <v>0</v>
      </c>
      <c r="AP177" s="298">
        <f t="shared" si="79"/>
        <v>0</v>
      </c>
      <c r="AQ177" s="298">
        <f t="shared" si="80"/>
        <v>0</v>
      </c>
      <c r="AR177" s="298">
        <f t="shared" si="81"/>
        <v>0</v>
      </c>
      <c r="AS177" s="298">
        <f t="shared" si="82"/>
        <v>0</v>
      </c>
      <c r="AT177" s="298">
        <f t="shared" si="83"/>
        <v>0</v>
      </c>
      <c r="AU177" s="285">
        <f t="shared" si="72"/>
        <v>16.4</v>
      </c>
      <c r="AV177" s="298">
        <v>16.4</v>
      </c>
      <c r="AW177" s="285"/>
      <c r="AX177" s="285"/>
      <c r="AY177" s="285"/>
      <c r="AZ177" s="285"/>
      <c r="BA177" s="285"/>
    </row>
    <row r="178" s="260" customFormat="1" ht="23" customHeight="1" spans="1:53">
      <c r="A178" s="283">
        <v>171</v>
      </c>
      <c r="B178" s="305"/>
      <c r="C178" s="306" t="s">
        <v>745</v>
      </c>
      <c r="D178" s="305" t="s">
        <v>133</v>
      </c>
      <c r="E178" s="306">
        <v>204</v>
      </c>
      <c r="F178" s="281">
        <f t="shared" ref="F178:K178" si="84">SUM(F179:F190)</f>
        <v>4021.3</v>
      </c>
      <c r="G178" s="281">
        <f t="shared" si="84"/>
        <v>890.2</v>
      </c>
      <c r="H178" s="281">
        <f t="shared" si="84"/>
        <v>12</v>
      </c>
      <c r="I178" s="281">
        <f t="shared" si="84"/>
        <v>280.6</v>
      </c>
      <c r="J178" s="281">
        <f t="shared" si="84"/>
        <v>0</v>
      </c>
      <c r="K178" s="281">
        <f t="shared" si="84"/>
        <v>128</v>
      </c>
      <c r="L178" s="281"/>
      <c r="M178" s="281">
        <f>SUM(M179:M190)</f>
        <v>1005</v>
      </c>
      <c r="N178" s="281">
        <f>SUM(N179:N190)</f>
        <v>1705.5</v>
      </c>
      <c r="O178" s="281"/>
      <c r="P178" s="307">
        <f t="shared" ref="P178:U178" si="85">SUM(P179:P190)</f>
        <v>4021.3</v>
      </c>
      <c r="Q178" s="307">
        <f t="shared" si="85"/>
        <v>3016.3</v>
      </c>
      <c r="R178" s="307">
        <f t="shared" si="85"/>
        <v>1005</v>
      </c>
      <c r="S178" s="307">
        <f t="shared" si="85"/>
        <v>0</v>
      </c>
      <c r="T178" s="307">
        <f t="shared" si="85"/>
        <v>0</v>
      </c>
      <c r="U178" s="307">
        <f t="shared" si="85"/>
        <v>0</v>
      </c>
      <c r="V178" s="281">
        <f t="shared" ref="R178:AD178" si="86">SUM(V179:V190)</f>
        <v>-269.9</v>
      </c>
      <c r="W178" s="281">
        <f t="shared" si="86"/>
        <v>0</v>
      </c>
      <c r="X178" s="281">
        <f t="shared" si="86"/>
        <v>0</v>
      </c>
      <c r="Y178" s="281">
        <f t="shared" si="86"/>
        <v>-2.21</v>
      </c>
      <c r="Z178" s="281">
        <f t="shared" si="86"/>
        <v>0</v>
      </c>
      <c r="AA178" s="281">
        <f t="shared" si="86"/>
        <v>0</v>
      </c>
      <c r="AB178" s="281">
        <f t="shared" si="86"/>
        <v>-351.38</v>
      </c>
      <c r="AC178" s="281">
        <f t="shared" si="86"/>
        <v>0</v>
      </c>
      <c r="AD178" s="281">
        <f t="shared" si="86"/>
        <v>83.69</v>
      </c>
      <c r="AE178" s="281"/>
      <c r="AF178" s="281">
        <f t="shared" ref="AF178:AL178" si="87">SUM(AF179:AF190)</f>
        <v>-359.24</v>
      </c>
      <c r="AG178" s="281">
        <f t="shared" si="87"/>
        <v>-3.26000000000002</v>
      </c>
      <c r="AH178" s="281">
        <f t="shared" si="87"/>
        <v>-404.07</v>
      </c>
      <c r="AI178" s="281">
        <f t="shared" si="87"/>
        <v>48.09</v>
      </c>
      <c r="AJ178" s="281">
        <f t="shared" si="87"/>
        <v>89.34</v>
      </c>
      <c r="AK178" s="281">
        <f t="shared" si="87"/>
        <v>0</v>
      </c>
      <c r="AL178" s="308">
        <f t="shared" si="87"/>
        <v>3751.4</v>
      </c>
      <c r="AM178" s="308">
        <f t="shared" ref="AM178:AZ178" si="88">SUM(AM179:AM190)</f>
        <v>890.2</v>
      </c>
      <c r="AN178" s="308">
        <f t="shared" si="88"/>
        <v>12</v>
      </c>
      <c r="AO178" s="308">
        <f t="shared" si="88"/>
        <v>278.39</v>
      </c>
      <c r="AP178" s="308">
        <f t="shared" si="88"/>
        <v>0</v>
      </c>
      <c r="AQ178" s="308">
        <f t="shared" si="88"/>
        <v>128</v>
      </c>
      <c r="AR178" s="308">
        <f t="shared" si="88"/>
        <v>653.62</v>
      </c>
      <c r="AS178" s="308">
        <f t="shared" si="88"/>
        <v>0</v>
      </c>
      <c r="AT178" s="308">
        <f t="shared" si="88"/>
        <v>1789.19</v>
      </c>
      <c r="AU178" s="308">
        <f t="shared" si="88"/>
        <v>3662.06</v>
      </c>
      <c r="AV178" s="308">
        <f t="shared" si="88"/>
        <v>3013.04</v>
      </c>
      <c r="AW178" s="308">
        <f t="shared" si="88"/>
        <v>600.93</v>
      </c>
      <c r="AX178" s="308">
        <f t="shared" si="88"/>
        <v>48.09</v>
      </c>
      <c r="AY178" s="308">
        <f t="shared" si="88"/>
        <v>89.34</v>
      </c>
      <c r="AZ178" s="308">
        <f t="shared" si="88"/>
        <v>0</v>
      </c>
      <c r="BA178" s="309"/>
    </row>
    <row r="179" s="258" customFormat="1" ht="72" spans="1:53">
      <c r="A179" s="283">
        <v>172</v>
      </c>
      <c r="B179" s="284" t="s">
        <v>195</v>
      </c>
      <c r="C179" s="284" t="s">
        <v>196</v>
      </c>
      <c r="D179" s="284" t="s">
        <v>424</v>
      </c>
      <c r="E179" s="284" t="s">
        <v>1058</v>
      </c>
      <c r="F179" s="285">
        <f>SUM(G179:N179)</f>
        <v>197.5</v>
      </c>
      <c r="G179" s="285"/>
      <c r="H179" s="285"/>
      <c r="I179" s="285"/>
      <c r="J179" s="285"/>
      <c r="K179" s="285">
        <v>128</v>
      </c>
      <c r="L179" s="285" t="s">
        <v>1059</v>
      </c>
      <c r="M179" s="285"/>
      <c r="N179" s="285">
        <v>69.5</v>
      </c>
      <c r="O179" s="285" t="s">
        <v>1060</v>
      </c>
      <c r="P179" s="285">
        <f t="shared" ref="P179:P190" si="89">SUM(Q179:S179)</f>
        <v>197.5</v>
      </c>
      <c r="Q179" s="285">
        <v>197.5</v>
      </c>
      <c r="R179" s="285"/>
      <c r="S179" s="285"/>
      <c r="T179" s="285"/>
      <c r="U179" s="285"/>
      <c r="V179" s="298">
        <f>SUM(W179:AD179)</f>
        <v>0.92</v>
      </c>
      <c r="W179" s="298"/>
      <c r="X179" s="298"/>
      <c r="Y179" s="298"/>
      <c r="Z179" s="298"/>
      <c r="AA179" s="298"/>
      <c r="AB179" s="298">
        <v>0.92</v>
      </c>
      <c r="AC179" s="298"/>
      <c r="AD179" s="298"/>
      <c r="AE179" s="285" t="s">
        <v>1061</v>
      </c>
      <c r="AF179" s="299">
        <f t="shared" ref="AF179:AF190" si="90">SUM(AG179:AI179)</f>
        <v>0.92</v>
      </c>
      <c r="AG179" s="299">
        <f t="shared" ref="AG179:AG190" si="91">AV179-Q179</f>
        <v>0</v>
      </c>
      <c r="AH179" s="299">
        <f t="shared" ref="AH179:AH190" si="92">AW179-R179</f>
        <v>0</v>
      </c>
      <c r="AI179" s="299">
        <f t="shared" ref="AI179:AI190" si="93">AX179-S179</f>
        <v>0.92</v>
      </c>
      <c r="AJ179" s="299">
        <f t="shared" ref="AJ179:AJ190" si="94">AY179-T179</f>
        <v>0</v>
      </c>
      <c r="AK179" s="299">
        <f t="shared" ref="AK179:AK190" si="95">AZ179-U179</f>
        <v>0</v>
      </c>
      <c r="AL179" s="298">
        <f t="shared" ref="AL179:AL190" si="96">SUM(AM179:AT179)</f>
        <v>198.42</v>
      </c>
      <c r="AM179" s="298">
        <f t="shared" ref="AM179:AM190" si="97">G179+W179</f>
        <v>0</v>
      </c>
      <c r="AN179" s="298">
        <f t="shared" ref="AN179:AN190" si="98">H179+X179</f>
        <v>0</v>
      </c>
      <c r="AO179" s="298">
        <f t="shared" ref="AO179:AO190" si="99">I179+Y179</f>
        <v>0</v>
      </c>
      <c r="AP179" s="298">
        <f t="shared" ref="AP179:AP190" si="100">J179+Z179</f>
        <v>0</v>
      </c>
      <c r="AQ179" s="298">
        <f t="shared" ref="AQ179:AQ190" si="101">K179+AA179</f>
        <v>128</v>
      </c>
      <c r="AR179" s="298">
        <f t="shared" ref="AR179:AR190" si="102">M179+AB179</f>
        <v>0.92</v>
      </c>
      <c r="AS179" s="298">
        <f t="shared" si="82"/>
        <v>0</v>
      </c>
      <c r="AT179" s="298">
        <f t="shared" ref="AT179:AT190" si="103">N179+AD179</f>
        <v>69.5</v>
      </c>
      <c r="AU179" s="285">
        <f t="shared" ref="AU179:AU190" si="104">SUM(AV179:AX179)</f>
        <v>198.42</v>
      </c>
      <c r="AV179" s="285">
        <v>197.5</v>
      </c>
      <c r="AW179" s="285"/>
      <c r="AX179" s="285">
        <v>0.92</v>
      </c>
      <c r="AY179" s="285"/>
      <c r="AZ179" s="285"/>
      <c r="BA179" s="285"/>
    </row>
    <row r="180" s="258" customFormat="1" ht="60" spans="1:53">
      <c r="A180" s="283">
        <v>173</v>
      </c>
      <c r="B180" s="284" t="s">
        <v>195</v>
      </c>
      <c r="C180" s="284" t="s">
        <v>196</v>
      </c>
      <c r="D180" s="284" t="s">
        <v>421</v>
      </c>
      <c r="E180" s="284" t="s">
        <v>422</v>
      </c>
      <c r="F180" s="285">
        <f>SUM(G180:N180)</f>
        <v>2675.18</v>
      </c>
      <c r="G180" s="285">
        <v>746.2</v>
      </c>
      <c r="H180" s="285"/>
      <c r="I180" s="285">
        <v>223.98</v>
      </c>
      <c r="J180" s="285"/>
      <c r="K180" s="285"/>
      <c r="L180" s="285"/>
      <c r="M180" s="285">
        <f>900-495</f>
        <v>405</v>
      </c>
      <c r="N180" s="285">
        <v>1300</v>
      </c>
      <c r="O180" s="285" t="s">
        <v>1062</v>
      </c>
      <c r="P180" s="285">
        <f t="shared" si="89"/>
        <v>2675.18</v>
      </c>
      <c r="Q180" s="285">
        <v>2270.18</v>
      </c>
      <c r="R180" s="285">
        <v>405</v>
      </c>
      <c r="S180" s="285"/>
      <c r="T180" s="285"/>
      <c r="U180" s="285"/>
      <c r="V180" s="298">
        <f>SUM(W180:AD180)</f>
        <v>-129.97</v>
      </c>
      <c r="W180" s="298"/>
      <c r="X180" s="298"/>
      <c r="Y180" s="298"/>
      <c r="Z180" s="298"/>
      <c r="AA180" s="298"/>
      <c r="AB180" s="298">
        <f>-405+5.92+259.11</f>
        <v>-139.97</v>
      </c>
      <c r="AC180" s="298"/>
      <c r="AD180" s="298">
        <v>10</v>
      </c>
      <c r="AE180" s="285" t="s">
        <v>1063</v>
      </c>
      <c r="AF180" s="299">
        <f t="shared" si="90"/>
        <v>-139.97</v>
      </c>
      <c r="AG180" s="299">
        <f t="shared" si="91"/>
        <v>0</v>
      </c>
      <c r="AH180" s="299">
        <f t="shared" si="92"/>
        <v>-145.89</v>
      </c>
      <c r="AI180" s="299">
        <f t="shared" si="93"/>
        <v>5.92</v>
      </c>
      <c r="AJ180" s="299">
        <f t="shared" si="94"/>
        <v>10</v>
      </c>
      <c r="AK180" s="299">
        <f t="shared" si="95"/>
        <v>0</v>
      </c>
      <c r="AL180" s="298">
        <f t="shared" si="96"/>
        <v>2545.21</v>
      </c>
      <c r="AM180" s="298">
        <f t="shared" si="97"/>
        <v>746.2</v>
      </c>
      <c r="AN180" s="298">
        <f t="shared" si="98"/>
        <v>0</v>
      </c>
      <c r="AO180" s="298">
        <f t="shared" si="99"/>
        <v>223.98</v>
      </c>
      <c r="AP180" s="298">
        <f t="shared" si="100"/>
        <v>0</v>
      </c>
      <c r="AQ180" s="298">
        <f t="shared" si="101"/>
        <v>0</v>
      </c>
      <c r="AR180" s="298">
        <f t="shared" si="102"/>
        <v>265.03</v>
      </c>
      <c r="AS180" s="298">
        <f t="shared" si="82"/>
        <v>0</v>
      </c>
      <c r="AT180" s="298">
        <f t="shared" si="103"/>
        <v>1310</v>
      </c>
      <c r="AU180" s="285">
        <f t="shared" si="104"/>
        <v>2535.21</v>
      </c>
      <c r="AV180" s="285">
        <v>2270.18</v>
      </c>
      <c r="AW180" s="285">
        <v>259.11</v>
      </c>
      <c r="AX180" s="285">
        <v>5.92</v>
      </c>
      <c r="AY180" s="285">
        <v>10</v>
      </c>
      <c r="AZ180" s="285"/>
      <c r="BA180" s="285">
        <v>2165.09</v>
      </c>
    </row>
    <row r="181" s="258" customFormat="1" ht="84" spans="1:53">
      <c r="A181" s="283">
        <v>174</v>
      </c>
      <c r="B181" s="284" t="s">
        <v>195</v>
      </c>
      <c r="C181" s="284" t="s">
        <v>196</v>
      </c>
      <c r="D181" s="284" t="s">
        <v>423</v>
      </c>
      <c r="E181" s="284" t="s">
        <v>422</v>
      </c>
      <c r="F181" s="285">
        <f t="shared" ref="F181:F190" si="105">SUM(G181:N181)</f>
        <v>697.97</v>
      </c>
      <c r="G181" s="285">
        <v>59.8</v>
      </c>
      <c r="H181" s="285"/>
      <c r="I181" s="285">
        <v>18.17</v>
      </c>
      <c r="J181" s="285"/>
      <c r="K181" s="285"/>
      <c r="L181" s="285"/>
      <c r="M181" s="285">
        <v>600</v>
      </c>
      <c r="N181" s="285">
        <v>20</v>
      </c>
      <c r="O181" s="285" t="s">
        <v>1064</v>
      </c>
      <c r="P181" s="285">
        <f t="shared" si="89"/>
        <v>697.97</v>
      </c>
      <c r="Q181" s="285">
        <v>97.97</v>
      </c>
      <c r="R181" s="285">
        <v>600</v>
      </c>
      <c r="S181" s="285"/>
      <c r="T181" s="285"/>
      <c r="U181" s="285"/>
      <c r="V181" s="298">
        <f t="shared" ref="V181:V190" si="106">SUM(W181:AD181)</f>
        <v>-143.08</v>
      </c>
      <c r="W181" s="298"/>
      <c r="X181" s="298"/>
      <c r="Y181" s="298">
        <v>0.16</v>
      </c>
      <c r="Z181" s="298"/>
      <c r="AA181" s="298"/>
      <c r="AB181" s="298">
        <f>-600+31+3.6+1+341.82</f>
        <v>-222.58</v>
      </c>
      <c r="AC181" s="298"/>
      <c r="AD181" s="298">
        <v>79.34</v>
      </c>
      <c r="AE181" s="285" t="s">
        <v>1065</v>
      </c>
      <c r="AF181" s="299">
        <f t="shared" si="90"/>
        <v>-222.42</v>
      </c>
      <c r="AG181" s="299">
        <f t="shared" si="91"/>
        <v>4.75999999999999</v>
      </c>
      <c r="AH181" s="299">
        <f t="shared" si="92"/>
        <v>-258.18</v>
      </c>
      <c r="AI181" s="299">
        <f t="shared" si="93"/>
        <v>31</v>
      </c>
      <c r="AJ181" s="299">
        <f t="shared" si="94"/>
        <v>79.34</v>
      </c>
      <c r="AK181" s="299">
        <f t="shared" si="95"/>
        <v>0</v>
      </c>
      <c r="AL181" s="298">
        <f t="shared" si="96"/>
        <v>554.89</v>
      </c>
      <c r="AM181" s="298">
        <f t="shared" si="97"/>
        <v>59.8</v>
      </c>
      <c r="AN181" s="298">
        <f t="shared" si="98"/>
        <v>0</v>
      </c>
      <c r="AO181" s="298">
        <f t="shared" si="99"/>
        <v>18.33</v>
      </c>
      <c r="AP181" s="298">
        <f t="shared" si="100"/>
        <v>0</v>
      </c>
      <c r="AQ181" s="298">
        <f t="shared" si="101"/>
        <v>0</v>
      </c>
      <c r="AR181" s="298">
        <f t="shared" si="102"/>
        <v>377.42</v>
      </c>
      <c r="AS181" s="298">
        <f t="shared" si="82"/>
        <v>0</v>
      </c>
      <c r="AT181" s="298">
        <f t="shared" si="103"/>
        <v>99.34</v>
      </c>
      <c r="AU181" s="285">
        <f t="shared" si="104"/>
        <v>475.55</v>
      </c>
      <c r="AV181" s="285">
        <f>182.07-79.34</f>
        <v>102.73</v>
      </c>
      <c r="AW181" s="285">
        <v>341.82</v>
      </c>
      <c r="AX181" s="285">
        <v>31</v>
      </c>
      <c r="AY181" s="285">
        <v>79.34</v>
      </c>
      <c r="AZ181" s="285"/>
      <c r="BA181" s="285">
        <v>342.15</v>
      </c>
    </row>
    <row r="182" s="258" customFormat="1" ht="36" spans="1:53">
      <c r="A182" s="283">
        <v>175</v>
      </c>
      <c r="B182" s="284" t="s">
        <v>195</v>
      </c>
      <c r="C182" s="284" t="s">
        <v>199</v>
      </c>
      <c r="D182" s="284" t="s">
        <v>702</v>
      </c>
      <c r="E182" s="284" t="s">
        <v>1066</v>
      </c>
      <c r="F182" s="285">
        <f t="shared" si="105"/>
        <v>1.2</v>
      </c>
      <c r="G182" s="285">
        <v>1.2</v>
      </c>
      <c r="H182" s="285"/>
      <c r="I182" s="285"/>
      <c r="J182" s="285"/>
      <c r="K182" s="285"/>
      <c r="L182" s="285"/>
      <c r="M182" s="285"/>
      <c r="N182" s="285"/>
      <c r="O182" s="285"/>
      <c r="P182" s="285">
        <f t="shared" si="89"/>
        <v>1.2</v>
      </c>
      <c r="Q182" s="285">
        <v>1.2</v>
      </c>
      <c r="R182" s="285"/>
      <c r="S182" s="285"/>
      <c r="T182" s="285"/>
      <c r="U182" s="285"/>
      <c r="V182" s="298">
        <f t="shared" si="106"/>
        <v>0</v>
      </c>
      <c r="W182" s="298"/>
      <c r="X182" s="298"/>
      <c r="Y182" s="298"/>
      <c r="Z182" s="298"/>
      <c r="AA182" s="298"/>
      <c r="AB182" s="298"/>
      <c r="AC182" s="298"/>
      <c r="AD182" s="298"/>
      <c r="AE182" s="285"/>
      <c r="AF182" s="299">
        <f t="shared" si="90"/>
        <v>0</v>
      </c>
      <c r="AG182" s="299">
        <f t="shared" si="91"/>
        <v>0</v>
      </c>
      <c r="AH182" s="299">
        <f t="shared" si="92"/>
        <v>0</v>
      </c>
      <c r="AI182" s="299">
        <f t="shared" si="93"/>
        <v>0</v>
      </c>
      <c r="AJ182" s="299">
        <f t="shared" si="94"/>
        <v>0</v>
      </c>
      <c r="AK182" s="299">
        <f t="shared" si="95"/>
        <v>0</v>
      </c>
      <c r="AL182" s="298">
        <f t="shared" si="96"/>
        <v>1.2</v>
      </c>
      <c r="AM182" s="298">
        <f t="shared" si="97"/>
        <v>1.2</v>
      </c>
      <c r="AN182" s="298">
        <f t="shared" si="98"/>
        <v>0</v>
      </c>
      <c r="AO182" s="298">
        <f t="shared" si="99"/>
        <v>0</v>
      </c>
      <c r="AP182" s="298">
        <f t="shared" si="100"/>
        <v>0</v>
      </c>
      <c r="AQ182" s="298">
        <f t="shared" si="101"/>
        <v>0</v>
      </c>
      <c r="AR182" s="298">
        <f t="shared" si="102"/>
        <v>0</v>
      </c>
      <c r="AS182" s="298">
        <f t="shared" si="82"/>
        <v>0</v>
      </c>
      <c r="AT182" s="298">
        <f t="shared" si="103"/>
        <v>0</v>
      </c>
      <c r="AU182" s="285">
        <f t="shared" si="104"/>
        <v>1.2</v>
      </c>
      <c r="AV182" s="285">
        <v>1.2</v>
      </c>
      <c r="AW182" s="285"/>
      <c r="AX182" s="285"/>
      <c r="AY182" s="285"/>
      <c r="AZ182" s="285"/>
      <c r="BA182" s="285"/>
    </row>
    <row r="183" s="258" customFormat="1" ht="24" spans="1:53">
      <c r="A183" s="283">
        <v>176</v>
      </c>
      <c r="B183" s="284" t="s">
        <v>195</v>
      </c>
      <c r="C183" s="284" t="s">
        <v>199</v>
      </c>
      <c r="D183" s="284" t="s">
        <v>425</v>
      </c>
      <c r="E183" s="284" t="s">
        <v>426</v>
      </c>
      <c r="F183" s="285">
        <f t="shared" si="105"/>
        <v>21</v>
      </c>
      <c r="G183" s="285">
        <v>21</v>
      </c>
      <c r="H183" s="285"/>
      <c r="I183" s="285"/>
      <c r="J183" s="285"/>
      <c r="K183" s="285"/>
      <c r="L183" s="285"/>
      <c r="M183" s="285"/>
      <c r="N183" s="285"/>
      <c r="O183" s="285"/>
      <c r="P183" s="285">
        <f t="shared" si="89"/>
        <v>21</v>
      </c>
      <c r="Q183" s="285">
        <v>21</v>
      </c>
      <c r="R183" s="285"/>
      <c r="S183" s="285"/>
      <c r="T183" s="285"/>
      <c r="U183" s="285"/>
      <c r="V183" s="298">
        <f t="shared" si="106"/>
        <v>0</v>
      </c>
      <c r="W183" s="298"/>
      <c r="X183" s="298"/>
      <c r="Y183" s="298"/>
      <c r="Z183" s="298"/>
      <c r="AA183" s="298"/>
      <c r="AB183" s="298"/>
      <c r="AC183" s="298"/>
      <c r="AD183" s="298"/>
      <c r="AE183" s="285"/>
      <c r="AF183" s="299">
        <f t="shared" si="90"/>
        <v>0</v>
      </c>
      <c r="AG183" s="299">
        <f t="shared" si="91"/>
        <v>0</v>
      </c>
      <c r="AH183" s="299">
        <f t="shared" si="92"/>
        <v>0</v>
      </c>
      <c r="AI183" s="299">
        <f t="shared" si="93"/>
        <v>0</v>
      </c>
      <c r="AJ183" s="299">
        <f t="shared" si="94"/>
        <v>0</v>
      </c>
      <c r="AK183" s="299">
        <f t="shared" si="95"/>
        <v>0</v>
      </c>
      <c r="AL183" s="298">
        <f t="shared" si="96"/>
        <v>21</v>
      </c>
      <c r="AM183" s="298">
        <f t="shared" si="97"/>
        <v>21</v>
      </c>
      <c r="AN183" s="298">
        <f t="shared" si="98"/>
        <v>0</v>
      </c>
      <c r="AO183" s="298">
        <f t="shared" si="99"/>
        <v>0</v>
      </c>
      <c r="AP183" s="298">
        <f t="shared" si="100"/>
        <v>0</v>
      </c>
      <c r="AQ183" s="298">
        <f t="shared" si="101"/>
        <v>0</v>
      </c>
      <c r="AR183" s="298">
        <f t="shared" si="102"/>
        <v>0</v>
      </c>
      <c r="AS183" s="298">
        <f t="shared" si="82"/>
        <v>0</v>
      </c>
      <c r="AT183" s="298">
        <f t="shared" si="103"/>
        <v>0</v>
      </c>
      <c r="AU183" s="285">
        <f t="shared" si="104"/>
        <v>21</v>
      </c>
      <c r="AV183" s="285">
        <v>21</v>
      </c>
      <c r="AW183" s="285"/>
      <c r="AX183" s="285"/>
      <c r="AY183" s="285"/>
      <c r="AZ183" s="285"/>
      <c r="BA183" s="285"/>
    </row>
    <row r="184" s="258" customFormat="1" ht="25" customHeight="1" spans="1:53">
      <c r="A184" s="283">
        <v>177</v>
      </c>
      <c r="B184" s="284" t="s">
        <v>195</v>
      </c>
      <c r="C184" s="284" t="s">
        <v>196</v>
      </c>
      <c r="D184" s="284" t="s">
        <v>1067</v>
      </c>
      <c r="E184" s="284"/>
      <c r="F184" s="285">
        <f t="shared" si="105"/>
        <v>0</v>
      </c>
      <c r="G184" s="285"/>
      <c r="H184" s="285"/>
      <c r="I184" s="285"/>
      <c r="J184" s="285"/>
      <c r="K184" s="285"/>
      <c r="L184" s="285"/>
      <c r="M184" s="285"/>
      <c r="N184" s="285"/>
      <c r="O184" s="285"/>
      <c r="P184" s="285">
        <f t="shared" si="89"/>
        <v>0</v>
      </c>
      <c r="Q184" s="285"/>
      <c r="R184" s="285"/>
      <c r="S184" s="285"/>
      <c r="T184" s="285"/>
      <c r="U184" s="285"/>
      <c r="V184" s="298">
        <f t="shared" si="106"/>
        <v>6.15</v>
      </c>
      <c r="W184" s="298"/>
      <c r="X184" s="298"/>
      <c r="Y184" s="298"/>
      <c r="Z184" s="298"/>
      <c r="AA184" s="298"/>
      <c r="AB184" s="298">
        <v>6.15</v>
      </c>
      <c r="AC184" s="298"/>
      <c r="AD184" s="298"/>
      <c r="AE184" s="285" t="s">
        <v>1068</v>
      </c>
      <c r="AF184" s="299">
        <f t="shared" si="90"/>
        <v>6.15</v>
      </c>
      <c r="AG184" s="299">
        <f t="shared" si="91"/>
        <v>0</v>
      </c>
      <c r="AH184" s="299">
        <f t="shared" si="92"/>
        <v>0</v>
      </c>
      <c r="AI184" s="299">
        <f t="shared" si="93"/>
        <v>6.15</v>
      </c>
      <c r="AJ184" s="299">
        <f t="shared" si="94"/>
        <v>0</v>
      </c>
      <c r="AK184" s="299">
        <f t="shared" si="95"/>
        <v>0</v>
      </c>
      <c r="AL184" s="298">
        <f t="shared" si="96"/>
        <v>6.15</v>
      </c>
      <c r="AM184" s="298">
        <f t="shared" si="97"/>
        <v>0</v>
      </c>
      <c r="AN184" s="298">
        <f t="shared" si="98"/>
        <v>0</v>
      </c>
      <c r="AO184" s="298">
        <f t="shared" si="99"/>
        <v>0</v>
      </c>
      <c r="AP184" s="298">
        <f t="shared" si="100"/>
        <v>0</v>
      </c>
      <c r="AQ184" s="298">
        <f t="shared" si="101"/>
        <v>0</v>
      </c>
      <c r="AR184" s="298">
        <f t="shared" si="102"/>
        <v>6.15</v>
      </c>
      <c r="AS184" s="298">
        <f t="shared" si="82"/>
        <v>0</v>
      </c>
      <c r="AT184" s="298">
        <f t="shared" si="103"/>
        <v>0</v>
      </c>
      <c r="AU184" s="285">
        <f t="shared" si="104"/>
        <v>6.15</v>
      </c>
      <c r="AV184" s="285">
        <v>0</v>
      </c>
      <c r="AW184" s="285"/>
      <c r="AX184" s="285">
        <v>6.15</v>
      </c>
      <c r="AY184" s="285"/>
      <c r="AZ184" s="285"/>
      <c r="BA184" s="285">
        <v>160</v>
      </c>
    </row>
    <row r="185" s="258" customFormat="1" ht="25" customHeight="1" spans="1:53">
      <c r="A185" s="283">
        <v>178</v>
      </c>
      <c r="B185" s="284" t="s">
        <v>195</v>
      </c>
      <c r="C185" s="284" t="s">
        <v>196</v>
      </c>
      <c r="D185" s="284" t="s">
        <v>1069</v>
      </c>
      <c r="E185" s="284"/>
      <c r="F185" s="285">
        <f t="shared" si="105"/>
        <v>0</v>
      </c>
      <c r="G185" s="285"/>
      <c r="H185" s="285"/>
      <c r="I185" s="285"/>
      <c r="J185" s="285"/>
      <c r="K185" s="285"/>
      <c r="L185" s="285"/>
      <c r="M185" s="285"/>
      <c r="N185" s="285"/>
      <c r="O185" s="285"/>
      <c r="P185" s="285">
        <f t="shared" si="89"/>
        <v>0</v>
      </c>
      <c r="Q185" s="285"/>
      <c r="R185" s="285"/>
      <c r="S185" s="285"/>
      <c r="T185" s="285"/>
      <c r="U185" s="285"/>
      <c r="V185" s="298">
        <f t="shared" si="106"/>
        <v>4.1</v>
      </c>
      <c r="W185" s="298"/>
      <c r="X185" s="298"/>
      <c r="Y185" s="298"/>
      <c r="Z185" s="298"/>
      <c r="AA185" s="298"/>
      <c r="AB185" s="298">
        <v>4.1</v>
      </c>
      <c r="AC185" s="298"/>
      <c r="AD185" s="298"/>
      <c r="AE185" s="285" t="s">
        <v>1070</v>
      </c>
      <c r="AF185" s="299">
        <f t="shared" si="90"/>
        <v>4.1</v>
      </c>
      <c r="AG185" s="299">
        <f t="shared" si="91"/>
        <v>0</v>
      </c>
      <c r="AH185" s="299">
        <f t="shared" si="92"/>
        <v>0</v>
      </c>
      <c r="AI185" s="299">
        <f t="shared" si="93"/>
        <v>4.1</v>
      </c>
      <c r="AJ185" s="299">
        <f t="shared" si="94"/>
        <v>0</v>
      </c>
      <c r="AK185" s="299">
        <f t="shared" si="95"/>
        <v>0</v>
      </c>
      <c r="AL185" s="298">
        <f t="shared" si="96"/>
        <v>4.1</v>
      </c>
      <c r="AM185" s="298">
        <f t="shared" si="97"/>
        <v>0</v>
      </c>
      <c r="AN185" s="298">
        <f t="shared" si="98"/>
        <v>0</v>
      </c>
      <c r="AO185" s="298">
        <f t="shared" si="99"/>
        <v>0</v>
      </c>
      <c r="AP185" s="298">
        <f t="shared" si="100"/>
        <v>0</v>
      </c>
      <c r="AQ185" s="298">
        <f t="shared" si="101"/>
        <v>0</v>
      </c>
      <c r="AR185" s="298">
        <f t="shared" si="102"/>
        <v>4.1</v>
      </c>
      <c r="AS185" s="298">
        <f t="shared" si="82"/>
        <v>0</v>
      </c>
      <c r="AT185" s="298">
        <f t="shared" si="103"/>
        <v>0</v>
      </c>
      <c r="AU185" s="285">
        <f t="shared" si="104"/>
        <v>4.1</v>
      </c>
      <c r="AV185" s="285">
        <v>0</v>
      </c>
      <c r="AW185" s="285"/>
      <c r="AX185" s="285">
        <v>4.1</v>
      </c>
      <c r="AY185" s="285"/>
      <c r="AZ185" s="285"/>
      <c r="BA185" s="285">
        <v>546.66</v>
      </c>
    </row>
    <row r="186" s="258" customFormat="1" ht="42" customHeight="1" spans="1:53">
      <c r="A186" s="283">
        <v>179</v>
      </c>
      <c r="B186" s="284" t="s">
        <v>195</v>
      </c>
      <c r="C186" s="284" t="s">
        <v>196</v>
      </c>
      <c r="D186" s="284" t="s">
        <v>427</v>
      </c>
      <c r="E186" s="284" t="s">
        <v>428</v>
      </c>
      <c r="F186" s="285">
        <f t="shared" si="105"/>
        <v>190.85</v>
      </c>
      <c r="G186" s="285">
        <v>50</v>
      </c>
      <c r="H186" s="285">
        <v>10</v>
      </c>
      <c r="I186" s="285">
        <v>34.85</v>
      </c>
      <c r="J186" s="285"/>
      <c r="K186" s="285"/>
      <c r="L186" s="285"/>
      <c r="M186" s="285"/>
      <c r="N186" s="285">
        <v>96</v>
      </c>
      <c r="O186" s="285" t="s">
        <v>1071</v>
      </c>
      <c r="P186" s="285">
        <f t="shared" si="89"/>
        <v>190.85</v>
      </c>
      <c r="Q186" s="285">
        <v>190.85</v>
      </c>
      <c r="R186" s="285"/>
      <c r="S186" s="285"/>
      <c r="T186" s="285"/>
      <c r="U186" s="285"/>
      <c r="V186" s="298">
        <f t="shared" si="106"/>
        <v>-2.37</v>
      </c>
      <c r="W186" s="298"/>
      <c r="X186" s="298"/>
      <c r="Y186" s="298">
        <v>-2.37</v>
      </c>
      <c r="Z186" s="298"/>
      <c r="AA186" s="298"/>
      <c r="AB186" s="298"/>
      <c r="AC186" s="298"/>
      <c r="AD186" s="298"/>
      <c r="AE186" s="285"/>
      <c r="AF186" s="299">
        <f t="shared" si="90"/>
        <v>-2.37</v>
      </c>
      <c r="AG186" s="299">
        <f t="shared" si="91"/>
        <v>-2.37</v>
      </c>
      <c r="AH186" s="299">
        <f t="shared" si="92"/>
        <v>0</v>
      </c>
      <c r="AI186" s="299">
        <f t="shared" si="93"/>
        <v>0</v>
      </c>
      <c r="AJ186" s="299">
        <f t="shared" si="94"/>
        <v>0</v>
      </c>
      <c r="AK186" s="299">
        <f t="shared" si="95"/>
        <v>0</v>
      </c>
      <c r="AL186" s="298">
        <f t="shared" si="96"/>
        <v>188.48</v>
      </c>
      <c r="AM186" s="298">
        <f t="shared" si="97"/>
        <v>50</v>
      </c>
      <c r="AN186" s="298">
        <f t="shared" si="98"/>
        <v>10</v>
      </c>
      <c r="AO186" s="298">
        <f t="shared" si="99"/>
        <v>32.48</v>
      </c>
      <c r="AP186" s="298">
        <f t="shared" si="100"/>
        <v>0</v>
      </c>
      <c r="AQ186" s="298">
        <f t="shared" si="101"/>
        <v>0</v>
      </c>
      <c r="AR186" s="298">
        <f t="shared" si="102"/>
        <v>0</v>
      </c>
      <c r="AS186" s="298">
        <f t="shared" si="82"/>
        <v>0</v>
      </c>
      <c r="AT186" s="298">
        <f t="shared" si="103"/>
        <v>96</v>
      </c>
      <c r="AU186" s="285">
        <f t="shared" si="104"/>
        <v>188.48</v>
      </c>
      <c r="AV186" s="285">
        <v>188.48</v>
      </c>
      <c r="AW186" s="285"/>
      <c r="AX186" s="285"/>
      <c r="AY186" s="285"/>
      <c r="AZ186" s="285"/>
      <c r="BA186" s="285">
        <v>265.33</v>
      </c>
    </row>
    <row r="187" s="258" customFormat="1" ht="24" spans="1:53">
      <c r="A187" s="283">
        <v>180</v>
      </c>
      <c r="B187" s="284" t="s">
        <v>195</v>
      </c>
      <c r="C187" s="284" t="s">
        <v>366</v>
      </c>
      <c r="D187" s="284" t="s">
        <v>429</v>
      </c>
      <c r="E187" s="284" t="s">
        <v>430</v>
      </c>
      <c r="F187" s="285">
        <f t="shared" si="105"/>
        <v>0</v>
      </c>
      <c r="G187" s="285"/>
      <c r="H187" s="285"/>
      <c r="I187" s="285"/>
      <c r="J187" s="285"/>
      <c r="K187" s="285"/>
      <c r="L187" s="285"/>
      <c r="M187" s="285"/>
      <c r="N187" s="285"/>
      <c r="O187" s="285"/>
      <c r="P187" s="285">
        <f t="shared" si="89"/>
        <v>0</v>
      </c>
      <c r="Q187" s="285">
        <v>0</v>
      </c>
      <c r="R187" s="285"/>
      <c r="S187" s="285"/>
      <c r="T187" s="285"/>
      <c r="U187" s="285"/>
      <c r="V187" s="298">
        <f t="shared" si="106"/>
        <v>0</v>
      </c>
      <c r="W187" s="298"/>
      <c r="X187" s="298"/>
      <c r="Y187" s="298"/>
      <c r="Z187" s="298"/>
      <c r="AA187" s="298"/>
      <c r="AB187" s="298"/>
      <c r="AC187" s="298"/>
      <c r="AD187" s="298"/>
      <c r="AE187" s="285"/>
      <c r="AF187" s="299">
        <f t="shared" si="90"/>
        <v>0</v>
      </c>
      <c r="AG187" s="299">
        <f t="shared" si="91"/>
        <v>0</v>
      </c>
      <c r="AH187" s="299">
        <f t="shared" si="92"/>
        <v>0</v>
      </c>
      <c r="AI187" s="299">
        <f t="shared" si="93"/>
        <v>0</v>
      </c>
      <c r="AJ187" s="299">
        <f t="shared" si="94"/>
        <v>0</v>
      </c>
      <c r="AK187" s="299">
        <f t="shared" si="95"/>
        <v>0</v>
      </c>
      <c r="AL187" s="298">
        <f t="shared" si="96"/>
        <v>0</v>
      </c>
      <c r="AM187" s="298">
        <f t="shared" si="97"/>
        <v>0</v>
      </c>
      <c r="AN187" s="298">
        <f t="shared" si="98"/>
        <v>0</v>
      </c>
      <c r="AO187" s="298">
        <f t="shared" si="99"/>
        <v>0</v>
      </c>
      <c r="AP187" s="298">
        <f t="shared" si="100"/>
        <v>0</v>
      </c>
      <c r="AQ187" s="298">
        <f t="shared" si="101"/>
        <v>0</v>
      </c>
      <c r="AR187" s="298">
        <f t="shared" si="102"/>
        <v>0</v>
      </c>
      <c r="AS187" s="298">
        <f t="shared" si="82"/>
        <v>0</v>
      </c>
      <c r="AT187" s="298">
        <f t="shared" si="103"/>
        <v>0</v>
      </c>
      <c r="AU187" s="285">
        <f t="shared" si="104"/>
        <v>0</v>
      </c>
      <c r="AV187" s="285">
        <v>0</v>
      </c>
      <c r="AW187" s="285"/>
      <c r="AX187" s="285"/>
      <c r="AY187" s="285"/>
      <c r="AZ187" s="285"/>
      <c r="BA187" s="285"/>
    </row>
    <row r="188" s="258" customFormat="1" ht="24" spans="1:53">
      <c r="A188" s="283">
        <v>181</v>
      </c>
      <c r="B188" s="284" t="s">
        <v>195</v>
      </c>
      <c r="C188" s="284" t="s">
        <v>199</v>
      </c>
      <c r="D188" s="284" t="s">
        <v>431</v>
      </c>
      <c r="E188" s="284" t="s">
        <v>430</v>
      </c>
      <c r="F188" s="285">
        <f t="shared" si="105"/>
        <v>4</v>
      </c>
      <c r="G188" s="285">
        <v>4</v>
      </c>
      <c r="H188" s="285"/>
      <c r="I188" s="285"/>
      <c r="J188" s="285"/>
      <c r="K188" s="285"/>
      <c r="L188" s="285"/>
      <c r="M188" s="285"/>
      <c r="N188" s="285"/>
      <c r="O188" s="285"/>
      <c r="P188" s="285">
        <f t="shared" si="89"/>
        <v>4</v>
      </c>
      <c r="Q188" s="285">
        <v>4</v>
      </c>
      <c r="R188" s="285"/>
      <c r="S188" s="285"/>
      <c r="T188" s="285"/>
      <c r="U188" s="285"/>
      <c r="V188" s="298">
        <f t="shared" si="106"/>
        <v>0</v>
      </c>
      <c r="W188" s="298"/>
      <c r="X188" s="298"/>
      <c r="Y188" s="298"/>
      <c r="Z188" s="298"/>
      <c r="AA188" s="298"/>
      <c r="AB188" s="298"/>
      <c r="AC188" s="298"/>
      <c r="AD188" s="298"/>
      <c r="AE188" s="285"/>
      <c r="AF188" s="299">
        <f t="shared" si="90"/>
        <v>0</v>
      </c>
      <c r="AG188" s="299">
        <f t="shared" si="91"/>
        <v>0</v>
      </c>
      <c r="AH188" s="299">
        <f t="shared" si="92"/>
        <v>0</v>
      </c>
      <c r="AI188" s="299">
        <f t="shared" si="93"/>
        <v>0</v>
      </c>
      <c r="AJ188" s="299">
        <f t="shared" si="94"/>
        <v>0</v>
      </c>
      <c r="AK188" s="299">
        <f t="shared" si="95"/>
        <v>0</v>
      </c>
      <c r="AL188" s="298">
        <f t="shared" si="96"/>
        <v>4</v>
      </c>
      <c r="AM188" s="298">
        <f t="shared" si="97"/>
        <v>4</v>
      </c>
      <c r="AN188" s="298">
        <f t="shared" si="98"/>
        <v>0</v>
      </c>
      <c r="AO188" s="298">
        <f t="shared" si="99"/>
        <v>0</v>
      </c>
      <c r="AP188" s="298">
        <f t="shared" si="100"/>
        <v>0</v>
      </c>
      <c r="AQ188" s="298">
        <f t="shared" si="101"/>
        <v>0</v>
      </c>
      <c r="AR188" s="298">
        <f t="shared" si="102"/>
        <v>0</v>
      </c>
      <c r="AS188" s="298">
        <f t="shared" si="82"/>
        <v>0</v>
      </c>
      <c r="AT188" s="298">
        <f t="shared" si="103"/>
        <v>0</v>
      </c>
      <c r="AU188" s="285">
        <f t="shared" si="104"/>
        <v>4</v>
      </c>
      <c r="AV188" s="285">
        <v>4</v>
      </c>
      <c r="AW188" s="285"/>
      <c r="AX188" s="285"/>
      <c r="AY188" s="285"/>
      <c r="AZ188" s="285"/>
      <c r="BA188" s="285"/>
    </row>
    <row r="189" s="258" customFormat="1" ht="24" spans="1:53">
      <c r="A189" s="283">
        <v>182</v>
      </c>
      <c r="B189" s="284" t="s">
        <v>195</v>
      </c>
      <c r="C189" s="284" t="s">
        <v>199</v>
      </c>
      <c r="D189" s="284" t="s">
        <v>432</v>
      </c>
      <c r="E189" s="284" t="s">
        <v>430</v>
      </c>
      <c r="F189" s="285">
        <f t="shared" si="105"/>
        <v>2</v>
      </c>
      <c r="G189" s="285">
        <v>2</v>
      </c>
      <c r="H189" s="285"/>
      <c r="I189" s="285"/>
      <c r="J189" s="285"/>
      <c r="K189" s="285"/>
      <c r="L189" s="285"/>
      <c r="M189" s="285"/>
      <c r="N189" s="285"/>
      <c r="O189" s="285"/>
      <c r="P189" s="285">
        <f t="shared" si="89"/>
        <v>2</v>
      </c>
      <c r="Q189" s="285">
        <v>2</v>
      </c>
      <c r="R189" s="285"/>
      <c r="S189" s="285"/>
      <c r="T189" s="285"/>
      <c r="U189" s="285"/>
      <c r="V189" s="298">
        <f t="shared" si="106"/>
        <v>0</v>
      </c>
      <c r="W189" s="298"/>
      <c r="X189" s="298"/>
      <c r="Y189" s="298"/>
      <c r="Z189" s="298"/>
      <c r="AA189" s="298"/>
      <c r="AB189" s="298"/>
      <c r="AC189" s="298"/>
      <c r="AD189" s="298"/>
      <c r="AE189" s="285"/>
      <c r="AF189" s="299">
        <f t="shared" si="90"/>
        <v>0</v>
      </c>
      <c r="AG189" s="299">
        <f t="shared" si="91"/>
        <v>0</v>
      </c>
      <c r="AH189" s="299">
        <f t="shared" si="92"/>
        <v>0</v>
      </c>
      <c r="AI189" s="299">
        <f t="shared" si="93"/>
        <v>0</v>
      </c>
      <c r="AJ189" s="299">
        <f t="shared" si="94"/>
        <v>0</v>
      </c>
      <c r="AK189" s="299">
        <f t="shared" si="95"/>
        <v>0</v>
      </c>
      <c r="AL189" s="298">
        <f t="shared" si="96"/>
        <v>2</v>
      </c>
      <c r="AM189" s="298">
        <f t="shared" si="97"/>
        <v>2</v>
      </c>
      <c r="AN189" s="298">
        <f t="shared" si="98"/>
        <v>0</v>
      </c>
      <c r="AO189" s="298">
        <f t="shared" si="99"/>
        <v>0</v>
      </c>
      <c r="AP189" s="298">
        <f t="shared" si="100"/>
        <v>0</v>
      </c>
      <c r="AQ189" s="298">
        <f t="shared" si="101"/>
        <v>0</v>
      </c>
      <c r="AR189" s="298">
        <f t="shared" si="102"/>
        <v>0</v>
      </c>
      <c r="AS189" s="298">
        <f t="shared" si="82"/>
        <v>0</v>
      </c>
      <c r="AT189" s="298">
        <f t="shared" si="103"/>
        <v>0</v>
      </c>
      <c r="AU189" s="285">
        <f t="shared" si="104"/>
        <v>2</v>
      </c>
      <c r="AV189" s="285">
        <v>2</v>
      </c>
      <c r="AW189" s="285"/>
      <c r="AX189" s="285"/>
      <c r="AY189" s="285"/>
      <c r="AZ189" s="285"/>
      <c r="BA189" s="285"/>
    </row>
    <row r="190" s="258" customFormat="1" ht="39" customHeight="1" spans="1:53">
      <c r="A190" s="283">
        <v>183</v>
      </c>
      <c r="B190" s="284" t="s">
        <v>195</v>
      </c>
      <c r="C190" s="284" t="s">
        <v>196</v>
      </c>
      <c r="D190" s="284" t="s">
        <v>433</v>
      </c>
      <c r="E190" s="284" t="s">
        <v>434</v>
      </c>
      <c r="F190" s="285">
        <f t="shared" si="105"/>
        <v>231.6</v>
      </c>
      <c r="G190" s="285">
        <v>6</v>
      </c>
      <c r="H190" s="285">
        <v>2</v>
      </c>
      <c r="I190" s="285">
        <v>3.6</v>
      </c>
      <c r="J190" s="285"/>
      <c r="K190" s="285"/>
      <c r="L190" s="285"/>
      <c r="M190" s="285"/>
      <c r="N190" s="285">
        <v>220</v>
      </c>
      <c r="O190" s="285" t="s">
        <v>1072</v>
      </c>
      <c r="P190" s="285">
        <f t="shared" si="89"/>
        <v>231.6</v>
      </c>
      <c r="Q190" s="285">
        <v>231.6</v>
      </c>
      <c r="R190" s="285"/>
      <c r="S190" s="285"/>
      <c r="T190" s="285"/>
      <c r="U190" s="285"/>
      <c r="V190" s="298">
        <f t="shared" si="106"/>
        <v>-5.65</v>
      </c>
      <c r="W190" s="298"/>
      <c r="X190" s="298"/>
      <c r="Y190" s="298"/>
      <c r="Z190" s="298"/>
      <c r="AA190" s="298"/>
      <c r="AB190" s="298"/>
      <c r="AC190" s="298"/>
      <c r="AD190" s="298">
        <v>-5.65</v>
      </c>
      <c r="AE190" s="285" t="s">
        <v>1073</v>
      </c>
      <c r="AF190" s="299">
        <f t="shared" si="90"/>
        <v>-5.65000000000001</v>
      </c>
      <c r="AG190" s="299">
        <f t="shared" si="91"/>
        <v>-5.65000000000001</v>
      </c>
      <c r="AH190" s="299">
        <f t="shared" si="92"/>
        <v>0</v>
      </c>
      <c r="AI190" s="299">
        <f t="shared" si="93"/>
        <v>0</v>
      </c>
      <c r="AJ190" s="299">
        <f t="shared" si="94"/>
        <v>0</v>
      </c>
      <c r="AK190" s="299">
        <f t="shared" si="95"/>
        <v>0</v>
      </c>
      <c r="AL190" s="298">
        <f t="shared" si="96"/>
        <v>225.95</v>
      </c>
      <c r="AM190" s="298">
        <f t="shared" si="97"/>
        <v>6</v>
      </c>
      <c r="AN190" s="298">
        <f t="shared" si="98"/>
        <v>2</v>
      </c>
      <c r="AO190" s="298">
        <f t="shared" si="99"/>
        <v>3.6</v>
      </c>
      <c r="AP190" s="298">
        <f t="shared" si="100"/>
        <v>0</v>
      </c>
      <c r="AQ190" s="298">
        <f t="shared" si="101"/>
        <v>0</v>
      </c>
      <c r="AR190" s="298">
        <f t="shared" si="102"/>
        <v>0</v>
      </c>
      <c r="AS190" s="298">
        <f t="shared" si="82"/>
        <v>0</v>
      </c>
      <c r="AT190" s="298">
        <f t="shared" si="103"/>
        <v>214.35</v>
      </c>
      <c r="AU190" s="285">
        <f t="shared" si="104"/>
        <v>225.95</v>
      </c>
      <c r="AV190" s="285">
        <v>225.95</v>
      </c>
      <c r="AW190" s="285"/>
      <c r="AX190" s="285"/>
      <c r="AY190" s="285"/>
      <c r="AZ190" s="285"/>
      <c r="BA190" s="285"/>
    </row>
    <row r="191" s="260" customFormat="1" ht="27" customHeight="1" spans="1:53">
      <c r="A191" s="283">
        <v>184</v>
      </c>
      <c r="B191" s="305"/>
      <c r="C191" s="306" t="s">
        <v>746</v>
      </c>
      <c r="D191" s="305" t="s">
        <v>134</v>
      </c>
      <c r="E191" s="306">
        <v>205</v>
      </c>
      <c r="F191" s="281">
        <f t="shared" ref="F191:K191" si="107">SUM(F192:F247)</f>
        <v>5436.43</v>
      </c>
      <c r="G191" s="281">
        <f t="shared" si="107"/>
        <v>15.6</v>
      </c>
      <c r="H191" s="281">
        <f t="shared" si="107"/>
        <v>0</v>
      </c>
      <c r="I191" s="281">
        <f t="shared" si="107"/>
        <v>14.1</v>
      </c>
      <c r="J191" s="281">
        <f t="shared" si="107"/>
        <v>3912.87</v>
      </c>
      <c r="K191" s="281">
        <f t="shared" si="107"/>
        <v>29</v>
      </c>
      <c r="L191" s="281"/>
      <c r="M191" s="281">
        <f>SUM(M192:M247)</f>
        <v>87</v>
      </c>
      <c r="N191" s="281">
        <f>SUM(N192:N247)</f>
        <v>1377.86</v>
      </c>
      <c r="O191" s="281"/>
      <c r="P191" s="307">
        <f t="shared" ref="P191:U191" si="108">SUM(P192:P247)</f>
        <v>5436.43</v>
      </c>
      <c r="Q191" s="307">
        <f t="shared" si="108"/>
        <v>5349.43</v>
      </c>
      <c r="R191" s="307">
        <f t="shared" si="108"/>
        <v>0</v>
      </c>
      <c r="S191" s="307">
        <f t="shared" si="108"/>
        <v>87</v>
      </c>
      <c r="T191" s="307">
        <f t="shared" si="108"/>
        <v>0</v>
      </c>
      <c r="U191" s="307">
        <f t="shared" si="108"/>
        <v>0</v>
      </c>
      <c r="V191" s="281">
        <f t="shared" ref="R191:AD191" si="109">SUM(V192:V247)</f>
        <v>-211.514629</v>
      </c>
      <c r="W191" s="281">
        <f t="shared" si="109"/>
        <v>0</v>
      </c>
      <c r="X191" s="281">
        <f t="shared" si="109"/>
        <v>0</v>
      </c>
      <c r="Y191" s="281">
        <f t="shared" si="109"/>
        <v>-4.76</v>
      </c>
      <c r="Z191" s="281">
        <f t="shared" si="109"/>
        <v>-68.944629</v>
      </c>
      <c r="AA191" s="281">
        <f t="shared" si="109"/>
        <v>0</v>
      </c>
      <c r="AB191" s="281">
        <f t="shared" si="109"/>
        <v>-67.31</v>
      </c>
      <c r="AC191" s="281">
        <f t="shared" si="109"/>
        <v>0</v>
      </c>
      <c r="AD191" s="281">
        <f t="shared" si="109"/>
        <v>-70.5</v>
      </c>
      <c r="AE191" s="281"/>
      <c r="AF191" s="281">
        <f t="shared" ref="AF191:AL191" si="110">SUM(AF192:AF247)</f>
        <v>-211.514629</v>
      </c>
      <c r="AG191" s="281">
        <f t="shared" si="110"/>
        <v>-144.204629</v>
      </c>
      <c r="AH191" s="281">
        <f t="shared" si="110"/>
        <v>0</v>
      </c>
      <c r="AI191" s="281">
        <f t="shared" si="110"/>
        <v>-67.31</v>
      </c>
      <c r="AJ191" s="281">
        <f t="shared" si="110"/>
        <v>0</v>
      </c>
      <c r="AK191" s="281">
        <f t="shared" si="110"/>
        <v>0</v>
      </c>
      <c r="AL191" s="308">
        <f t="shared" si="110"/>
        <v>5224.915371</v>
      </c>
      <c r="AM191" s="308">
        <f t="shared" ref="AM191:AZ191" si="111">SUM(AM192:AM247)</f>
        <v>15.6</v>
      </c>
      <c r="AN191" s="308">
        <f t="shared" si="111"/>
        <v>0</v>
      </c>
      <c r="AO191" s="308">
        <f t="shared" si="111"/>
        <v>9.34</v>
      </c>
      <c r="AP191" s="308">
        <f t="shared" si="111"/>
        <v>3843.925371</v>
      </c>
      <c r="AQ191" s="308">
        <f t="shared" si="111"/>
        <v>29</v>
      </c>
      <c r="AR191" s="308">
        <f t="shared" si="111"/>
        <v>19.69</v>
      </c>
      <c r="AS191" s="308">
        <f t="shared" si="111"/>
        <v>0</v>
      </c>
      <c r="AT191" s="308">
        <f t="shared" si="111"/>
        <v>1307.36</v>
      </c>
      <c r="AU191" s="308">
        <f t="shared" si="111"/>
        <v>5224.915371</v>
      </c>
      <c r="AV191" s="308">
        <f t="shared" si="111"/>
        <v>5205.225371</v>
      </c>
      <c r="AW191" s="308">
        <f t="shared" si="111"/>
        <v>0</v>
      </c>
      <c r="AX191" s="308">
        <f t="shared" si="111"/>
        <v>19.69</v>
      </c>
      <c r="AY191" s="308">
        <f t="shared" si="111"/>
        <v>0</v>
      </c>
      <c r="AZ191" s="308">
        <f t="shared" si="111"/>
        <v>0</v>
      </c>
      <c r="BA191" s="309"/>
    </row>
    <row r="192" s="258" customFormat="1" ht="72" spans="1:53">
      <c r="A192" s="283">
        <v>185</v>
      </c>
      <c r="B192" s="284" t="s">
        <v>195</v>
      </c>
      <c r="C192" s="284" t="s">
        <v>196</v>
      </c>
      <c r="D192" s="284" t="s">
        <v>435</v>
      </c>
      <c r="E192" s="284" t="s">
        <v>505</v>
      </c>
      <c r="F192" s="285">
        <f t="shared" ref="F192:F247" si="112">SUM(G192:N192)</f>
        <v>1281.272</v>
      </c>
      <c r="G192" s="285"/>
      <c r="H192" s="285"/>
      <c r="I192" s="285">
        <v>11.412</v>
      </c>
      <c r="J192" s="285"/>
      <c r="K192" s="285"/>
      <c r="L192" s="285"/>
      <c r="M192" s="285">
        <v>87</v>
      </c>
      <c r="N192" s="285">
        <f>1457.86-194-81</f>
        <v>1182.86</v>
      </c>
      <c r="O192" s="285" t="s">
        <v>1074</v>
      </c>
      <c r="P192" s="285">
        <f t="shared" ref="P192:P247" si="113">SUM(Q192:S192)</f>
        <v>1281.272</v>
      </c>
      <c r="Q192" s="285">
        <v>1194.272</v>
      </c>
      <c r="R192" s="285"/>
      <c r="S192" s="285">
        <v>87</v>
      </c>
      <c r="T192" s="285"/>
      <c r="U192" s="285"/>
      <c r="V192" s="298">
        <f t="shared" ref="V192:V200" si="114">SUM(W192:AD192)</f>
        <v>-175.28</v>
      </c>
      <c r="W192" s="298"/>
      <c r="X192" s="298"/>
      <c r="Y192" s="298">
        <v>-5.12</v>
      </c>
      <c r="Z192" s="298"/>
      <c r="AA192" s="298"/>
      <c r="AB192" s="298">
        <f>-87+16.84</f>
        <v>-70.16</v>
      </c>
      <c r="AC192" s="298"/>
      <c r="AD192" s="298">
        <v>-100</v>
      </c>
      <c r="AE192" s="285" t="s">
        <v>1075</v>
      </c>
      <c r="AF192" s="299">
        <f t="shared" ref="AF192:AF247" si="115">SUM(AG192:AI192)</f>
        <v>-175.28</v>
      </c>
      <c r="AG192" s="299">
        <f t="shared" ref="AG192:AG247" si="116">AV192-Q192</f>
        <v>-105.12</v>
      </c>
      <c r="AH192" s="299">
        <f t="shared" ref="AH192:AH247" si="117">AW192-R192</f>
        <v>0</v>
      </c>
      <c r="AI192" s="299">
        <f t="shared" ref="AI192:AI247" si="118">AX192-S192</f>
        <v>-70.16</v>
      </c>
      <c r="AJ192" s="299">
        <f t="shared" ref="AJ192:AJ247" si="119">AY192-T192</f>
        <v>0</v>
      </c>
      <c r="AK192" s="299">
        <f t="shared" ref="AK192:AK247" si="120">AZ192-U192</f>
        <v>0</v>
      </c>
      <c r="AL192" s="298">
        <f t="shared" ref="AL192:AL223" si="121">SUM(AM192:AT192)</f>
        <v>1105.992</v>
      </c>
      <c r="AM192" s="298">
        <f t="shared" ref="AM192:AM223" si="122">G192+W192</f>
        <v>0</v>
      </c>
      <c r="AN192" s="298">
        <f t="shared" ref="AN192:AN223" si="123">H192+X192</f>
        <v>0</v>
      </c>
      <c r="AO192" s="298">
        <f t="shared" ref="AO192:AO223" si="124">I192+Y192</f>
        <v>6.292</v>
      </c>
      <c r="AP192" s="298">
        <f t="shared" ref="AP192:AP223" si="125">J192+Z192</f>
        <v>0</v>
      </c>
      <c r="AQ192" s="298">
        <f t="shared" ref="AQ192:AQ223" si="126">K192+AA192</f>
        <v>0</v>
      </c>
      <c r="AR192" s="298">
        <f t="shared" ref="AR192:AR223" si="127">M192+AB192</f>
        <v>16.84</v>
      </c>
      <c r="AS192" s="298">
        <f t="shared" ref="AS191:AS222" si="128">AC192</f>
        <v>0</v>
      </c>
      <c r="AT192" s="298">
        <f t="shared" ref="AT192:AT223" si="129">N192+AD192</f>
        <v>1082.86</v>
      </c>
      <c r="AU192" s="285">
        <f t="shared" ref="AU192:AU247" si="130">SUM(AV192:AX192)</f>
        <v>1105.992</v>
      </c>
      <c r="AV192" s="285">
        <v>1089.152</v>
      </c>
      <c r="AW192" s="285"/>
      <c r="AX192" s="285">
        <v>16.84</v>
      </c>
      <c r="AY192" s="285"/>
      <c r="AZ192" s="285"/>
      <c r="BA192" s="285"/>
    </row>
    <row r="193" s="258" customFormat="1" ht="48" spans="1:53">
      <c r="A193" s="283">
        <v>186</v>
      </c>
      <c r="B193" s="284" t="s">
        <v>195</v>
      </c>
      <c r="C193" s="284" t="s">
        <v>438</v>
      </c>
      <c r="D193" s="284" t="s">
        <v>439</v>
      </c>
      <c r="E193" s="284" t="s">
        <v>440</v>
      </c>
      <c r="F193" s="285">
        <f t="shared" si="112"/>
        <v>132.57</v>
      </c>
      <c r="G193" s="285"/>
      <c r="H193" s="285"/>
      <c r="I193" s="285"/>
      <c r="J193" s="285">
        <v>72.57</v>
      </c>
      <c r="K193" s="285"/>
      <c r="L193" s="285"/>
      <c r="M193" s="285"/>
      <c r="N193" s="285">
        <v>60</v>
      </c>
      <c r="O193" s="285" t="s">
        <v>1076</v>
      </c>
      <c r="P193" s="285">
        <f t="shared" si="113"/>
        <v>132.57</v>
      </c>
      <c r="Q193" s="285">
        <v>132.57</v>
      </c>
      <c r="R193" s="285"/>
      <c r="S193" s="285"/>
      <c r="T193" s="285"/>
      <c r="U193" s="285"/>
      <c r="V193" s="298">
        <f t="shared" si="114"/>
        <v>0</v>
      </c>
      <c r="W193" s="298"/>
      <c r="X193" s="298"/>
      <c r="Y193" s="298"/>
      <c r="Z193" s="298"/>
      <c r="AA193" s="298"/>
      <c r="AB193" s="298"/>
      <c r="AC193" s="298"/>
      <c r="AD193" s="298"/>
      <c r="AE193" s="285"/>
      <c r="AF193" s="299">
        <f t="shared" si="115"/>
        <v>0</v>
      </c>
      <c r="AG193" s="299">
        <f t="shared" si="116"/>
        <v>0</v>
      </c>
      <c r="AH193" s="299">
        <f t="shared" si="117"/>
        <v>0</v>
      </c>
      <c r="AI193" s="299">
        <f t="shared" si="118"/>
        <v>0</v>
      </c>
      <c r="AJ193" s="299">
        <f t="shared" si="119"/>
        <v>0</v>
      </c>
      <c r="AK193" s="299">
        <f t="shared" si="120"/>
        <v>0</v>
      </c>
      <c r="AL193" s="298">
        <f t="shared" si="121"/>
        <v>132.57</v>
      </c>
      <c r="AM193" s="298">
        <f t="shared" si="122"/>
        <v>0</v>
      </c>
      <c r="AN193" s="298">
        <f t="shared" si="123"/>
        <v>0</v>
      </c>
      <c r="AO193" s="298">
        <f t="shared" si="124"/>
        <v>0</v>
      </c>
      <c r="AP193" s="298">
        <f t="shared" si="125"/>
        <v>72.57</v>
      </c>
      <c r="AQ193" s="298">
        <f t="shared" si="126"/>
        <v>0</v>
      </c>
      <c r="AR193" s="298">
        <f t="shared" si="127"/>
        <v>0</v>
      </c>
      <c r="AS193" s="298">
        <f t="shared" si="128"/>
        <v>0</v>
      </c>
      <c r="AT193" s="298">
        <f t="shared" si="129"/>
        <v>60</v>
      </c>
      <c r="AU193" s="285">
        <f t="shared" si="130"/>
        <v>132.57</v>
      </c>
      <c r="AV193" s="285">
        <v>132.57</v>
      </c>
      <c r="AW193" s="285"/>
      <c r="AX193" s="285"/>
      <c r="AY193" s="285"/>
      <c r="AZ193" s="285"/>
      <c r="BA193" s="285"/>
    </row>
    <row r="194" s="258" customFormat="1" ht="27" customHeight="1" spans="1:53">
      <c r="A194" s="283">
        <v>187</v>
      </c>
      <c r="B194" s="284" t="s">
        <v>195</v>
      </c>
      <c r="C194" s="284" t="s">
        <v>438</v>
      </c>
      <c r="D194" s="284" t="s">
        <v>441</v>
      </c>
      <c r="E194" s="284" t="s">
        <v>440</v>
      </c>
      <c r="F194" s="285">
        <f t="shared" si="112"/>
        <v>55.08</v>
      </c>
      <c r="G194" s="285"/>
      <c r="H194" s="285"/>
      <c r="I194" s="285"/>
      <c r="J194" s="285">
        <v>55.08</v>
      </c>
      <c r="K194" s="285"/>
      <c r="L194" s="285"/>
      <c r="M194" s="285"/>
      <c r="N194" s="285"/>
      <c r="O194" s="285" t="s">
        <v>1077</v>
      </c>
      <c r="P194" s="285">
        <f t="shared" si="113"/>
        <v>55.08</v>
      </c>
      <c r="Q194" s="285">
        <v>55.08</v>
      </c>
      <c r="R194" s="285"/>
      <c r="S194" s="285"/>
      <c r="T194" s="285"/>
      <c r="U194" s="285"/>
      <c r="V194" s="298">
        <f t="shared" si="114"/>
        <v>0</v>
      </c>
      <c r="W194" s="298"/>
      <c r="X194" s="298"/>
      <c r="Y194" s="298"/>
      <c r="Z194" s="298"/>
      <c r="AA194" s="298"/>
      <c r="AB194" s="298"/>
      <c r="AC194" s="298"/>
      <c r="AD194" s="298"/>
      <c r="AE194" s="285"/>
      <c r="AF194" s="299">
        <f t="shared" si="115"/>
        <v>0</v>
      </c>
      <c r="AG194" s="299">
        <f t="shared" si="116"/>
        <v>0</v>
      </c>
      <c r="AH194" s="299">
        <f t="shared" si="117"/>
        <v>0</v>
      </c>
      <c r="AI194" s="299">
        <f t="shared" si="118"/>
        <v>0</v>
      </c>
      <c r="AJ194" s="299">
        <f t="shared" si="119"/>
        <v>0</v>
      </c>
      <c r="AK194" s="299">
        <f t="shared" si="120"/>
        <v>0</v>
      </c>
      <c r="AL194" s="298">
        <f t="shared" si="121"/>
        <v>55.08</v>
      </c>
      <c r="AM194" s="298">
        <f t="shared" si="122"/>
        <v>0</v>
      </c>
      <c r="AN194" s="298">
        <f t="shared" si="123"/>
        <v>0</v>
      </c>
      <c r="AO194" s="298">
        <f t="shared" si="124"/>
        <v>0</v>
      </c>
      <c r="AP194" s="298">
        <f t="shared" si="125"/>
        <v>55.08</v>
      </c>
      <c r="AQ194" s="298">
        <f t="shared" si="126"/>
        <v>0</v>
      </c>
      <c r="AR194" s="298">
        <f t="shared" si="127"/>
        <v>0</v>
      </c>
      <c r="AS194" s="298">
        <f t="shared" si="128"/>
        <v>0</v>
      </c>
      <c r="AT194" s="298">
        <f t="shared" si="129"/>
        <v>0</v>
      </c>
      <c r="AU194" s="285">
        <f t="shared" si="130"/>
        <v>55.08</v>
      </c>
      <c r="AV194" s="285">
        <v>55.08</v>
      </c>
      <c r="AW194" s="285"/>
      <c r="AX194" s="285"/>
      <c r="AY194" s="285"/>
      <c r="AZ194" s="285"/>
      <c r="BA194" s="285"/>
    </row>
    <row r="195" s="258" customFormat="1" ht="27" customHeight="1" spans="1:53">
      <c r="A195" s="283">
        <v>188</v>
      </c>
      <c r="B195" s="284" t="s">
        <v>195</v>
      </c>
      <c r="C195" s="284" t="s">
        <v>442</v>
      </c>
      <c r="D195" s="284" t="s">
        <v>443</v>
      </c>
      <c r="E195" s="284" t="s">
        <v>444</v>
      </c>
      <c r="F195" s="285">
        <f t="shared" si="112"/>
        <v>47.12</v>
      </c>
      <c r="G195" s="285"/>
      <c r="H195" s="285"/>
      <c r="I195" s="285"/>
      <c r="J195" s="285">
        <v>47.12</v>
      </c>
      <c r="K195" s="285"/>
      <c r="L195" s="285"/>
      <c r="M195" s="285"/>
      <c r="N195" s="285"/>
      <c r="O195" s="285" t="s">
        <v>1078</v>
      </c>
      <c r="P195" s="285">
        <f t="shared" si="113"/>
        <v>47.12</v>
      </c>
      <c r="Q195" s="285">
        <v>47.12</v>
      </c>
      <c r="R195" s="285"/>
      <c r="S195" s="285"/>
      <c r="T195" s="285"/>
      <c r="U195" s="285"/>
      <c r="V195" s="298">
        <f t="shared" si="114"/>
        <v>0</v>
      </c>
      <c r="W195" s="298"/>
      <c r="X195" s="298"/>
      <c r="Y195" s="298"/>
      <c r="Z195" s="298"/>
      <c r="AA195" s="298"/>
      <c r="AB195" s="298"/>
      <c r="AC195" s="298"/>
      <c r="AD195" s="298"/>
      <c r="AE195" s="285"/>
      <c r="AF195" s="299">
        <f t="shared" si="115"/>
        <v>0</v>
      </c>
      <c r="AG195" s="299">
        <f t="shared" si="116"/>
        <v>0</v>
      </c>
      <c r="AH195" s="299">
        <f t="shared" si="117"/>
        <v>0</v>
      </c>
      <c r="AI195" s="299">
        <f t="shared" si="118"/>
        <v>0</v>
      </c>
      <c r="AJ195" s="299">
        <f t="shared" si="119"/>
        <v>0</v>
      </c>
      <c r="AK195" s="299">
        <f t="shared" si="120"/>
        <v>0</v>
      </c>
      <c r="AL195" s="298">
        <f t="shared" si="121"/>
        <v>47.12</v>
      </c>
      <c r="AM195" s="298">
        <f t="shared" si="122"/>
        <v>0</v>
      </c>
      <c r="AN195" s="298">
        <f t="shared" si="123"/>
        <v>0</v>
      </c>
      <c r="AO195" s="298">
        <f t="shared" si="124"/>
        <v>0</v>
      </c>
      <c r="AP195" s="298">
        <f t="shared" si="125"/>
        <v>47.12</v>
      </c>
      <c r="AQ195" s="298">
        <f t="shared" si="126"/>
        <v>0</v>
      </c>
      <c r="AR195" s="298">
        <f t="shared" si="127"/>
        <v>0</v>
      </c>
      <c r="AS195" s="298">
        <f t="shared" si="128"/>
        <v>0</v>
      </c>
      <c r="AT195" s="298">
        <f t="shared" si="129"/>
        <v>0</v>
      </c>
      <c r="AU195" s="285">
        <f t="shared" si="130"/>
        <v>47.12</v>
      </c>
      <c r="AV195" s="285">
        <v>47.12</v>
      </c>
      <c r="AW195" s="285"/>
      <c r="AX195" s="285"/>
      <c r="AY195" s="285"/>
      <c r="AZ195" s="285"/>
      <c r="BA195" s="285"/>
    </row>
    <row r="196" s="258" customFormat="1" ht="27" customHeight="1" spans="1:53">
      <c r="A196" s="283">
        <v>189</v>
      </c>
      <c r="B196" s="284" t="s">
        <v>195</v>
      </c>
      <c r="C196" s="284" t="s">
        <v>442</v>
      </c>
      <c r="D196" s="284" t="s">
        <v>445</v>
      </c>
      <c r="E196" s="284" t="s">
        <v>444</v>
      </c>
      <c r="F196" s="285">
        <f t="shared" si="112"/>
        <v>22.52</v>
      </c>
      <c r="G196" s="285"/>
      <c r="H196" s="285"/>
      <c r="I196" s="285"/>
      <c r="J196" s="285">
        <v>22.52</v>
      </c>
      <c r="K196" s="285"/>
      <c r="L196" s="285"/>
      <c r="M196" s="285"/>
      <c r="N196" s="285"/>
      <c r="O196" s="285" t="s">
        <v>1079</v>
      </c>
      <c r="P196" s="285">
        <f t="shared" si="113"/>
        <v>22.52</v>
      </c>
      <c r="Q196" s="285">
        <v>22.52</v>
      </c>
      <c r="R196" s="285"/>
      <c r="S196" s="285"/>
      <c r="T196" s="285"/>
      <c r="U196" s="285"/>
      <c r="V196" s="298">
        <f t="shared" si="114"/>
        <v>0</v>
      </c>
      <c r="W196" s="298"/>
      <c r="X196" s="298"/>
      <c r="Y196" s="298"/>
      <c r="Z196" s="298"/>
      <c r="AA196" s="298"/>
      <c r="AB196" s="298"/>
      <c r="AC196" s="298"/>
      <c r="AD196" s="298"/>
      <c r="AE196" s="285"/>
      <c r="AF196" s="299">
        <f t="shared" si="115"/>
        <v>0</v>
      </c>
      <c r="AG196" s="299">
        <f t="shared" si="116"/>
        <v>0</v>
      </c>
      <c r="AH196" s="299">
        <f t="shared" si="117"/>
        <v>0</v>
      </c>
      <c r="AI196" s="299">
        <f t="shared" si="118"/>
        <v>0</v>
      </c>
      <c r="AJ196" s="299">
        <f t="shared" si="119"/>
        <v>0</v>
      </c>
      <c r="AK196" s="299">
        <f t="shared" si="120"/>
        <v>0</v>
      </c>
      <c r="AL196" s="298">
        <f t="shared" si="121"/>
        <v>22.52</v>
      </c>
      <c r="AM196" s="298">
        <f t="shared" si="122"/>
        <v>0</v>
      </c>
      <c r="AN196" s="298">
        <f t="shared" si="123"/>
        <v>0</v>
      </c>
      <c r="AO196" s="298">
        <f t="shared" si="124"/>
        <v>0</v>
      </c>
      <c r="AP196" s="298">
        <f t="shared" si="125"/>
        <v>22.52</v>
      </c>
      <c r="AQ196" s="298">
        <f t="shared" si="126"/>
        <v>0</v>
      </c>
      <c r="AR196" s="298">
        <f t="shared" si="127"/>
        <v>0</v>
      </c>
      <c r="AS196" s="298">
        <f t="shared" si="128"/>
        <v>0</v>
      </c>
      <c r="AT196" s="298">
        <f t="shared" si="129"/>
        <v>0</v>
      </c>
      <c r="AU196" s="285">
        <f t="shared" si="130"/>
        <v>22.52</v>
      </c>
      <c r="AV196" s="285">
        <v>22.52</v>
      </c>
      <c r="AW196" s="285"/>
      <c r="AX196" s="285"/>
      <c r="AY196" s="285"/>
      <c r="AZ196" s="285"/>
      <c r="BA196" s="285"/>
    </row>
    <row r="197" s="258" customFormat="1" ht="27" customHeight="1" spans="1:53">
      <c r="A197" s="283">
        <v>190</v>
      </c>
      <c r="B197" s="284" t="s">
        <v>195</v>
      </c>
      <c r="C197" s="284" t="s">
        <v>438</v>
      </c>
      <c r="D197" s="284" t="s">
        <v>448</v>
      </c>
      <c r="E197" s="284" t="s">
        <v>1080</v>
      </c>
      <c r="F197" s="285">
        <f t="shared" si="112"/>
        <v>34.58</v>
      </c>
      <c r="G197" s="285"/>
      <c r="H197" s="285"/>
      <c r="I197" s="285"/>
      <c r="J197" s="285">
        <v>34.58</v>
      </c>
      <c r="K197" s="285"/>
      <c r="L197" s="285"/>
      <c r="M197" s="285"/>
      <c r="N197" s="285"/>
      <c r="O197" s="285" t="s">
        <v>1081</v>
      </c>
      <c r="P197" s="285">
        <f t="shared" si="113"/>
        <v>34.58</v>
      </c>
      <c r="Q197" s="285">
        <v>34.58</v>
      </c>
      <c r="R197" s="285"/>
      <c r="S197" s="285"/>
      <c r="T197" s="285"/>
      <c r="U197" s="285"/>
      <c r="V197" s="298">
        <f t="shared" si="114"/>
        <v>0.98</v>
      </c>
      <c r="W197" s="298"/>
      <c r="X197" s="298"/>
      <c r="Y197" s="298"/>
      <c r="Z197" s="298">
        <v>0.95</v>
      </c>
      <c r="AA197" s="298"/>
      <c r="AB197" s="298">
        <v>0.03</v>
      </c>
      <c r="AC197" s="298"/>
      <c r="AD197" s="298"/>
      <c r="AE197" s="285" t="s">
        <v>1082</v>
      </c>
      <c r="AF197" s="299">
        <f t="shared" si="115"/>
        <v>0.980000000000003</v>
      </c>
      <c r="AG197" s="299">
        <f t="shared" si="116"/>
        <v>0.950000000000003</v>
      </c>
      <c r="AH197" s="299">
        <f t="shared" si="117"/>
        <v>0</v>
      </c>
      <c r="AI197" s="299">
        <f t="shared" si="118"/>
        <v>0.03</v>
      </c>
      <c r="AJ197" s="299">
        <f t="shared" si="119"/>
        <v>0</v>
      </c>
      <c r="AK197" s="299">
        <f t="shared" si="120"/>
        <v>0</v>
      </c>
      <c r="AL197" s="298">
        <f t="shared" si="121"/>
        <v>35.56</v>
      </c>
      <c r="AM197" s="298">
        <f t="shared" si="122"/>
        <v>0</v>
      </c>
      <c r="AN197" s="298">
        <f t="shared" si="123"/>
        <v>0</v>
      </c>
      <c r="AO197" s="298">
        <f t="shared" si="124"/>
        <v>0</v>
      </c>
      <c r="AP197" s="298">
        <f t="shared" si="125"/>
        <v>35.53</v>
      </c>
      <c r="AQ197" s="298">
        <f t="shared" si="126"/>
        <v>0</v>
      </c>
      <c r="AR197" s="298">
        <f t="shared" si="127"/>
        <v>0.03</v>
      </c>
      <c r="AS197" s="298">
        <f t="shared" si="128"/>
        <v>0</v>
      </c>
      <c r="AT197" s="298">
        <f t="shared" si="129"/>
        <v>0</v>
      </c>
      <c r="AU197" s="285">
        <f t="shared" si="130"/>
        <v>35.56</v>
      </c>
      <c r="AV197" s="285">
        <v>35.53</v>
      </c>
      <c r="AW197" s="285"/>
      <c r="AX197" s="285">
        <v>0.03</v>
      </c>
      <c r="AY197" s="285"/>
      <c r="AZ197" s="285"/>
      <c r="BA197" s="285"/>
    </row>
    <row r="198" s="258" customFormat="1" ht="27" customHeight="1" spans="1:53">
      <c r="A198" s="283">
        <v>191</v>
      </c>
      <c r="B198" s="284" t="s">
        <v>195</v>
      </c>
      <c r="C198" s="284" t="s">
        <v>442</v>
      </c>
      <c r="D198" s="284" t="s">
        <v>450</v>
      </c>
      <c r="E198" s="284" t="s">
        <v>444</v>
      </c>
      <c r="F198" s="285">
        <f t="shared" si="112"/>
        <v>28.71</v>
      </c>
      <c r="G198" s="285"/>
      <c r="H198" s="285"/>
      <c r="I198" s="285"/>
      <c r="J198" s="285">
        <v>28.71</v>
      </c>
      <c r="K198" s="285"/>
      <c r="L198" s="285"/>
      <c r="M198" s="285"/>
      <c r="N198" s="285"/>
      <c r="O198" s="285" t="s">
        <v>1083</v>
      </c>
      <c r="P198" s="285">
        <f t="shared" si="113"/>
        <v>28.71</v>
      </c>
      <c r="Q198" s="285">
        <v>28.71</v>
      </c>
      <c r="R198" s="285"/>
      <c r="S198" s="285"/>
      <c r="T198" s="285"/>
      <c r="U198" s="285"/>
      <c r="V198" s="298">
        <f t="shared" si="114"/>
        <v>-2.108</v>
      </c>
      <c r="W198" s="298"/>
      <c r="X198" s="298"/>
      <c r="Y198" s="298"/>
      <c r="Z198" s="298">
        <v>-2.108</v>
      </c>
      <c r="AA198" s="298"/>
      <c r="AB198" s="298"/>
      <c r="AC198" s="298"/>
      <c r="AD198" s="298"/>
      <c r="AE198" s="285"/>
      <c r="AF198" s="299">
        <f t="shared" si="115"/>
        <v>-2.108</v>
      </c>
      <c r="AG198" s="299">
        <f t="shared" si="116"/>
        <v>-2.108</v>
      </c>
      <c r="AH198" s="299">
        <f t="shared" si="117"/>
        <v>0</v>
      </c>
      <c r="AI198" s="299">
        <f t="shared" si="118"/>
        <v>0</v>
      </c>
      <c r="AJ198" s="299">
        <f t="shared" si="119"/>
        <v>0</v>
      </c>
      <c r="AK198" s="299">
        <f t="shared" si="120"/>
        <v>0</v>
      </c>
      <c r="AL198" s="298">
        <f t="shared" si="121"/>
        <v>26.602</v>
      </c>
      <c r="AM198" s="298">
        <f t="shared" si="122"/>
        <v>0</v>
      </c>
      <c r="AN198" s="298">
        <f t="shared" si="123"/>
        <v>0</v>
      </c>
      <c r="AO198" s="298">
        <f t="shared" si="124"/>
        <v>0</v>
      </c>
      <c r="AP198" s="298">
        <f t="shared" si="125"/>
        <v>26.602</v>
      </c>
      <c r="AQ198" s="298">
        <f t="shared" si="126"/>
        <v>0</v>
      </c>
      <c r="AR198" s="298">
        <f t="shared" si="127"/>
        <v>0</v>
      </c>
      <c r="AS198" s="298">
        <f t="shared" si="128"/>
        <v>0</v>
      </c>
      <c r="AT198" s="298">
        <f t="shared" si="129"/>
        <v>0</v>
      </c>
      <c r="AU198" s="285">
        <f t="shared" si="130"/>
        <v>26.602</v>
      </c>
      <c r="AV198" s="285">
        <v>26.602</v>
      </c>
      <c r="AW198" s="285"/>
      <c r="AX198" s="285"/>
      <c r="AY198" s="285"/>
      <c r="AZ198" s="285"/>
      <c r="BA198" s="285"/>
    </row>
    <row r="199" s="258" customFormat="1" ht="27" customHeight="1" spans="1:53">
      <c r="A199" s="283">
        <v>192</v>
      </c>
      <c r="B199" s="284" t="s">
        <v>195</v>
      </c>
      <c r="C199" s="284" t="s">
        <v>438</v>
      </c>
      <c r="D199" s="284" t="s">
        <v>451</v>
      </c>
      <c r="E199" s="284" t="s">
        <v>452</v>
      </c>
      <c r="F199" s="285">
        <f t="shared" si="112"/>
        <v>0</v>
      </c>
      <c r="G199" s="285"/>
      <c r="H199" s="285"/>
      <c r="I199" s="285"/>
      <c r="J199" s="285"/>
      <c r="K199" s="285"/>
      <c r="L199" s="285"/>
      <c r="M199" s="285"/>
      <c r="N199" s="285"/>
      <c r="O199" s="285"/>
      <c r="P199" s="285">
        <f t="shared" si="113"/>
        <v>0</v>
      </c>
      <c r="Q199" s="285"/>
      <c r="R199" s="285"/>
      <c r="S199" s="285"/>
      <c r="T199" s="285"/>
      <c r="U199" s="285"/>
      <c r="V199" s="298">
        <f t="shared" si="114"/>
        <v>2.82</v>
      </c>
      <c r="W199" s="298"/>
      <c r="X199" s="298"/>
      <c r="Y199" s="298"/>
      <c r="Z199" s="298"/>
      <c r="AA199" s="298"/>
      <c r="AB199" s="298">
        <v>2.82</v>
      </c>
      <c r="AC199" s="298"/>
      <c r="AD199" s="298"/>
      <c r="AE199" s="285" t="s">
        <v>1084</v>
      </c>
      <c r="AF199" s="299">
        <f t="shared" si="115"/>
        <v>2.82</v>
      </c>
      <c r="AG199" s="299">
        <f t="shared" si="116"/>
        <v>0</v>
      </c>
      <c r="AH199" s="299">
        <f t="shared" si="117"/>
        <v>0</v>
      </c>
      <c r="AI199" s="299">
        <f t="shared" si="118"/>
        <v>2.82</v>
      </c>
      <c r="AJ199" s="299">
        <f t="shared" si="119"/>
        <v>0</v>
      </c>
      <c r="AK199" s="299">
        <f t="shared" si="120"/>
        <v>0</v>
      </c>
      <c r="AL199" s="298">
        <f t="shared" si="121"/>
        <v>2.82</v>
      </c>
      <c r="AM199" s="298">
        <f t="shared" si="122"/>
        <v>0</v>
      </c>
      <c r="AN199" s="298">
        <f t="shared" si="123"/>
        <v>0</v>
      </c>
      <c r="AO199" s="298">
        <f t="shared" si="124"/>
        <v>0</v>
      </c>
      <c r="AP199" s="298">
        <f t="shared" si="125"/>
        <v>0</v>
      </c>
      <c r="AQ199" s="298">
        <f t="shared" si="126"/>
        <v>0</v>
      </c>
      <c r="AR199" s="298">
        <f t="shared" si="127"/>
        <v>2.82</v>
      </c>
      <c r="AS199" s="298">
        <f t="shared" si="128"/>
        <v>0</v>
      </c>
      <c r="AT199" s="298">
        <f t="shared" si="129"/>
        <v>0</v>
      </c>
      <c r="AU199" s="285">
        <f t="shared" si="130"/>
        <v>2.82</v>
      </c>
      <c r="AV199" s="285">
        <v>0</v>
      </c>
      <c r="AW199" s="285"/>
      <c r="AX199" s="285">
        <v>2.82</v>
      </c>
      <c r="AY199" s="285"/>
      <c r="AZ199" s="285"/>
      <c r="BA199" s="285"/>
    </row>
    <row r="200" s="258" customFormat="1" ht="27" customHeight="1" spans="1:53">
      <c r="A200" s="283">
        <v>193</v>
      </c>
      <c r="B200" s="284" t="s">
        <v>195</v>
      </c>
      <c r="C200" s="284" t="s">
        <v>442</v>
      </c>
      <c r="D200" s="284" t="s">
        <v>789</v>
      </c>
      <c r="E200" s="284" t="s">
        <v>454</v>
      </c>
      <c r="F200" s="285">
        <f t="shared" si="112"/>
        <v>8</v>
      </c>
      <c r="G200" s="285"/>
      <c r="H200" s="285"/>
      <c r="I200" s="285"/>
      <c r="J200" s="285">
        <v>8</v>
      </c>
      <c r="K200" s="285"/>
      <c r="L200" s="285"/>
      <c r="M200" s="285"/>
      <c r="N200" s="285"/>
      <c r="O200" s="285" t="s">
        <v>1085</v>
      </c>
      <c r="P200" s="285">
        <f t="shared" si="113"/>
        <v>8</v>
      </c>
      <c r="Q200" s="285">
        <v>8</v>
      </c>
      <c r="R200" s="285"/>
      <c r="S200" s="285"/>
      <c r="T200" s="285"/>
      <c r="U200" s="285"/>
      <c r="V200" s="298">
        <f t="shared" si="114"/>
        <v>0</v>
      </c>
      <c r="W200" s="298"/>
      <c r="X200" s="298"/>
      <c r="Y200" s="298"/>
      <c r="Z200" s="298"/>
      <c r="AA200" s="298"/>
      <c r="AB200" s="298"/>
      <c r="AC200" s="298"/>
      <c r="AD200" s="298"/>
      <c r="AE200" s="285"/>
      <c r="AF200" s="299">
        <f t="shared" si="115"/>
        <v>0</v>
      </c>
      <c r="AG200" s="299">
        <f t="shared" si="116"/>
        <v>0</v>
      </c>
      <c r="AH200" s="299">
        <f t="shared" si="117"/>
        <v>0</v>
      </c>
      <c r="AI200" s="299">
        <f t="shared" si="118"/>
        <v>0</v>
      </c>
      <c r="AJ200" s="299">
        <f t="shared" si="119"/>
        <v>0</v>
      </c>
      <c r="AK200" s="299">
        <f t="shared" si="120"/>
        <v>0</v>
      </c>
      <c r="AL200" s="298">
        <f t="shared" si="121"/>
        <v>8</v>
      </c>
      <c r="AM200" s="298">
        <f t="shared" si="122"/>
        <v>0</v>
      </c>
      <c r="AN200" s="298">
        <f t="shared" si="123"/>
        <v>0</v>
      </c>
      <c r="AO200" s="298">
        <f t="shared" si="124"/>
        <v>0</v>
      </c>
      <c r="AP200" s="298">
        <f t="shared" si="125"/>
        <v>8</v>
      </c>
      <c r="AQ200" s="298">
        <f t="shared" si="126"/>
        <v>0</v>
      </c>
      <c r="AR200" s="298">
        <f t="shared" si="127"/>
        <v>0</v>
      </c>
      <c r="AS200" s="298">
        <f t="shared" si="128"/>
        <v>0</v>
      </c>
      <c r="AT200" s="298">
        <f t="shared" si="129"/>
        <v>0</v>
      </c>
      <c r="AU200" s="285">
        <f t="shared" si="130"/>
        <v>8</v>
      </c>
      <c r="AV200" s="285">
        <v>8</v>
      </c>
      <c r="AW200" s="285"/>
      <c r="AX200" s="285"/>
      <c r="AY200" s="285"/>
      <c r="AZ200" s="285"/>
      <c r="BA200" s="285"/>
    </row>
    <row r="201" s="258" customFormat="1" ht="27" customHeight="1" spans="1:53">
      <c r="A201" s="283">
        <v>194</v>
      </c>
      <c r="B201" s="284" t="s">
        <v>195</v>
      </c>
      <c r="C201" s="284" t="s">
        <v>442</v>
      </c>
      <c r="D201" s="284" t="s">
        <v>455</v>
      </c>
      <c r="E201" s="284" t="s">
        <v>479</v>
      </c>
      <c r="F201" s="285">
        <f t="shared" si="112"/>
        <v>35.16</v>
      </c>
      <c r="G201" s="285"/>
      <c r="H201" s="285"/>
      <c r="I201" s="285"/>
      <c r="J201" s="285">
        <v>35.16</v>
      </c>
      <c r="K201" s="285"/>
      <c r="L201" s="285"/>
      <c r="M201" s="285"/>
      <c r="N201" s="285"/>
      <c r="O201" s="285" t="s">
        <v>1086</v>
      </c>
      <c r="P201" s="285">
        <f t="shared" si="113"/>
        <v>35.16</v>
      </c>
      <c r="Q201" s="285">
        <v>35.16</v>
      </c>
      <c r="R201" s="285"/>
      <c r="S201" s="285"/>
      <c r="T201" s="285"/>
      <c r="U201" s="285"/>
      <c r="V201" s="298">
        <f t="shared" ref="V201:V247" si="131">SUM(W201:AD201)</f>
        <v>-0.366</v>
      </c>
      <c r="W201" s="298"/>
      <c r="X201" s="298"/>
      <c r="Y201" s="298"/>
      <c r="Z201" s="298">
        <v>-0.366</v>
      </c>
      <c r="AA201" s="298"/>
      <c r="AB201" s="298"/>
      <c r="AC201" s="298"/>
      <c r="AD201" s="298"/>
      <c r="AE201" s="285"/>
      <c r="AF201" s="299">
        <f t="shared" si="115"/>
        <v>-0.366</v>
      </c>
      <c r="AG201" s="299">
        <f t="shared" si="116"/>
        <v>-0.366</v>
      </c>
      <c r="AH201" s="299">
        <f t="shared" si="117"/>
        <v>0</v>
      </c>
      <c r="AI201" s="299">
        <f t="shared" si="118"/>
        <v>0</v>
      </c>
      <c r="AJ201" s="299">
        <f t="shared" si="119"/>
        <v>0</v>
      </c>
      <c r="AK201" s="299">
        <f t="shared" si="120"/>
        <v>0</v>
      </c>
      <c r="AL201" s="298">
        <f t="shared" si="121"/>
        <v>34.794</v>
      </c>
      <c r="AM201" s="298">
        <f t="shared" si="122"/>
        <v>0</v>
      </c>
      <c r="AN201" s="298">
        <f t="shared" si="123"/>
        <v>0</v>
      </c>
      <c r="AO201" s="298">
        <f t="shared" si="124"/>
        <v>0</v>
      </c>
      <c r="AP201" s="298">
        <f t="shared" si="125"/>
        <v>34.794</v>
      </c>
      <c r="AQ201" s="298">
        <f t="shared" si="126"/>
        <v>0</v>
      </c>
      <c r="AR201" s="298">
        <f t="shared" si="127"/>
        <v>0</v>
      </c>
      <c r="AS201" s="298">
        <f t="shared" si="128"/>
        <v>0</v>
      </c>
      <c r="AT201" s="298">
        <f t="shared" si="129"/>
        <v>0</v>
      </c>
      <c r="AU201" s="285">
        <f t="shared" si="130"/>
        <v>34.794</v>
      </c>
      <c r="AV201" s="285">
        <v>34.794</v>
      </c>
      <c r="AW201" s="285"/>
      <c r="AX201" s="285"/>
      <c r="AY201" s="285"/>
      <c r="AZ201" s="285"/>
      <c r="BA201" s="285"/>
    </row>
    <row r="202" s="258" customFormat="1" ht="27" customHeight="1" spans="1:53">
      <c r="A202" s="283">
        <v>195</v>
      </c>
      <c r="B202" s="284" t="s">
        <v>195</v>
      </c>
      <c r="C202" s="284" t="s">
        <v>442</v>
      </c>
      <c r="D202" s="284" t="s">
        <v>458</v>
      </c>
      <c r="E202" s="284" t="s">
        <v>454</v>
      </c>
      <c r="F202" s="285">
        <f t="shared" si="112"/>
        <v>7.72</v>
      </c>
      <c r="G202" s="285"/>
      <c r="H202" s="285"/>
      <c r="I202" s="285"/>
      <c r="J202" s="285">
        <v>7.72</v>
      </c>
      <c r="K202" s="285"/>
      <c r="L202" s="285"/>
      <c r="M202" s="285"/>
      <c r="N202" s="285"/>
      <c r="O202" s="285" t="s">
        <v>1087</v>
      </c>
      <c r="P202" s="285">
        <f t="shared" si="113"/>
        <v>7.72</v>
      </c>
      <c r="Q202" s="285">
        <v>7.72</v>
      </c>
      <c r="R202" s="285"/>
      <c r="S202" s="285"/>
      <c r="T202" s="285"/>
      <c r="U202" s="285"/>
      <c r="V202" s="298">
        <f t="shared" si="131"/>
        <v>0</v>
      </c>
      <c r="W202" s="298"/>
      <c r="X202" s="298"/>
      <c r="Y202" s="298"/>
      <c r="Z202" s="298"/>
      <c r="AA202" s="298"/>
      <c r="AB202" s="298"/>
      <c r="AC202" s="298"/>
      <c r="AD202" s="298"/>
      <c r="AE202" s="285"/>
      <c r="AF202" s="299">
        <f t="shared" si="115"/>
        <v>0</v>
      </c>
      <c r="AG202" s="299">
        <f t="shared" si="116"/>
        <v>0</v>
      </c>
      <c r="AH202" s="299">
        <f t="shared" si="117"/>
        <v>0</v>
      </c>
      <c r="AI202" s="299">
        <f t="shared" si="118"/>
        <v>0</v>
      </c>
      <c r="AJ202" s="299">
        <f t="shared" si="119"/>
        <v>0</v>
      </c>
      <c r="AK202" s="299">
        <f t="shared" si="120"/>
        <v>0</v>
      </c>
      <c r="AL202" s="298">
        <f t="shared" si="121"/>
        <v>7.72</v>
      </c>
      <c r="AM202" s="298">
        <f t="shared" si="122"/>
        <v>0</v>
      </c>
      <c r="AN202" s="298">
        <f t="shared" si="123"/>
        <v>0</v>
      </c>
      <c r="AO202" s="298">
        <f t="shared" si="124"/>
        <v>0</v>
      </c>
      <c r="AP202" s="298">
        <f t="shared" si="125"/>
        <v>7.72</v>
      </c>
      <c r="AQ202" s="298">
        <f t="shared" si="126"/>
        <v>0</v>
      </c>
      <c r="AR202" s="298">
        <f t="shared" si="127"/>
        <v>0</v>
      </c>
      <c r="AS202" s="298">
        <f t="shared" si="128"/>
        <v>0</v>
      </c>
      <c r="AT202" s="298">
        <f t="shared" si="129"/>
        <v>0</v>
      </c>
      <c r="AU202" s="285">
        <f t="shared" si="130"/>
        <v>7.72</v>
      </c>
      <c r="AV202" s="285">
        <v>7.72</v>
      </c>
      <c r="AW202" s="285"/>
      <c r="AX202" s="285"/>
      <c r="AY202" s="285"/>
      <c r="AZ202" s="285"/>
      <c r="BA202" s="285"/>
    </row>
    <row r="203" s="258" customFormat="1" ht="27" customHeight="1" spans="1:53">
      <c r="A203" s="283">
        <v>196</v>
      </c>
      <c r="B203" s="284" t="s">
        <v>195</v>
      </c>
      <c r="C203" s="284" t="s">
        <v>442</v>
      </c>
      <c r="D203" s="284" t="s">
        <v>459</v>
      </c>
      <c r="E203" s="284" t="s">
        <v>491</v>
      </c>
      <c r="F203" s="285">
        <f t="shared" si="112"/>
        <v>45.95</v>
      </c>
      <c r="G203" s="285"/>
      <c r="H203" s="285"/>
      <c r="I203" s="285"/>
      <c r="J203" s="285">
        <v>45.95</v>
      </c>
      <c r="K203" s="285"/>
      <c r="L203" s="285"/>
      <c r="M203" s="285"/>
      <c r="N203" s="285"/>
      <c r="O203" s="285" t="s">
        <v>1088</v>
      </c>
      <c r="P203" s="285">
        <f t="shared" si="113"/>
        <v>45.95</v>
      </c>
      <c r="Q203" s="285">
        <v>45.95</v>
      </c>
      <c r="R203" s="285"/>
      <c r="S203" s="285"/>
      <c r="T203" s="285"/>
      <c r="U203" s="285"/>
      <c r="V203" s="298">
        <f t="shared" si="131"/>
        <v>-5.099</v>
      </c>
      <c r="W203" s="298"/>
      <c r="X203" s="298"/>
      <c r="Y203" s="298"/>
      <c r="Z203" s="298">
        <v>-5.099</v>
      </c>
      <c r="AA203" s="298"/>
      <c r="AB203" s="298"/>
      <c r="AC203" s="298"/>
      <c r="AD203" s="298"/>
      <c r="AE203" s="285"/>
      <c r="AF203" s="299">
        <f t="shared" si="115"/>
        <v>-5.099</v>
      </c>
      <c r="AG203" s="299">
        <f t="shared" si="116"/>
        <v>-5.099</v>
      </c>
      <c r="AH203" s="299">
        <f t="shared" si="117"/>
        <v>0</v>
      </c>
      <c r="AI203" s="299">
        <f t="shared" si="118"/>
        <v>0</v>
      </c>
      <c r="AJ203" s="299">
        <f t="shared" si="119"/>
        <v>0</v>
      </c>
      <c r="AK203" s="299">
        <f t="shared" si="120"/>
        <v>0</v>
      </c>
      <c r="AL203" s="298">
        <f t="shared" si="121"/>
        <v>40.851</v>
      </c>
      <c r="AM203" s="298">
        <f t="shared" si="122"/>
        <v>0</v>
      </c>
      <c r="AN203" s="298">
        <f t="shared" si="123"/>
        <v>0</v>
      </c>
      <c r="AO203" s="298">
        <f t="shared" si="124"/>
        <v>0</v>
      </c>
      <c r="AP203" s="298">
        <f t="shared" si="125"/>
        <v>40.851</v>
      </c>
      <c r="AQ203" s="298">
        <f t="shared" si="126"/>
        <v>0</v>
      </c>
      <c r="AR203" s="298">
        <f t="shared" si="127"/>
        <v>0</v>
      </c>
      <c r="AS203" s="298">
        <f t="shared" si="128"/>
        <v>0</v>
      </c>
      <c r="AT203" s="298">
        <f t="shared" si="129"/>
        <v>0</v>
      </c>
      <c r="AU203" s="285">
        <f t="shared" si="130"/>
        <v>40.851</v>
      </c>
      <c r="AV203" s="285">
        <v>40.851</v>
      </c>
      <c r="AW203" s="285"/>
      <c r="AX203" s="285"/>
      <c r="AY203" s="285"/>
      <c r="AZ203" s="285"/>
      <c r="BA203" s="285"/>
    </row>
    <row r="204" s="258" customFormat="1" ht="27" customHeight="1" spans="1:53">
      <c r="A204" s="283">
        <v>197</v>
      </c>
      <c r="B204" s="284" t="s">
        <v>195</v>
      </c>
      <c r="C204" s="284" t="s">
        <v>442</v>
      </c>
      <c r="D204" s="284" t="s">
        <v>460</v>
      </c>
      <c r="E204" s="284" t="s">
        <v>454</v>
      </c>
      <c r="F204" s="285">
        <f t="shared" si="112"/>
        <v>8.36</v>
      </c>
      <c r="G204" s="285"/>
      <c r="H204" s="285"/>
      <c r="I204" s="285"/>
      <c r="J204" s="285">
        <v>8.36</v>
      </c>
      <c r="K204" s="285"/>
      <c r="L204" s="285"/>
      <c r="M204" s="285"/>
      <c r="N204" s="285"/>
      <c r="O204" s="285" t="s">
        <v>1089</v>
      </c>
      <c r="P204" s="285">
        <f t="shared" si="113"/>
        <v>8.36</v>
      </c>
      <c r="Q204" s="285">
        <v>8.36</v>
      </c>
      <c r="R204" s="285"/>
      <c r="S204" s="285"/>
      <c r="T204" s="285"/>
      <c r="U204" s="285"/>
      <c r="V204" s="298">
        <f t="shared" si="131"/>
        <v>0</v>
      </c>
      <c r="W204" s="298"/>
      <c r="X204" s="298"/>
      <c r="Y204" s="298"/>
      <c r="Z204" s="298"/>
      <c r="AA204" s="298"/>
      <c r="AB204" s="298"/>
      <c r="AC204" s="298"/>
      <c r="AD204" s="298"/>
      <c r="AE204" s="285"/>
      <c r="AF204" s="299">
        <f t="shared" si="115"/>
        <v>0</v>
      </c>
      <c r="AG204" s="299">
        <f t="shared" si="116"/>
        <v>0</v>
      </c>
      <c r="AH204" s="299">
        <f t="shared" si="117"/>
        <v>0</v>
      </c>
      <c r="AI204" s="299">
        <f t="shared" si="118"/>
        <v>0</v>
      </c>
      <c r="AJ204" s="299">
        <f t="shared" si="119"/>
        <v>0</v>
      </c>
      <c r="AK204" s="299">
        <f t="shared" si="120"/>
        <v>0</v>
      </c>
      <c r="AL204" s="298">
        <f t="shared" si="121"/>
        <v>8.36</v>
      </c>
      <c r="AM204" s="298">
        <f t="shared" si="122"/>
        <v>0</v>
      </c>
      <c r="AN204" s="298">
        <f t="shared" si="123"/>
        <v>0</v>
      </c>
      <c r="AO204" s="298">
        <f t="shared" si="124"/>
        <v>0</v>
      </c>
      <c r="AP204" s="298">
        <f t="shared" si="125"/>
        <v>8.36</v>
      </c>
      <c r="AQ204" s="298">
        <f t="shared" si="126"/>
        <v>0</v>
      </c>
      <c r="AR204" s="298">
        <f t="shared" si="127"/>
        <v>0</v>
      </c>
      <c r="AS204" s="298">
        <f t="shared" si="128"/>
        <v>0</v>
      </c>
      <c r="AT204" s="298">
        <f t="shared" si="129"/>
        <v>0</v>
      </c>
      <c r="AU204" s="285">
        <f t="shared" si="130"/>
        <v>8.36</v>
      </c>
      <c r="AV204" s="285">
        <v>8.36</v>
      </c>
      <c r="AW204" s="285"/>
      <c r="AX204" s="285"/>
      <c r="AY204" s="285"/>
      <c r="AZ204" s="285"/>
      <c r="BA204" s="285"/>
    </row>
    <row r="205" s="258" customFormat="1" ht="27" customHeight="1" spans="1:53">
      <c r="A205" s="283">
        <v>198</v>
      </c>
      <c r="B205" s="284" t="s">
        <v>195</v>
      </c>
      <c r="C205" s="284" t="s">
        <v>442</v>
      </c>
      <c r="D205" s="284" t="s">
        <v>461</v>
      </c>
      <c r="E205" s="284" t="s">
        <v>454</v>
      </c>
      <c r="F205" s="285">
        <f t="shared" si="112"/>
        <v>10.58</v>
      </c>
      <c r="G205" s="285"/>
      <c r="H205" s="285"/>
      <c r="I205" s="285"/>
      <c r="J205" s="285">
        <v>10.58</v>
      </c>
      <c r="K205" s="285"/>
      <c r="L205" s="285"/>
      <c r="M205" s="285"/>
      <c r="N205" s="285"/>
      <c r="O205" s="285" t="s">
        <v>1090</v>
      </c>
      <c r="P205" s="285">
        <f t="shared" si="113"/>
        <v>10.58</v>
      </c>
      <c r="Q205" s="285">
        <v>10.58</v>
      </c>
      <c r="R205" s="285"/>
      <c r="S205" s="285"/>
      <c r="T205" s="285"/>
      <c r="U205" s="285"/>
      <c r="V205" s="298">
        <f t="shared" si="131"/>
        <v>0</v>
      </c>
      <c r="W205" s="298"/>
      <c r="X205" s="298"/>
      <c r="Y205" s="298"/>
      <c r="Z205" s="298"/>
      <c r="AA205" s="298"/>
      <c r="AB205" s="298"/>
      <c r="AC205" s="298"/>
      <c r="AD205" s="298"/>
      <c r="AE205" s="285"/>
      <c r="AF205" s="299">
        <f t="shared" si="115"/>
        <v>0</v>
      </c>
      <c r="AG205" s="299">
        <f t="shared" si="116"/>
        <v>0</v>
      </c>
      <c r="AH205" s="299">
        <f t="shared" si="117"/>
        <v>0</v>
      </c>
      <c r="AI205" s="299">
        <f t="shared" si="118"/>
        <v>0</v>
      </c>
      <c r="AJ205" s="299">
        <f t="shared" si="119"/>
        <v>0</v>
      </c>
      <c r="AK205" s="299">
        <f t="shared" si="120"/>
        <v>0</v>
      </c>
      <c r="AL205" s="298">
        <f t="shared" si="121"/>
        <v>10.58</v>
      </c>
      <c r="AM205" s="298">
        <f t="shared" si="122"/>
        <v>0</v>
      </c>
      <c r="AN205" s="298">
        <f t="shared" si="123"/>
        <v>0</v>
      </c>
      <c r="AO205" s="298">
        <f t="shared" si="124"/>
        <v>0</v>
      </c>
      <c r="AP205" s="298">
        <f t="shared" si="125"/>
        <v>10.58</v>
      </c>
      <c r="AQ205" s="298">
        <f t="shared" si="126"/>
        <v>0</v>
      </c>
      <c r="AR205" s="298">
        <f t="shared" si="127"/>
        <v>0</v>
      </c>
      <c r="AS205" s="298">
        <f t="shared" si="128"/>
        <v>0</v>
      </c>
      <c r="AT205" s="298">
        <f t="shared" si="129"/>
        <v>0</v>
      </c>
      <c r="AU205" s="285">
        <f t="shared" si="130"/>
        <v>10.58</v>
      </c>
      <c r="AV205" s="285">
        <v>10.58</v>
      </c>
      <c r="AW205" s="285"/>
      <c r="AX205" s="285"/>
      <c r="AY205" s="285"/>
      <c r="AZ205" s="285"/>
      <c r="BA205" s="285"/>
    </row>
    <row r="206" s="258" customFormat="1" ht="27" customHeight="1" spans="1:53">
      <c r="A206" s="283">
        <v>199</v>
      </c>
      <c r="B206" s="284" t="s">
        <v>195</v>
      </c>
      <c r="C206" s="284" t="s">
        <v>442</v>
      </c>
      <c r="D206" s="284" t="s">
        <v>462</v>
      </c>
      <c r="E206" s="284" t="s">
        <v>479</v>
      </c>
      <c r="F206" s="285">
        <f t="shared" si="112"/>
        <v>23.23</v>
      </c>
      <c r="G206" s="285"/>
      <c r="H206" s="285"/>
      <c r="I206" s="285"/>
      <c r="J206" s="285">
        <v>23.23</v>
      </c>
      <c r="K206" s="285"/>
      <c r="L206" s="285"/>
      <c r="M206" s="285"/>
      <c r="N206" s="285"/>
      <c r="O206" s="285" t="s">
        <v>1091</v>
      </c>
      <c r="P206" s="285">
        <f t="shared" si="113"/>
        <v>23.23</v>
      </c>
      <c r="Q206" s="285">
        <v>23.23</v>
      </c>
      <c r="R206" s="285"/>
      <c r="S206" s="285"/>
      <c r="T206" s="285"/>
      <c r="U206" s="285"/>
      <c r="V206" s="298">
        <f t="shared" si="131"/>
        <v>-0.964</v>
      </c>
      <c r="W206" s="298"/>
      <c r="X206" s="298"/>
      <c r="Y206" s="298"/>
      <c r="Z206" s="298">
        <v>-0.964</v>
      </c>
      <c r="AA206" s="298"/>
      <c r="AB206" s="298"/>
      <c r="AC206" s="298"/>
      <c r="AD206" s="298"/>
      <c r="AE206" s="285"/>
      <c r="AF206" s="299">
        <f t="shared" si="115"/>
        <v>-0.964000000000002</v>
      </c>
      <c r="AG206" s="299">
        <f t="shared" si="116"/>
        <v>-0.964000000000002</v>
      </c>
      <c r="AH206" s="299">
        <f t="shared" si="117"/>
        <v>0</v>
      </c>
      <c r="AI206" s="299">
        <f t="shared" si="118"/>
        <v>0</v>
      </c>
      <c r="AJ206" s="299">
        <f t="shared" si="119"/>
        <v>0</v>
      </c>
      <c r="AK206" s="299">
        <f t="shared" si="120"/>
        <v>0</v>
      </c>
      <c r="AL206" s="298">
        <f t="shared" si="121"/>
        <v>22.266</v>
      </c>
      <c r="AM206" s="298">
        <f t="shared" si="122"/>
        <v>0</v>
      </c>
      <c r="AN206" s="298">
        <f t="shared" si="123"/>
        <v>0</v>
      </c>
      <c r="AO206" s="298">
        <f t="shared" si="124"/>
        <v>0</v>
      </c>
      <c r="AP206" s="298">
        <f t="shared" si="125"/>
        <v>22.266</v>
      </c>
      <c r="AQ206" s="298">
        <f t="shared" si="126"/>
        <v>0</v>
      </c>
      <c r="AR206" s="298">
        <f t="shared" si="127"/>
        <v>0</v>
      </c>
      <c r="AS206" s="298">
        <f t="shared" si="128"/>
        <v>0</v>
      </c>
      <c r="AT206" s="298">
        <f t="shared" si="129"/>
        <v>0</v>
      </c>
      <c r="AU206" s="285">
        <f t="shared" si="130"/>
        <v>22.266</v>
      </c>
      <c r="AV206" s="285">
        <v>22.266</v>
      </c>
      <c r="AW206" s="285"/>
      <c r="AX206" s="285"/>
      <c r="AY206" s="285"/>
      <c r="AZ206" s="285"/>
      <c r="BA206" s="285"/>
    </row>
    <row r="207" s="258" customFormat="1" ht="27" customHeight="1" spans="1:53">
      <c r="A207" s="283">
        <v>200</v>
      </c>
      <c r="B207" s="284" t="s">
        <v>195</v>
      </c>
      <c r="C207" s="284" t="s">
        <v>442</v>
      </c>
      <c r="D207" s="284" t="s">
        <v>463</v>
      </c>
      <c r="E207" s="284" t="s">
        <v>479</v>
      </c>
      <c r="F207" s="285">
        <f t="shared" si="112"/>
        <v>103.85</v>
      </c>
      <c r="G207" s="285"/>
      <c r="H207" s="285"/>
      <c r="I207" s="285"/>
      <c r="J207" s="285">
        <v>103.85</v>
      </c>
      <c r="K207" s="285"/>
      <c r="L207" s="285"/>
      <c r="M207" s="285"/>
      <c r="N207" s="285"/>
      <c r="O207" s="285" t="s">
        <v>1092</v>
      </c>
      <c r="P207" s="285">
        <f t="shared" si="113"/>
        <v>103.85</v>
      </c>
      <c r="Q207" s="285">
        <v>103.85</v>
      </c>
      <c r="R207" s="285"/>
      <c r="S207" s="285"/>
      <c r="T207" s="285"/>
      <c r="U207" s="285"/>
      <c r="V207" s="298">
        <f t="shared" si="131"/>
        <v>-5.3623</v>
      </c>
      <c r="W207" s="298"/>
      <c r="X207" s="298"/>
      <c r="Y207" s="298"/>
      <c r="Z207" s="298">
        <v>-5.3623</v>
      </c>
      <c r="AA207" s="298"/>
      <c r="AB207" s="298"/>
      <c r="AC207" s="298"/>
      <c r="AD207" s="298"/>
      <c r="AE207" s="285"/>
      <c r="AF207" s="299">
        <f t="shared" si="115"/>
        <v>-5.36229999999999</v>
      </c>
      <c r="AG207" s="299">
        <f t="shared" si="116"/>
        <v>-5.36229999999999</v>
      </c>
      <c r="AH207" s="299">
        <f t="shared" si="117"/>
        <v>0</v>
      </c>
      <c r="AI207" s="299">
        <f t="shared" si="118"/>
        <v>0</v>
      </c>
      <c r="AJ207" s="299">
        <f t="shared" si="119"/>
        <v>0</v>
      </c>
      <c r="AK207" s="299">
        <f t="shared" si="120"/>
        <v>0</v>
      </c>
      <c r="AL207" s="298">
        <f t="shared" si="121"/>
        <v>98.4877</v>
      </c>
      <c r="AM207" s="298">
        <f t="shared" si="122"/>
        <v>0</v>
      </c>
      <c r="AN207" s="298">
        <f t="shared" si="123"/>
        <v>0</v>
      </c>
      <c r="AO207" s="298">
        <f t="shared" si="124"/>
        <v>0</v>
      </c>
      <c r="AP207" s="298">
        <f t="shared" si="125"/>
        <v>98.4877</v>
      </c>
      <c r="AQ207" s="298">
        <f t="shared" si="126"/>
        <v>0</v>
      </c>
      <c r="AR207" s="298">
        <f t="shared" si="127"/>
        <v>0</v>
      </c>
      <c r="AS207" s="298">
        <f t="shared" si="128"/>
        <v>0</v>
      </c>
      <c r="AT207" s="298">
        <f t="shared" si="129"/>
        <v>0</v>
      </c>
      <c r="AU207" s="285">
        <f t="shared" si="130"/>
        <v>98.4877</v>
      </c>
      <c r="AV207" s="285">
        <v>98.4877</v>
      </c>
      <c r="AW207" s="285"/>
      <c r="AX207" s="285"/>
      <c r="AY207" s="285"/>
      <c r="AZ207" s="285"/>
      <c r="BA207" s="285"/>
    </row>
    <row r="208" s="258" customFormat="1" ht="27" customHeight="1" spans="1:53">
      <c r="A208" s="283">
        <v>201</v>
      </c>
      <c r="B208" s="284" t="s">
        <v>195</v>
      </c>
      <c r="C208" s="284" t="s">
        <v>442</v>
      </c>
      <c r="D208" s="284" t="s">
        <v>464</v>
      </c>
      <c r="E208" s="284" t="s">
        <v>479</v>
      </c>
      <c r="F208" s="285">
        <f t="shared" si="112"/>
        <v>244.04</v>
      </c>
      <c r="G208" s="285"/>
      <c r="H208" s="285"/>
      <c r="I208" s="285"/>
      <c r="J208" s="285">
        <v>244.04</v>
      </c>
      <c r="K208" s="285"/>
      <c r="L208" s="285"/>
      <c r="M208" s="285"/>
      <c r="N208" s="285"/>
      <c r="O208" s="285" t="s">
        <v>1093</v>
      </c>
      <c r="P208" s="285">
        <f t="shared" si="113"/>
        <v>244.04</v>
      </c>
      <c r="Q208" s="285">
        <v>244.04</v>
      </c>
      <c r="R208" s="285"/>
      <c r="S208" s="285"/>
      <c r="T208" s="285"/>
      <c r="U208" s="285"/>
      <c r="V208" s="298">
        <f t="shared" si="131"/>
        <v>-22.874</v>
      </c>
      <c r="W208" s="298"/>
      <c r="X208" s="298"/>
      <c r="Y208" s="298"/>
      <c r="Z208" s="298">
        <v>-22.874</v>
      </c>
      <c r="AA208" s="298"/>
      <c r="AB208" s="298"/>
      <c r="AC208" s="298"/>
      <c r="AD208" s="298"/>
      <c r="AE208" s="285"/>
      <c r="AF208" s="299">
        <f t="shared" si="115"/>
        <v>-22.874</v>
      </c>
      <c r="AG208" s="299">
        <f t="shared" si="116"/>
        <v>-22.874</v>
      </c>
      <c r="AH208" s="299">
        <f t="shared" si="117"/>
        <v>0</v>
      </c>
      <c r="AI208" s="299">
        <f t="shared" si="118"/>
        <v>0</v>
      </c>
      <c r="AJ208" s="299">
        <f t="shared" si="119"/>
        <v>0</v>
      </c>
      <c r="AK208" s="299">
        <f t="shared" si="120"/>
        <v>0</v>
      </c>
      <c r="AL208" s="298">
        <f t="shared" si="121"/>
        <v>221.166</v>
      </c>
      <c r="AM208" s="298">
        <f t="shared" si="122"/>
        <v>0</v>
      </c>
      <c r="AN208" s="298">
        <f t="shared" si="123"/>
        <v>0</v>
      </c>
      <c r="AO208" s="298">
        <f t="shared" si="124"/>
        <v>0</v>
      </c>
      <c r="AP208" s="298">
        <f t="shared" si="125"/>
        <v>221.166</v>
      </c>
      <c r="AQ208" s="298">
        <f t="shared" si="126"/>
        <v>0</v>
      </c>
      <c r="AR208" s="298">
        <f t="shared" si="127"/>
        <v>0</v>
      </c>
      <c r="AS208" s="298">
        <f t="shared" si="128"/>
        <v>0</v>
      </c>
      <c r="AT208" s="298">
        <f t="shared" si="129"/>
        <v>0</v>
      </c>
      <c r="AU208" s="285">
        <f t="shared" si="130"/>
        <v>221.166</v>
      </c>
      <c r="AV208" s="285">
        <v>221.166</v>
      </c>
      <c r="AW208" s="285"/>
      <c r="AX208" s="285"/>
      <c r="AY208" s="285"/>
      <c r="AZ208" s="285"/>
      <c r="BA208" s="285"/>
    </row>
    <row r="209" s="258" customFormat="1" ht="27" customHeight="1" spans="1:53">
      <c r="A209" s="283">
        <v>202</v>
      </c>
      <c r="B209" s="284" t="s">
        <v>195</v>
      </c>
      <c r="C209" s="284" t="s">
        <v>442</v>
      </c>
      <c r="D209" s="284" t="s">
        <v>465</v>
      </c>
      <c r="E209" s="284" t="s">
        <v>454</v>
      </c>
      <c r="F209" s="285">
        <f t="shared" si="112"/>
        <v>29.23</v>
      </c>
      <c r="G209" s="285"/>
      <c r="H209" s="285"/>
      <c r="I209" s="285"/>
      <c r="J209" s="285">
        <v>29.23</v>
      </c>
      <c r="K209" s="285"/>
      <c r="L209" s="285"/>
      <c r="M209" s="285"/>
      <c r="N209" s="285"/>
      <c r="O209" s="304" t="s">
        <v>1094</v>
      </c>
      <c r="P209" s="285">
        <f t="shared" si="113"/>
        <v>29.23</v>
      </c>
      <c r="Q209" s="285">
        <v>29.23</v>
      </c>
      <c r="R209" s="285"/>
      <c r="S209" s="285"/>
      <c r="T209" s="285"/>
      <c r="U209" s="285"/>
      <c r="V209" s="298">
        <f t="shared" si="131"/>
        <v>0</v>
      </c>
      <c r="W209" s="298"/>
      <c r="X209" s="298"/>
      <c r="Y209" s="298"/>
      <c r="Z209" s="298"/>
      <c r="AA209" s="298"/>
      <c r="AB209" s="298"/>
      <c r="AC209" s="298"/>
      <c r="AD209" s="298"/>
      <c r="AE209" s="285"/>
      <c r="AF209" s="299">
        <f t="shared" si="115"/>
        <v>0</v>
      </c>
      <c r="AG209" s="299">
        <f t="shared" si="116"/>
        <v>0</v>
      </c>
      <c r="AH209" s="299">
        <f t="shared" si="117"/>
        <v>0</v>
      </c>
      <c r="AI209" s="299">
        <f t="shared" si="118"/>
        <v>0</v>
      </c>
      <c r="AJ209" s="299">
        <f t="shared" si="119"/>
        <v>0</v>
      </c>
      <c r="AK209" s="299">
        <f t="shared" si="120"/>
        <v>0</v>
      </c>
      <c r="AL209" s="298">
        <f t="shared" si="121"/>
        <v>29.23</v>
      </c>
      <c r="AM209" s="298">
        <f t="shared" si="122"/>
        <v>0</v>
      </c>
      <c r="AN209" s="298">
        <f t="shared" si="123"/>
        <v>0</v>
      </c>
      <c r="AO209" s="298">
        <f t="shared" si="124"/>
        <v>0</v>
      </c>
      <c r="AP209" s="298">
        <f t="shared" si="125"/>
        <v>29.23</v>
      </c>
      <c r="AQ209" s="298">
        <f t="shared" si="126"/>
        <v>0</v>
      </c>
      <c r="AR209" s="298">
        <f t="shared" si="127"/>
        <v>0</v>
      </c>
      <c r="AS209" s="298">
        <f t="shared" si="128"/>
        <v>0</v>
      </c>
      <c r="AT209" s="298">
        <f t="shared" si="129"/>
        <v>0</v>
      </c>
      <c r="AU209" s="285">
        <f t="shared" si="130"/>
        <v>29.23</v>
      </c>
      <c r="AV209" s="285">
        <v>29.23</v>
      </c>
      <c r="AW209" s="285"/>
      <c r="AX209" s="285"/>
      <c r="AY209" s="285"/>
      <c r="AZ209" s="285"/>
      <c r="BA209" s="285"/>
    </row>
    <row r="210" s="258" customFormat="1" ht="27" customHeight="1" spans="1:53">
      <c r="A210" s="283">
        <v>203</v>
      </c>
      <c r="B210" s="284" t="s">
        <v>195</v>
      </c>
      <c r="C210" s="284" t="s">
        <v>442</v>
      </c>
      <c r="D210" s="284" t="s">
        <v>466</v>
      </c>
      <c r="E210" s="284" t="s">
        <v>454</v>
      </c>
      <c r="F210" s="285">
        <f t="shared" si="112"/>
        <v>14.41</v>
      </c>
      <c r="G210" s="285"/>
      <c r="H210" s="285"/>
      <c r="I210" s="285"/>
      <c r="J210" s="285">
        <v>14.41</v>
      </c>
      <c r="K210" s="285"/>
      <c r="L210" s="285"/>
      <c r="M210" s="285"/>
      <c r="N210" s="285"/>
      <c r="O210" s="285" t="s">
        <v>1095</v>
      </c>
      <c r="P210" s="285">
        <f t="shared" si="113"/>
        <v>14.41</v>
      </c>
      <c r="Q210" s="285">
        <v>14.41</v>
      </c>
      <c r="R210" s="285"/>
      <c r="S210" s="285"/>
      <c r="T210" s="285"/>
      <c r="U210" s="285"/>
      <c r="V210" s="298">
        <f t="shared" si="131"/>
        <v>0</v>
      </c>
      <c r="W210" s="298"/>
      <c r="X210" s="298"/>
      <c r="Y210" s="298"/>
      <c r="Z210" s="298"/>
      <c r="AA210" s="298"/>
      <c r="AB210" s="298"/>
      <c r="AC210" s="298"/>
      <c r="AD210" s="298"/>
      <c r="AE210" s="285"/>
      <c r="AF210" s="299">
        <f t="shared" si="115"/>
        <v>0</v>
      </c>
      <c r="AG210" s="299">
        <f t="shared" si="116"/>
        <v>0</v>
      </c>
      <c r="AH210" s="299">
        <f t="shared" si="117"/>
        <v>0</v>
      </c>
      <c r="AI210" s="299">
        <f t="shared" si="118"/>
        <v>0</v>
      </c>
      <c r="AJ210" s="299">
        <f t="shared" si="119"/>
        <v>0</v>
      </c>
      <c r="AK210" s="299">
        <f t="shared" si="120"/>
        <v>0</v>
      </c>
      <c r="AL210" s="298">
        <f t="shared" si="121"/>
        <v>14.41</v>
      </c>
      <c r="AM210" s="298">
        <f t="shared" si="122"/>
        <v>0</v>
      </c>
      <c r="AN210" s="298">
        <f t="shared" si="123"/>
        <v>0</v>
      </c>
      <c r="AO210" s="298">
        <f t="shared" si="124"/>
        <v>0</v>
      </c>
      <c r="AP210" s="298">
        <f t="shared" si="125"/>
        <v>14.41</v>
      </c>
      <c r="AQ210" s="298">
        <f t="shared" si="126"/>
        <v>0</v>
      </c>
      <c r="AR210" s="298">
        <f t="shared" si="127"/>
        <v>0</v>
      </c>
      <c r="AS210" s="298">
        <f t="shared" si="128"/>
        <v>0</v>
      </c>
      <c r="AT210" s="298">
        <f t="shared" si="129"/>
        <v>0</v>
      </c>
      <c r="AU210" s="285">
        <f t="shared" si="130"/>
        <v>14.41</v>
      </c>
      <c r="AV210" s="285">
        <v>14.41</v>
      </c>
      <c r="AW210" s="285"/>
      <c r="AX210" s="285"/>
      <c r="AY210" s="285"/>
      <c r="AZ210" s="285"/>
      <c r="BA210" s="285"/>
    </row>
    <row r="211" s="258" customFormat="1" ht="27" customHeight="1" spans="1:53">
      <c r="A211" s="283">
        <v>204</v>
      </c>
      <c r="B211" s="284" t="s">
        <v>195</v>
      </c>
      <c r="C211" s="284" t="s">
        <v>442</v>
      </c>
      <c r="D211" s="284" t="s">
        <v>467</v>
      </c>
      <c r="E211" s="284" t="s">
        <v>454</v>
      </c>
      <c r="F211" s="285">
        <f t="shared" si="112"/>
        <v>21.65</v>
      </c>
      <c r="G211" s="285"/>
      <c r="H211" s="285"/>
      <c r="I211" s="285"/>
      <c r="J211" s="285">
        <v>21.65</v>
      </c>
      <c r="K211" s="285"/>
      <c r="L211" s="285"/>
      <c r="M211" s="285"/>
      <c r="N211" s="285"/>
      <c r="O211" s="285" t="s">
        <v>1096</v>
      </c>
      <c r="P211" s="285">
        <f t="shared" si="113"/>
        <v>21.65</v>
      </c>
      <c r="Q211" s="285">
        <v>21.65</v>
      </c>
      <c r="R211" s="285"/>
      <c r="S211" s="285"/>
      <c r="T211" s="285"/>
      <c r="U211" s="285"/>
      <c r="V211" s="298">
        <f t="shared" si="131"/>
        <v>0</v>
      </c>
      <c r="W211" s="298"/>
      <c r="X211" s="298"/>
      <c r="Y211" s="298"/>
      <c r="Z211" s="298"/>
      <c r="AA211" s="298"/>
      <c r="AB211" s="298"/>
      <c r="AC211" s="298"/>
      <c r="AD211" s="298"/>
      <c r="AE211" s="285"/>
      <c r="AF211" s="299">
        <f t="shared" si="115"/>
        <v>0</v>
      </c>
      <c r="AG211" s="299">
        <f t="shared" si="116"/>
        <v>0</v>
      </c>
      <c r="AH211" s="299">
        <f t="shared" si="117"/>
        <v>0</v>
      </c>
      <c r="AI211" s="299">
        <f t="shared" si="118"/>
        <v>0</v>
      </c>
      <c r="AJ211" s="299">
        <f t="shared" si="119"/>
        <v>0</v>
      </c>
      <c r="AK211" s="299">
        <f t="shared" si="120"/>
        <v>0</v>
      </c>
      <c r="AL211" s="298">
        <f t="shared" si="121"/>
        <v>21.65</v>
      </c>
      <c r="AM211" s="298">
        <f t="shared" si="122"/>
        <v>0</v>
      </c>
      <c r="AN211" s="298">
        <f t="shared" si="123"/>
        <v>0</v>
      </c>
      <c r="AO211" s="298">
        <f t="shared" si="124"/>
        <v>0</v>
      </c>
      <c r="AP211" s="298">
        <f t="shared" si="125"/>
        <v>21.65</v>
      </c>
      <c r="AQ211" s="298">
        <f t="shared" si="126"/>
        <v>0</v>
      </c>
      <c r="AR211" s="298">
        <f t="shared" si="127"/>
        <v>0</v>
      </c>
      <c r="AS211" s="298">
        <f t="shared" si="128"/>
        <v>0</v>
      </c>
      <c r="AT211" s="298">
        <f t="shared" si="129"/>
        <v>0</v>
      </c>
      <c r="AU211" s="285">
        <f t="shared" si="130"/>
        <v>21.65</v>
      </c>
      <c r="AV211" s="285">
        <v>21.65</v>
      </c>
      <c r="AW211" s="285"/>
      <c r="AX211" s="285"/>
      <c r="AY211" s="285"/>
      <c r="AZ211" s="285"/>
      <c r="BA211" s="285"/>
    </row>
    <row r="212" s="258" customFormat="1" ht="27" customHeight="1" spans="1:53">
      <c r="A212" s="283">
        <v>205</v>
      </c>
      <c r="B212" s="284" t="s">
        <v>195</v>
      </c>
      <c r="C212" s="284" t="s">
        <v>442</v>
      </c>
      <c r="D212" s="284" t="s">
        <v>468</v>
      </c>
      <c r="E212" s="284" t="s">
        <v>491</v>
      </c>
      <c r="F212" s="285">
        <f t="shared" si="112"/>
        <v>149.12</v>
      </c>
      <c r="G212" s="285"/>
      <c r="H212" s="285"/>
      <c r="I212" s="285"/>
      <c r="J212" s="285">
        <v>149.12</v>
      </c>
      <c r="K212" s="285"/>
      <c r="L212" s="285"/>
      <c r="M212" s="285"/>
      <c r="N212" s="285"/>
      <c r="O212" s="285" t="s">
        <v>1097</v>
      </c>
      <c r="P212" s="285">
        <f t="shared" si="113"/>
        <v>149.12</v>
      </c>
      <c r="Q212" s="285">
        <v>149.12</v>
      </c>
      <c r="R212" s="285"/>
      <c r="S212" s="285"/>
      <c r="T212" s="285"/>
      <c r="U212" s="285"/>
      <c r="V212" s="298">
        <f t="shared" si="131"/>
        <v>-12.141</v>
      </c>
      <c r="W212" s="298"/>
      <c r="X212" s="298"/>
      <c r="Y212" s="298"/>
      <c r="Z212" s="298">
        <v>-12.141</v>
      </c>
      <c r="AA212" s="298"/>
      <c r="AB212" s="298"/>
      <c r="AC212" s="298"/>
      <c r="AD212" s="298"/>
      <c r="AE212" s="285"/>
      <c r="AF212" s="299">
        <f t="shared" si="115"/>
        <v>-12.141</v>
      </c>
      <c r="AG212" s="299">
        <f t="shared" si="116"/>
        <v>-12.141</v>
      </c>
      <c r="AH212" s="299">
        <f t="shared" si="117"/>
        <v>0</v>
      </c>
      <c r="AI212" s="299">
        <f t="shared" si="118"/>
        <v>0</v>
      </c>
      <c r="AJ212" s="299">
        <f t="shared" si="119"/>
        <v>0</v>
      </c>
      <c r="AK212" s="299">
        <f t="shared" si="120"/>
        <v>0</v>
      </c>
      <c r="AL212" s="298">
        <f t="shared" si="121"/>
        <v>136.979</v>
      </c>
      <c r="AM212" s="298">
        <f t="shared" si="122"/>
        <v>0</v>
      </c>
      <c r="AN212" s="298">
        <f t="shared" si="123"/>
        <v>0</v>
      </c>
      <c r="AO212" s="298">
        <f t="shared" si="124"/>
        <v>0</v>
      </c>
      <c r="AP212" s="298">
        <f t="shared" si="125"/>
        <v>136.979</v>
      </c>
      <c r="AQ212" s="298">
        <f t="shared" si="126"/>
        <v>0</v>
      </c>
      <c r="AR212" s="298">
        <f t="shared" si="127"/>
        <v>0</v>
      </c>
      <c r="AS212" s="298">
        <f t="shared" si="128"/>
        <v>0</v>
      </c>
      <c r="AT212" s="298">
        <f t="shared" si="129"/>
        <v>0</v>
      </c>
      <c r="AU212" s="285">
        <f t="shared" si="130"/>
        <v>136.979</v>
      </c>
      <c r="AV212" s="285">
        <v>136.979</v>
      </c>
      <c r="AW212" s="285"/>
      <c r="AX212" s="285"/>
      <c r="AY212" s="285"/>
      <c r="AZ212" s="285"/>
      <c r="BA212" s="285"/>
    </row>
    <row r="213" s="258" customFormat="1" ht="27" customHeight="1" spans="1:53">
      <c r="A213" s="283">
        <v>206</v>
      </c>
      <c r="B213" s="284" t="s">
        <v>195</v>
      </c>
      <c r="C213" s="284" t="s">
        <v>442</v>
      </c>
      <c r="D213" s="284" t="s">
        <v>469</v>
      </c>
      <c r="E213" s="284" t="s">
        <v>454</v>
      </c>
      <c r="F213" s="285">
        <f t="shared" si="112"/>
        <v>14.62</v>
      </c>
      <c r="G213" s="285"/>
      <c r="H213" s="285"/>
      <c r="I213" s="285"/>
      <c r="J213" s="285">
        <v>14.62</v>
      </c>
      <c r="K213" s="285"/>
      <c r="L213" s="285"/>
      <c r="M213" s="285"/>
      <c r="N213" s="285"/>
      <c r="O213" s="285" t="s">
        <v>1098</v>
      </c>
      <c r="P213" s="285">
        <f t="shared" si="113"/>
        <v>14.62</v>
      </c>
      <c r="Q213" s="285">
        <v>14.62</v>
      </c>
      <c r="R213" s="285"/>
      <c r="S213" s="285"/>
      <c r="T213" s="285"/>
      <c r="U213" s="285"/>
      <c r="V213" s="298">
        <f t="shared" si="131"/>
        <v>0</v>
      </c>
      <c r="W213" s="298"/>
      <c r="X213" s="298"/>
      <c r="Y213" s="298"/>
      <c r="Z213" s="298"/>
      <c r="AA213" s="298"/>
      <c r="AB213" s="298"/>
      <c r="AC213" s="298"/>
      <c r="AD213" s="298"/>
      <c r="AE213" s="285"/>
      <c r="AF213" s="299">
        <f t="shared" si="115"/>
        <v>0</v>
      </c>
      <c r="AG213" s="299">
        <f t="shared" si="116"/>
        <v>0</v>
      </c>
      <c r="AH213" s="299">
        <f t="shared" si="117"/>
        <v>0</v>
      </c>
      <c r="AI213" s="299">
        <f t="shared" si="118"/>
        <v>0</v>
      </c>
      <c r="AJ213" s="299">
        <f t="shared" si="119"/>
        <v>0</v>
      </c>
      <c r="AK213" s="299">
        <f t="shared" si="120"/>
        <v>0</v>
      </c>
      <c r="AL213" s="298">
        <f t="shared" si="121"/>
        <v>14.62</v>
      </c>
      <c r="AM213" s="298">
        <f t="shared" si="122"/>
        <v>0</v>
      </c>
      <c r="AN213" s="298">
        <f t="shared" si="123"/>
        <v>0</v>
      </c>
      <c r="AO213" s="298">
        <f t="shared" si="124"/>
        <v>0</v>
      </c>
      <c r="AP213" s="298">
        <f t="shared" si="125"/>
        <v>14.62</v>
      </c>
      <c r="AQ213" s="298">
        <f t="shared" si="126"/>
        <v>0</v>
      </c>
      <c r="AR213" s="298">
        <f t="shared" si="127"/>
        <v>0</v>
      </c>
      <c r="AS213" s="298">
        <f t="shared" si="128"/>
        <v>0</v>
      </c>
      <c r="AT213" s="298">
        <f t="shared" si="129"/>
        <v>0</v>
      </c>
      <c r="AU213" s="285">
        <f t="shared" si="130"/>
        <v>14.62</v>
      </c>
      <c r="AV213" s="285">
        <v>14.62</v>
      </c>
      <c r="AW213" s="285"/>
      <c r="AX213" s="285"/>
      <c r="AY213" s="285"/>
      <c r="AZ213" s="285"/>
      <c r="BA213" s="285"/>
    </row>
    <row r="214" s="258" customFormat="1" ht="27" customHeight="1" spans="1:53">
      <c r="A214" s="283">
        <v>207</v>
      </c>
      <c r="B214" s="284" t="s">
        <v>195</v>
      </c>
      <c r="C214" s="284" t="s">
        <v>442</v>
      </c>
      <c r="D214" s="284" t="s">
        <v>470</v>
      </c>
      <c r="E214" s="284" t="s">
        <v>454</v>
      </c>
      <c r="F214" s="285">
        <f t="shared" si="112"/>
        <v>13.1</v>
      </c>
      <c r="G214" s="285"/>
      <c r="H214" s="285"/>
      <c r="I214" s="285"/>
      <c r="J214" s="285">
        <v>13.1</v>
      </c>
      <c r="K214" s="285"/>
      <c r="L214" s="285"/>
      <c r="M214" s="285"/>
      <c r="N214" s="285"/>
      <c r="O214" s="285" t="s">
        <v>1099</v>
      </c>
      <c r="P214" s="285">
        <f t="shared" si="113"/>
        <v>13.1</v>
      </c>
      <c r="Q214" s="285">
        <v>13.1</v>
      </c>
      <c r="R214" s="285"/>
      <c r="S214" s="285"/>
      <c r="T214" s="285"/>
      <c r="U214" s="285"/>
      <c r="V214" s="298">
        <f t="shared" si="131"/>
        <v>0</v>
      </c>
      <c r="W214" s="298"/>
      <c r="X214" s="298"/>
      <c r="Y214" s="298"/>
      <c r="Z214" s="298"/>
      <c r="AA214" s="298"/>
      <c r="AB214" s="298"/>
      <c r="AC214" s="298"/>
      <c r="AD214" s="298"/>
      <c r="AE214" s="285"/>
      <c r="AF214" s="299">
        <f t="shared" si="115"/>
        <v>0</v>
      </c>
      <c r="AG214" s="299">
        <f t="shared" si="116"/>
        <v>0</v>
      </c>
      <c r="AH214" s="299">
        <f t="shared" si="117"/>
        <v>0</v>
      </c>
      <c r="AI214" s="299">
        <f t="shared" si="118"/>
        <v>0</v>
      </c>
      <c r="AJ214" s="299">
        <f t="shared" si="119"/>
        <v>0</v>
      </c>
      <c r="AK214" s="299">
        <f t="shared" si="120"/>
        <v>0</v>
      </c>
      <c r="AL214" s="298">
        <f t="shared" si="121"/>
        <v>13.1</v>
      </c>
      <c r="AM214" s="298">
        <f t="shared" si="122"/>
        <v>0</v>
      </c>
      <c r="AN214" s="298">
        <f t="shared" si="123"/>
        <v>0</v>
      </c>
      <c r="AO214" s="298">
        <f t="shared" si="124"/>
        <v>0</v>
      </c>
      <c r="AP214" s="298">
        <f t="shared" si="125"/>
        <v>13.1</v>
      </c>
      <c r="AQ214" s="298">
        <f t="shared" si="126"/>
        <v>0</v>
      </c>
      <c r="AR214" s="298">
        <f t="shared" si="127"/>
        <v>0</v>
      </c>
      <c r="AS214" s="298">
        <f t="shared" si="128"/>
        <v>0</v>
      </c>
      <c r="AT214" s="298">
        <f t="shared" si="129"/>
        <v>0</v>
      </c>
      <c r="AU214" s="285">
        <f t="shared" si="130"/>
        <v>13.1</v>
      </c>
      <c r="AV214" s="285">
        <v>13.1</v>
      </c>
      <c r="AW214" s="285"/>
      <c r="AX214" s="285"/>
      <c r="AY214" s="285"/>
      <c r="AZ214" s="285"/>
      <c r="BA214" s="285"/>
    </row>
    <row r="215" s="258" customFormat="1" ht="27" customHeight="1" spans="1:53">
      <c r="A215" s="283">
        <v>208</v>
      </c>
      <c r="B215" s="284" t="s">
        <v>195</v>
      </c>
      <c r="C215" s="284" t="s">
        <v>442</v>
      </c>
      <c r="D215" s="284" t="s">
        <v>471</v>
      </c>
      <c r="E215" s="284" t="s">
        <v>479</v>
      </c>
      <c r="F215" s="285">
        <f t="shared" si="112"/>
        <v>60.01</v>
      </c>
      <c r="G215" s="285"/>
      <c r="H215" s="285"/>
      <c r="I215" s="285"/>
      <c r="J215" s="285">
        <v>60.01</v>
      </c>
      <c r="K215" s="285"/>
      <c r="L215" s="285"/>
      <c r="M215" s="285"/>
      <c r="N215" s="285"/>
      <c r="O215" s="285" t="s">
        <v>1100</v>
      </c>
      <c r="P215" s="285">
        <f t="shared" si="113"/>
        <v>60.01</v>
      </c>
      <c r="Q215" s="285">
        <v>60.01</v>
      </c>
      <c r="R215" s="285"/>
      <c r="S215" s="285"/>
      <c r="T215" s="285"/>
      <c r="U215" s="285"/>
      <c r="V215" s="298">
        <f t="shared" si="131"/>
        <v>0.958901</v>
      </c>
      <c r="W215" s="298"/>
      <c r="X215" s="298"/>
      <c r="Y215" s="298"/>
      <c r="Z215" s="298">
        <v>0.958901</v>
      </c>
      <c r="AA215" s="298"/>
      <c r="AB215" s="298"/>
      <c r="AC215" s="298"/>
      <c r="AD215" s="298"/>
      <c r="AE215" s="285"/>
      <c r="AF215" s="299">
        <f t="shared" si="115"/>
        <v>0.958901000000004</v>
      </c>
      <c r="AG215" s="299">
        <f t="shared" si="116"/>
        <v>0.958901000000004</v>
      </c>
      <c r="AH215" s="299">
        <f t="shared" si="117"/>
        <v>0</v>
      </c>
      <c r="AI215" s="299">
        <f t="shared" si="118"/>
        <v>0</v>
      </c>
      <c r="AJ215" s="299">
        <f t="shared" si="119"/>
        <v>0</v>
      </c>
      <c r="AK215" s="299">
        <f t="shared" si="120"/>
        <v>0</v>
      </c>
      <c r="AL215" s="298">
        <f t="shared" si="121"/>
        <v>60.968901</v>
      </c>
      <c r="AM215" s="298">
        <f t="shared" si="122"/>
        <v>0</v>
      </c>
      <c r="AN215" s="298">
        <f t="shared" si="123"/>
        <v>0</v>
      </c>
      <c r="AO215" s="298">
        <f t="shared" si="124"/>
        <v>0</v>
      </c>
      <c r="AP215" s="298">
        <f t="shared" si="125"/>
        <v>60.968901</v>
      </c>
      <c r="AQ215" s="298">
        <f t="shared" si="126"/>
        <v>0</v>
      </c>
      <c r="AR215" s="298">
        <f t="shared" si="127"/>
        <v>0</v>
      </c>
      <c r="AS215" s="298">
        <f t="shared" si="128"/>
        <v>0</v>
      </c>
      <c r="AT215" s="298">
        <f t="shared" si="129"/>
        <v>0</v>
      </c>
      <c r="AU215" s="285">
        <f t="shared" si="130"/>
        <v>60.968901</v>
      </c>
      <c r="AV215" s="285">
        <v>60.968901</v>
      </c>
      <c r="AW215" s="285"/>
      <c r="AX215" s="285"/>
      <c r="AY215" s="285"/>
      <c r="AZ215" s="285"/>
      <c r="BA215" s="285"/>
    </row>
    <row r="216" s="258" customFormat="1" ht="27" customHeight="1" spans="1:53">
      <c r="A216" s="283">
        <v>209</v>
      </c>
      <c r="B216" s="284" t="s">
        <v>195</v>
      </c>
      <c r="C216" s="284" t="s">
        <v>442</v>
      </c>
      <c r="D216" s="284" t="s">
        <v>472</v>
      </c>
      <c r="E216" s="284" t="s">
        <v>479</v>
      </c>
      <c r="F216" s="285">
        <f t="shared" si="112"/>
        <v>223.09</v>
      </c>
      <c r="G216" s="285"/>
      <c r="H216" s="285"/>
      <c r="I216" s="285"/>
      <c r="J216" s="285">
        <v>223.09</v>
      </c>
      <c r="K216" s="285"/>
      <c r="L216" s="285"/>
      <c r="M216" s="285"/>
      <c r="N216" s="285"/>
      <c r="O216" s="285" t="s">
        <v>1101</v>
      </c>
      <c r="P216" s="285">
        <f t="shared" si="113"/>
        <v>223.09</v>
      </c>
      <c r="Q216" s="285">
        <v>223.09</v>
      </c>
      <c r="R216" s="285"/>
      <c r="S216" s="285"/>
      <c r="T216" s="285"/>
      <c r="U216" s="285"/>
      <c r="V216" s="298">
        <f t="shared" si="131"/>
        <v>0.97</v>
      </c>
      <c r="W216" s="298"/>
      <c r="X216" s="298"/>
      <c r="Y216" s="298"/>
      <c r="Z216" s="298">
        <v>0.97</v>
      </c>
      <c r="AA216" s="298"/>
      <c r="AB216" s="298"/>
      <c r="AC216" s="298"/>
      <c r="AD216" s="298"/>
      <c r="AE216" s="285"/>
      <c r="AF216" s="299">
        <f t="shared" si="115"/>
        <v>0.969999999999999</v>
      </c>
      <c r="AG216" s="299">
        <f t="shared" si="116"/>
        <v>0.969999999999999</v>
      </c>
      <c r="AH216" s="299">
        <f t="shared" si="117"/>
        <v>0</v>
      </c>
      <c r="AI216" s="299">
        <f t="shared" si="118"/>
        <v>0</v>
      </c>
      <c r="AJ216" s="299">
        <f t="shared" si="119"/>
        <v>0</v>
      </c>
      <c r="AK216" s="299">
        <f t="shared" si="120"/>
        <v>0</v>
      </c>
      <c r="AL216" s="298">
        <f t="shared" si="121"/>
        <v>224.06</v>
      </c>
      <c r="AM216" s="298">
        <f t="shared" si="122"/>
        <v>0</v>
      </c>
      <c r="AN216" s="298">
        <f t="shared" si="123"/>
        <v>0</v>
      </c>
      <c r="AO216" s="298">
        <f t="shared" si="124"/>
        <v>0</v>
      </c>
      <c r="AP216" s="298">
        <f t="shared" si="125"/>
        <v>224.06</v>
      </c>
      <c r="AQ216" s="298">
        <f t="shared" si="126"/>
        <v>0</v>
      </c>
      <c r="AR216" s="298">
        <f t="shared" si="127"/>
        <v>0</v>
      </c>
      <c r="AS216" s="298">
        <f t="shared" si="128"/>
        <v>0</v>
      </c>
      <c r="AT216" s="298">
        <f t="shared" si="129"/>
        <v>0</v>
      </c>
      <c r="AU216" s="285">
        <f t="shared" si="130"/>
        <v>224.06</v>
      </c>
      <c r="AV216" s="285">
        <v>224.06</v>
      </c>
      <c r="AW216" s="285"/>
      <c r="AX216" s="285"/>
      <c r="AY216" s="285"/>
      <c r="AZ216" s="285"/>
      <c r="BA216" s="285"/>
    </row>
    <row r="217" s="258" customFormat="1" ht="27" customHeight="1" spans="1:53">
      <c r="A217" s="283">
        <v>210</v>
      </c>
      <c r="B217" s="284" t="s">
        <v>195</v>
      </c>
      <c r="C217" s="284" t="s">
        <v>442</v>
      </c>
      <c r="D217" s="284" t="s">
        <v>473</v>
      </c>
      <c r="E217" s="284" t="s">
        <v>444</v>
      </c>
      <c r="F217" s="285">
        <f t="shared" si="112"/>
        <v>24.5</v>
      </c>
      <c r="G217" s="285"/>
      <c r="H217" s="285"/>
      <c r="I217" s="285"/>
      <c r="J217" s="285">
        <v>24.5</v>
      </c>
      <c r="K217" s="285"/>
      <c r="L217" s="285"/>
      <c r="M217" s="285"/>
      <c r="N217" s="285"/>
      <c r="O217" s="285" t="s">
        <v>1102</v>
      </c>
      <c r="P217" s="285">
        <f t="shared" si="113"/>
        <v>24.5</v>
      </c>
      <c r="Q217" s="285">
        <v>24.5</v>
      </c>
      <c r="R217" s="285"/>
      <c r="S217" s="285"/>
      <c r="T217" s="285"/>
      <c r="U217" s="285"/>
      <c r="V217" s="298">
        <f t="shared" si="131"/>
        <v>0</v>
      </c>
      <c r="W217" s="298"/>
      <c r="X217" s="298"/>
      <c r="Y217" s="298"/>
      <c r="Z217" s="298"/>
      <c r="AA217" s="298"/>
      <c r="AB217" s="298"/>
      <c r="AC217" s="298"/>
      <c r="AD217" s="298"/>
      <c r="AE217" s="285"/>
      <c r="AF217" s="299">
        <f t="shared" si="115"/>
        <v>0</v>
      </c>
      <c r="AG217" s="299">
        <f t="shared" si="116"/>
        <v>0</v>
      </c>
      <c r="AH217" s="299">
        <f t="shared" si="117"/>
        <v>0</v>
      </c>
      <c r="AI217" s="299">
        <f t="shared" si="118"/>
        <v>0</v>
      </c>
      <c r="AJ217" s="299">
        <f t="shared" si="119"/>
        <v>0</v>
      </c>
      <c r="AK217" s="299">
        <f t="shared" si="120"/>
        <v>0</v>
      </c>
      <c r="AL217" s="298">
        <f t="shared" si="121"/>
        <v>24.5</v>
      </c>
      <c r="AM217" s="298">
        <f t="shared" si="122"/>
        <v>0</v>
      </c>
      <c r="AN217" s="298">
        <f t="shared" si="123"/>
        <v>0</v>
      </c>
      <c r="AO217" s="298">
        <f t="shared" si="124"/>
        <v>0</v>
      </c>
      <c r="AP217" s="298">
        <f t="shared" si="125"/>
        <v>24.5</v>
      </c>
      <c r="AQ217" s="298">
        <f t="shared" si="126"/>
        <v>0</v>
      </c>
      <c r="AR217" s="298">
        <f t="shared" si="127"/>
        <v>0</v>
      </c>
      <c r="AS217" s="298">
        <f t="shared" si="128"/>
        <v>0</v>
      </c>
      <c r="AT217" s="298">
        <f t="shared" si="129"/>
        <v>0</v>
      </c>
      <c r="AU217" s="285">
        <f t="shared" si="130"/>
        <v>24.5</v>
      </c>
      <c r="AV217" s="285">
        <v>24.5</v>
      </c>
      <c r="AW217" s="285"/>
      <c r="AX217" s="285"/>
      <c r="AY217" s="285"/>
      <c r="AZ217" s="285"/>
      <c r="BA217" s="285"/>
    </row>
    <row r="218" s="258" customFormat="1" ht="27" customHeight="1" spans="1:53">
      <c r="A218" s="283">
        <v>211</v>
      </c>
      <c r="B218" s="284" t="s">
        <v>195</v>
      </c>
      <c r="C218" s="284" t="s">
        <v>442</v>
      </c>
      <c r="D218" s="284" t="s">
        <v>474</v>
      </c>
      <c r="E218" s="284" t="s">
        <v>454</v>
      </c>
      <c r="F218" s="285">
        <f t="shared" si="112"/>
        <v>8.69</v>
      </c>
      <c r="G218" s="285"/>
      <c r="H218" s="285"/>
      <c r="I218" s="285"/>
      <c r="J218" s="285">
        <v>8.69</v>
      </c>
      <c r="K218" s="285"/>
      <c r="L218" s="285"/>
      <c r="M218" s="285"/>
      <c r="N218" s="285"/>
      <c r="O218" s="285" t="s">
        <v>1103</v>
      </c>
      <c r="P218" s="285">
        <f t="shared" si="113"/>
        <v>8.69</v>
      </c>
      <c r="Q218" s="285">
        <v>8.69</v>
      </c>
      <c r="R218" s="285"/>
      <c r="S218" s="285"/>
      <c r="T218" s="285"/>
      <c r="U218" s="285"/>
      <c r="V218" s="298">
        <f t="shared" si="131"/>
        <v>0</v>
      </c>
      <c r="W218" s="298"/>
      <c r="X218" s="298"/>
      <c r="Y218" s="298"/>
      <c r="Z218" s="298"/>
      <c r="AA218" s="298"/>
      <c r="AB218" s="298"/>
      <c r="AC218" s="298"/>
      <c r="AD218" s="298"/>
      <c r="AE218" s="285"/>
      <c r="AF218" s="299">
        <f t="shared" si="115"/>
        <v>0</v>
      </c>
      <c r="AG218" s="299">
        <f t="shared" si="116"/>
        <v>0</v>
      </c>
      <c r="AH218" s="299">
        <f t="shared" si="117"/>
        <v>0</v>
      </c>
      <c r="AI218" s="299">
        <f t="shared" si="118"/>
        <v>0</v>
      </c>
      <c r="AJ218" s="299">
        <f t="shared" si="119"/>
        <v>0</v>
      </c>
      <c r="AK218" s="299">
        <f t="shared" si="120"/>
        <v>0</v>
      </c>
      <c r="AL218" s="298">
        <f t="shared" si="121"/>
        <v>8.69</v>
      </c>
      <c r="AM218" s="298">
        <f t="shared" si="122"/>
        <v>0</v>
      </c>
      <c r="AN218" s="298">
        <f t="shared" si="123"/>
        <v>0</v>
      </c>
      <c r="AO218" s="298">
        <f t="shared" si="124"/>
        <v>0</v>
      </c>
      <c r="AP218" s="298">
        <f t="shared" si="125"/>
        <v>8.69</v>
      </c>
      <c r="AQ218" s="298">
        <f t="shared" si="126"/>
        <v>0</v>
      </c>
      <c r="AR218" s="298">
        <f t="shared" si="127"/>
        <v>0</v>
      </c>
      <c r="AS218" s="298">
        <f t="shared" si="128"/>
        <v>0</v>
      </c>
      <c r="AT218" s="298">
        <f t="shared" si="129"/>
        <v>0</v>
      </c>
      <c r="AU218" s="285">
        <f t="shared" si="130"/>
        <v>8.69</v>
      </c>
      <c r="AV218" s="285">
        <v>8.69</v>
      </c>
      <c r="AW218" s="285"/>
      <c r="AX218" s="285"/>
      <c r="AY218" s="285"/>
      <c r="AZ218" s="285"/>
      <c r="BA218" s="285"/>
    </row>
    <row r="219" s="258" customFormat="1" ht="27" customHeight="1" spans="1:53">
      <c r="A219" s="283">
        <v>212</v>
      </c>
      <c r="B219" s="284" t="s">
        <v>195</v>
      </c>
      <c r="C219" s="284" t="s">
        <v>442</v>
      </c>
      <c r="D219" s="284" t="s">
        <v>475</v>
      </c>
      <c r="E219" s="284" t="s">
        <v>491</v>
      </c>
      <c r="F219" s="285">
        <f t="shared" si="112"/>
        <v>116.44</v>
      </c>
      <c r="G219" s="285"/>
      <c r="H219" s="285"/>
      <c r="I219" s="285"/>
      <c r="J219" s="285">
        <v>116.44</v>
      </c>
      <c r="K219" s="285"/>
      <c r="L219" s="285"/>
      <c r="M219" s="285"/>
      <c r="N219" s="285"/>
      <c r="O219" s="285" t="s">
        <v>1104</v>
      </c>
      <c r="P219" s="285">
        <f t="shared" si="113"/>
        <v>116.44</v>
      </c>
      <c r="Q219" s="285">
        <v>116.44</v>
      </c>
      <c r="R219" s="285"/>
      <c r="S219" s="285"/>
      <c r="T219" s="285"/>
      <c r="U219" s="285"/>
      <c r="V219" s="298">
        <f t="shared" si="131"/>
        <v>-4.658</v>
      </c>
      <c r="W219" s="298"/>
      <c r="X219" s="298"/>
      <c r="Y219" s="298"/>
      <c r="Z219" s="298">
        <v>-4.658</v>
      </c>
      <c r="AA219" s="298"/>
      <c r="AB219" s="298"/>
      <c r="AC219" s="298"/>
      <c r="AD219" s="298"/>
      <c r="AE219" s="285"/>
      <c r="AF219" s="299">
        <f t="shared" si="115"/>
        <v>-4.658</v>
      </c>
      <c r="AG219" s="299">
        <f t="shared" si="116"/>
        <v>-4.658</v>
      </c>
      <c r="AH219" s="299">
        <f t="shared" si="117"/>
        <v>0</v>
      </c>
      <c r="AI219" s="299">
        <f t="shared" si="118"/>
        <v>0</v>
      </c>
      <c r="AJ219" s="299">
        <f t="shared" si="119"/>
        <v>0</v>
      </c>
      <c r="AK219" s="299">
        <f t="shared" si="120"/>
        <v>0</v>
      </c>
      <c r="AL219" s="298">
        <f t="shared" si="121"/>
        <v>111.782</v>
      </c>
      <c r="AM219" s="298">
        <f t="shared" si="122"/>
        <v>0</v>
      </c>
      <c r="AN219" s="298">
        <f t="shared" si="123"/>
        <v>0</v>
      </c>
      <c r="AO219" s="298">
        <f t="shared" si="124"/>
        <v>0</v>
      </c>
      <c r="AP219" s="298">
        <f t="shared" si="125"/>
        <v>111.782</v>
      </c>
      <c r="AQ219" s="298">
        <f t="shared" si="126"/>
        <v>0</v>
      </c>
      <c r="AR219" s="298">
        <f t="shared" si="127"/>
        <v>0</v>
      </c>
      <c r="AS219" s="298">
        <f t="shared" si="128"/>
        <v>0</v>
      </c>
      <c r="AT219" s="298">
        <f t="shared" si="129"/>
        <v>0</v>
      </c>
      <c r="AU219" s="285">
        <f t="shared" si="130"/>
        <v>111.782</v>
      </c>
      <c r="AV219" s="285">
        <v>111.782</v>
      </c>
      <c r="AW219" s="285"/>
      <c r="AX219" s="285"/>
      <c r="AY219" s="285"/>
      <c r="AZ219" s="285"/>
      <c r="BA219" s="285"/>
    </row>
    <row r="220" s="258" customFormat="1" ht="27" customHeight="1" spans="1:53">
      <c r="A220" s="283">
        <v>213</v>
      </c>
      <c r="B220" s="284" t="s">
        <v>195</v>
      </c>
      <c r="C220" s="284" t="s">
        <v>442</v>
      </c>
      <c r="D220" s="284" t="s">
        <v>476</v>
      </c>
      <c r="E220" s="284" t="s">
        <v>454</v>
      </c>
      <c r="F220" s="285">
        <f t="shared" si="112"/>
        <v>15.06</v>
      </c>
      <c r="G220" s="285"/>
      <c r="H220" s="285"/>
      <c r="I220" s="285"/>
      <c r="J220" s="285">
        <v>15.06</v>
      </c>
      <c r="K220" s="285"/>
      <c r="L220" s="285"/>
      <c r="M220" s="285"/>
      <c r="N220" s="285"/>
      <c r="O220" s="285" t="s">
        <v>1105</v>
      </c>
      <c r="P220" s="285">
        <f t="shared" si="113"/>
        <v>15.06</v>
      </c>
      <c r="Q220" s="285">
        <v>15.06</v>
      </c>
      <c r="R220" s="285"/>
      <c r="S220" s="285"/>
      <c r="T220" s="285"/>
      <c r="U220" s="285"/>
      <c r="V220" s="298">
        <f t="shared" si="131"/>
        <v>0</v>
      </c>
      <c r="W220" s="298"/>
      <c r="X220" s="298"/>
      <c r="Y220" s="298"/>
      <c r="Z220" s="298"/>
      <c r="AA220" s="298"/>
      <c r="AB220" s="298"/>
      <c r="AC220" s="298"/>
      <c r="AD220" s="298"/>
      <c r="AE220" s="285"/>
      <c r="AF220" s="299">
        <f t="shared" si="115"/>
        <v>0</v>
      </c>
      <c r="AG220" s="299">
        <f t="shared" si="116"/>
        <v>0</v>
      </c>
      <c r="AH220" s="299">
        <f t="shared" si="117"/>
        <v>0</v>
      </c>
      <c r="AI220" s="299">
        <f t="shared" si="118"/>
        <v>0</v>
      </c>
      <c r="AJ220" s="299">
        <f t="shared" si="119"/>
        <v>0</v>
      </c>
      <c r="AK220" s="299">
        <f t="shared" si="120"/>
        <v>0</v>
      </c>
      <c r="AL220" s="298">
        <f t="shared" si="121"/>
        <v>15.06</v>
      </c>
      <c r="AM220" s="298">
        <f t="shared" si="122"/>
        <v>0</v>
      </c>
      <c r="AN220" s="298">
        <f t="shared" si="123"/>
        <v>0</v>
      </c>
      <c r="AO220" s="298">
        <f t="shared" si="124"/>
        <v>0</v>
      </c>
      <c r="AP220" s="298">
        <f t="shared" si="125"/>
        <v>15.06</v>
      </c>
      <c r="AQ220" s="298">
        <f t="shared" si="126"/>
        <v>0</v>
      </c>
      <c r="AR220" s="298">
        <f t="shared" si="127"/>
        <v>0</v>
      </c>
      <c r="AS220" s="298">
        <f t="shared" si="128"/>
        <v>0</v>
      </c>
      <c r="AT220" s="298">
        <f t="shared" si="129"/>
        <v>0</v>
      </c>
      <c r="AU220" s="285">
        <f t="shared" si="130"/>
        <v>15.06</v>
      </c>
      <c r="AV220" s="285">
        <v>15.06</v>
      </c>
      <c r="AW220" s="285"/>
      <c r="AX220" s="285"/>
      <c r="AY220" s="285"/>
      <c r="AZ220" s="285"/>
      <c r="BA220" s="285"/>
    </row>
    <row r="221" s="258" customFormat="1" ht="27" customHeight="1" spans="1:53">
      <c r="A221" s="283">
        <v>214</v>
      </c>
      <c r="B221" s="284" t="s">
        <v>195</v>
      </c>
      <c r="C221" s="284" t="s">
        <v>442</v>
      </c>
      <c r="D221" s="284" t="s">
        <v>477</v>
      </c>
      <c r="E221" s="284" t="s">
        <v>479</v>
      </c>
      <c r="F221" s="285">
        <f t="shared" si="112"/>
        <v>107.64</v>
      </c>
      <c r="G221" s="285"/>
      <c r="H221" s="285"/>
      <c r="I221" s="285"/>
      <c r="J221" s="285">
        <v>107.64</v>
      </c>
      <c r="K221" s="285"/>
      <c r="L221" s="285"/>
      <c r="M221" s="285"/>
      <c r="N221" s="285"/>
      <c r="O221" s="285" t="s">
        <v>1106</v>
      </c>
      <c r="P221" s="285">
        <f t="shared" si="113"/>
        <v>107.64</v>
      </c>
      <c r="Q221" s="285">
        <v>107.64</v>
      </c>
      <c r="R221" s="285"/>
      <c r="S221" s="285"/>
      <c r="T221" s="285"/>
      <c r="U221" s="285"/>
      <c r="V221" s="298">
        <f t="shared" si="131"/>
        <v>-13.864</v>
      </c>
      <c r="W221" s="298"/>
      <c r="X221" s="298"/>
      <c r="Y221" s="298"/>
      <c r="Z221" s="298">
        <v>-13.864</v>
      </c>
      <c r="AA221" s="298"/>
      <c r="AB221" s="298"/>
      <c r="AC221" s="298"/>
      <c r="AD221" s="298"/>
      <c r="AE221" s="285"/>
      <c r="AF221" s="299">
        <f t="shared" si="115"/>
        <v>-13.864</v>
      </c>
      <c r="AG221" s="299">
        <f t="shared" si="116"/>
        <v>-13.864</v>
      </c>
      <c r="AH221" s="299">
        <f t="shared" si="117"/>
        <v>0</v>
      </c>
      <c r="AI221" s="299">
        <f t="shared" si="118"/>
        <v>0</v>
      </c>
      <c r="AJ221" s="299">
        <f t="shared" si="119"/>
        <v>0</v>
      </c>
      <c r="AK221" s="299">
        <f t="shared" si="120"/>
        <v>0</v>
      </c>
      <c r="AL221" s="298">
        <f t="shared" si="121"/>
        <v>93.776</v>
      </c>
      <c r="AM221" s="298">
        <f t="shared" si="122"/>
        <v>0</v>
      </c>
      <c r="AN221" s="298">
        <f t="shared" si="123"/>
        <v>0</v>
      </c>
      <c r="AO221" s="298">
        <f t="shared" si="124"/>
        <v>0</v>
      </c>
      <c r="AP221" s="298">
        <f t="shared" si="125"/>
        <v>93.776</v>
      </c>
      <c r="AQ221" s="298">
        <f t="shared" si="126"/>
        <v>0</v>
      </c>
      <c r="AR221" s="298">
        <f t="shared" si="127"/>
        <v>0</v>
      </c>
      <c r="AS221" s="298">
        <f t="shared" si="128"/>
        <v>0</v>
      </c>
      <c r="AT221" s="298">
        <f t="shared" si="129"/>
        <v>0</v>
      </c>
      <c r="AU221" s="285">
        <f t="shared" si="130"/>
        <v>93.776</v>
      </c>
      <c r="AV221" s="285">
        <v>93.776</v>
      </c>
      <c r="AW221" s="285"/>
      <c r="AX221" s="285"/>
      <c r="AY221" s="285"/>
      <c r="AZ221" s="285"/>
      <c r="BA221" s="285"/>
    </row>
    <row r="222" s="258" customFormat="1" ht="27" customHeight="1" spans="1:53">
      <c r="A222" s="283">
        <v>215</v>
      </c>
      <c r="B222" s="284" t="s">
        <v>195</v>
      </c>
      <c r="C222" s="284" t="s">
        <v>438</v>
      </c>
      <c r="D222" s="284" t="s">
        <v>478</v>
      </c>
      <c r="E222" s="284" t="s">
        <v>479</v>
      </c>
      <c r="F222" s="285">
        <f t="shared" si="112"/>
        <v>405.78</v>
      </c>
      <c r="G222" s="285"/>
      <c r="H222" s="285"/>
      <c r="I222" s="285"/>
      <c r="J222" s="285">
        <v>405.78</v>
      </c>
      <c r="K222" s="285"/>
      <c r="L222" s="285"/>
      <c r="M222" s="285"/>
      <c r="N222" s="285"/>
      <c r="O222" s="285" t="s">
        <v>1107</v>
      </c>
      <c r="P222" s="285">
        <f t="shared" si="113"/>
        <v>405.78</v>
      </c>
      <c r="Q222" s="285">
        <v>405.78</v>
      </c>
      <c r="R222" s="285"/>
      <c r="S222" s="285"/>
      <c r="T222" s="285"/>
      <c r="U222" s="285"/>
      <c r="V222" s="298">
        <f t="shared" si="131"/>
        <v>15.479</v>
      </c>
      <c r="W222" s="298"/>
      <c r="X222" s="298"/>
      <c r="Y222" s="298"/>
      <c r="Z222" s="298">
        <v>15.479</v>
      </c>
      <c r="AA222" s="298"/>
      <c r="AB222" s="298"/>
      <c r="AC222" s="298"/>
      <c r="AD222" s="298"/>
      <c r="AE222" s="285"/>
      <c r="AF222" s="299">
        <f t="shared" si="115"/>
        <v>15.479</v>
      </c>
      <c r="AG222" s="299">
        <f t="shared" si="116"/>
        <v>15.479</v>
      </c>
      <c r="AH222" s="299">
        <f t="shared" si="117"/>
        <v>0</v>
      </c>
      <c r="AI222" s="299">
        <f t="shared" si="118"/>
        <v>0</v>
      </c>
      <c r="AJ222" s="299">
        <f t="shared" si="119"/>
        <v>0</v>
      </c>
      <c r="AK222" s="299">
        <f t="shared" si="120"/>
        <v>0</v>
      </c>
      <c r="AL222" s="298">
        <f t="shared" si="121"/>
        <v>421.259</v>
      </c>
      <c r="AM222" s="298">
        <f t="shared" si="122"/>
        <v>0</v>
      </c>
      <c r="AN222" s="298">
        <f t="shared" si="123"/>
        <v>0</v>
      </c>
      <c r="AO222" s="298">
        <f t="shared" si="124"/>
        <v>0</v>
      </c>
      <c r="AP222" s="298">
        <f t="shared" si="125"/>
        <v>421.259</v>
      </c>
      <c r="AQ222" s="298">
        <f t="shared" si="126"/>
        <v>0</v>
      </c>
      <c r="AR222" s="298">
        <f t="shared" si="127"/>
        <v>0</v>
      </c>
      <c r="AS222" s="298">
        <f t="shared" si="128"/>
        <v>0</v>
      </c>
      <c r="AT222" s="298">
        <f t="shared" si="129"/>
        <v>0</v>
      </c>
      <c r="AU222" s="285">
        <f t="shared" si="130"/>
        <v>421.259</v>
      </c>
      <c r="AV222" s="285">
        <v>421.259</v>
      </c>
      <c r="AW222" s="285"/>
      <c r="AX222" s="285"/>
      <c r="AY222" s="285"/>
      <c r="AZ222" s="285"/>
      <c r="BA222" s="285"/>
    </row>
    <row r="223" s="258" customFormat="1" ht="27" customHeight="1" spans="1:53">
      <c r="A223" s="283">
        <v>216</v>
      </c>
      <c r="B223" s="284" t="s">
        <v>195</v>
      </c>
      <c r="C223" s="284" t="s">
        <v>442</v>
      </c>
      <c r="D223" s="284" t="s">
        <v>480</v>
      </c>
      <c r="E223" s="284" t="s">
        <v>454</v>
      </c>
      <c r="F223" s="285">
        <f t="shared" si="112"/>
        <v>32.93</v>
      </c>
      <c r="G223" s="285"/>
      <c r="H223" s="285"/>
      <c r="I223" s="285"/>
      <c r="J223" s="285">
        <v>32.93</v>
      </c>
      <c r="K223" s="285"/>
      <c r="L223" s="285"/>
      <c r="M223" s="285"/>
      <c r="N223" s="285"/>
      <c r="O223" s="285" t="s">
        <v>1108</v>
      </c>
      <c r="P223" s="285">
        <f t="shared" si="113"/>
        <v>32.93</v>
      </c>
      <c r="Q223" s="285">
        <v>32.93</v>
      </c>
      <c r="R223" s="285"/>
      <c r="S223" s="285"/>
      <c r="T223" s="285"/>
      <c r="U223" s="285"/>
      <c r="V223" s="298">
        <f t="shared" si="131"/>
        <v>0</v>
      </c>
      <c r="W223" s="298"/>
      <c r="X223" s="298"/>
      <c r="Y223" s="298"/>
      <c r="Z223" s="298"/>
      <c r="AA223" s="298"/>
      <c r="AB223" s="298"/>
      <c r="AC223" s="298"/>
      <c r="AD223" s="298"/>
      <c r="AE223" s="285"/>
      <c r="AF223" s="299">
        <f t="shared" si="115"/>
        <v>0</v>
      </c>
      <c r="AG223" s="299">
        <f t="shared" si="116"/>
        <v>0</v>
      </c>
      <c r="AH223" s="299">
        <f t="shared" si="117"/>
        <v>0</v>
      </c>
      <c r="AI223" s="299">
        <f t="shared" si="118"/>
        <v>0</v>
      </c>
      <c r="AJ223" s="299">
        <f t="shared" si="119"/>
        <v>0</v>
      </c>
      <c r="AK223" s="299">
        <f t="shared" si="120"/>
        <v>0</v>
      </c>
      <c r="AL223" s="298">
        <f t="shared" si="121"/>
        <v>32.93</v>
      </c>
      <c r="AM223" s="298">
        <f t="shared" si="122"/>
        <v>0</v>
      </c>
      <c r="AN223" s="298">
        <f t="shared" si="123"/>
        <v>0</v>
      </c>
      <c r="AO223" s="298">
        <f t="shared" si="124"/>
        <v>0</v>
      </c>
      <c r="AP223" s="298">
        <f t="shared" si="125"/>
        <v>32.93</v>
      </c>
      <c r="AQ223" s="298">
        <f t="shared" si="126"/>
        <v>0</v>
      </c>
      <c r="AR223" s="298">
        <f t="shared" si="127"/>
        <v>0</v>
      </c>
      <c r="AS223" s="298">
        <f t="shared" ref="AS223:AS254" si="132">AC223</f>
        <v>0</v>
      </c>
      <c r="AT223" s="298">
        <f t="shared" si="129"/>
        <v>0</v>
      </c>
      <c r="AU223" s="285">
        <f t="shared" si="130"/>
        <v>32.93</v>
      </c>
      <c r="AV223" s="285">
        <v>32.93</v>
      </c>
      <c r="AW223" s="285"/>
      <c r="AX223" s="285"/>
      <c r="AY223" s="285"/>
      <c r="AZ223" s="285"/>
      <c r="BA223" s="285"/>
    </row>
    <row r="224" s="258" customFormat="1" ht="27" customHeight="1" spans="1:53">
      <c r="A224" s="283">
        <v>217</v>
      </c>
      <c r="B224" s="284" t="s">
        <v>195</v>
      </c>
      <c r="C224" s="284" t="s">
        <v>442</v>
      </c>
      <c r="D224" s="284" t="s">
        <v>481</v>
      </c>
      <c r="E224" s="284" t="s">
        <v>479</v>
      </c>
      <c r="F224" s="285">
        <f t="shared" si="112"/>
        <v>69.54</v>
      </c>
      <c r="G224" s="285"/>
      <c r="H224" s="285"/>
      <c r="I224" s="285"/>
      <c r="J224" s="285">
        <v>69.54</v>
      </c>
      <c r="K224" s="285"/>
      <c r="L224" s="285"/>
      <c r="M224" s="285"/>
      <c r="N224" s="285"/>
      <c r="O224" s="285" t="s">
        <v>1109</v>
      </c>
      <c r="P224" s="285">
        <f t="shared" si="113"/>
        <v>69.54</v>
      </c>
      <c r="Q224" s="285">
        <v>69.54</v>
      </c>
      <c r="R224" s="285"/>
      <c r="S224" s="285"/>
      <c r="T224" s="285"/>
      <c r="U224" s="285"/>
      <c r="V224" s="298">
        <f t="shared" si="131"/>
        <v>-2.8912</v>
      </c>
      <c r="W224" s="298"/>
      <c r="X224" s="298"/>
      <c r="Y224" s="298"/>
      <c r="Z224" s="298">
        <v>-2.8912</v>
      </c>
      <c r="AA224" s="298"/>
      <c r="AB224" s="298"/>
      <c r="AC224" s="298"/>
      <c r="AD224" s="298"/>
      <c r="AE224" s="285"/>
      <c r="AF224" s="299">
        <f t="shared" si="115"/>
        <v>-2.89120000000001</v>
      </c>
      <c r="AG224" s="299">
        <f t="shared" si="116"/>
        <v>-2.89120000000001</v>
      </c>
      <c r="AH224" s="299">
        <f t="shared" si="117"/>
        <v>0</v>
      </c>
      <c r="AI224" s="299">
        <f t="shared" si="118"/>
        <v>0</v>
      </c>
      <c r="AJ224" s="299">
        <f t="shared" si="119"/>
        <v>0</v>
      </c>
      <c r="AK224" s="299">
        <f t="shared" si="120"/>
        <v>0</v>
      </c>
      <c r="AL224" s="298">
        <f t="shared" ref="AL224:AL247" si="133">SUM(AM224:AT224)</f>
        <v>66.6488</v>
      </c>
      <c r="AM224" s="298">
        <f t="shared" ref="AM224:AM247" si="134">G224+W224</f>
        <v>0</v>
      </c>
      <c r="AN224" s="298">
        <f t="shared" ref="AN224:AN247" si="135">H224+X224</f>
        <v>0</v>
      </c>
      <c r="AO224" s="298">
        <f t="shared" ref="AO224:AO247" si="136">I224+Y224</f>
        <v>0</v>
      </c>
      <c r="AP224" s="298">
        <f t="shared" ref="AP224:AP247" si="137">J224+Z224</f>
        <v>66.6488</v>
      </c>
      <c r="AQ224" s="298">
        <f t="shared" ref="AQ224:AQ247" si="138">K224+AA224</f>
        <v>0</v>
      </c>
      <c r="AR224" s="298">
        <f t="shared" ref="AR224:AR247" si="139">M224+AB224</f>
        <v>0</v>
      </c>
      <c r="AS224" s="298">
        <f t="shared" si="132"/>
        <v>0</v>
      </c>
      <c r="AT224" s="298">
        <f t="shared" ref="AT224:AT247" si="140">N224+AD224</f>
        <v>0</v>
      </c>
      <c r="AU224" s="285">
        <f t="shared" si="130"/>
        <v>66.6488</v>
      </c>
      <c r="AV224" s="285">
        <v>66.6488</v>
      </c>
      <c r="AW224" s="285"/>
      <c r="AX224" s="285"/>
      <c r="AY224" s="285"/>
      <c r="AZ224" s="285"/>
      <c r="BA224" s="285"/>
    </row>
    <row r="225" s="258" customFormat="1" ht="27" customHeight="1" spans="1:53">
      <c r="A225" s="283">
        <v>218</v>
      </c>
      <c r="B225" s="284" t="s">
        <v>195</v>
      </c>
      <c r="C225" s="284" t="s">
        <v>442</v>
      </c>
      <c r="D225" s="284" t="s">
        <v>482</v>
      </c>
      <c r="E225" s="284" t="s">
        <v>479</v>
      </c>
      <c r="F225" s="285">
        <f t="shared" si="112"/>
        <v>47.27</v>
      </c>
      <c r="G225" s="285"/>
      <c r="H225" s="285"/>
      <c r="I225" s="285"/>
      <c r="J225" s="285">
        <v>47.27</v>
      </c>
      <c r="K225" s="285"/>
      <c r="L225" s="285"/>
      <c r="M225" s="285"/>
      <c r="N225" s="285"/>
      <c r="O225" s="285" t="s">
        <v>1110</v>
      </c>
      <c r="P225" s="285">
        <f t="shared" si="113"/>
        <v>47.27</v>
      </c>
      <c r="Q225" s="285">
        <v>47.27</v>
      </c>
      <c r="R225" s="285"/>
      <c r="S225" s="285"/>
      <c r="T225" s="285"/>
      <c r="U225" s="285"/>
      <c r="V225" s="298">
        <f t="shared" si="131"/>
        <v>-4.584</v>
      </c>
      <c r="W225" s="298"/>
      <c r="X225" s="298"/>
      <c r="Y225" s="298"/>
      <c r="Z225" s="298">
        <v>-4.584</v>
      </c>
      <c r="AA225" s="298"/>
      <c r="AB225" s="298"/>
      <c r="AC225" s="298"/>
      <c r="AD225" s="298"/>
      <c r="AE225" s="285"/>
      <c r="AF225" s="299">
        <f t="shared" si="115"/>
        <v>-4.584</v>
      </c>
      <c r="AG225" s="299">
        <f t="shared" si="116"/>
        <v>-4.584</v>
      </c>
      <c r="AH225" s="299">
        <f t="shared" si="117"/>
        <v>0</v>
      </c>
      <c r="AI225" s="299">
        <f t="shared" si="118"/>
        <v>0</v>
      </c>
      <c r="AJ225" s="299">
        <f t="shared" si="119"/>
        <v>0</v>
      </c>
      <c r="AK225" s="299">
        <f t="shared" si="120"/>
        <v>0</v>
      </c>
      <c r="AL225" s="298">
        <f t="shared" si="133"/>
        <v>42.686</v>
      </c>
      <c r="AM225" s="298">
        <f t="shared" si="134"/>
        <v>0</v>
      </c>
      <c r="AN225" s="298">
        <f t="shared" si="135"/>
        <v>0</v>
      </c>
      <c r="AO225" s="298">
        <f t="shared" si="136"/>
        <v>0</v>
      </c>
      <c r="AP225" s="298">
        <f t="shared" si="137"/>
        <v>42.686</v>
      </c>
      <c r="AQ225" s="298">
        <f t="shared" si="138"/>
        <v>0</v>
      </c>
      <c r="AR225" s="298">
        <f t="shared" si="139"/>
        <v>0</v>
      </c>
      <c r="AS225" s="298">
        <f t="shared" si="132"/>
        <v>0</v>
      </c>
      <c r="AT225" s="298">
        <f t="shared" si="140"/>
        <v>0</v>
      </c>
      <c r="AU225" s="285">
        <f t="shared" si="130"/>
        <v>42.686</v>
      </c>
      <c r="AV225" s="285">
        <v>42.686</v>
      </c>
      <c r="AW225" s="285"/>
      <c r="AX225" s="285"/>
      <c r="AY225" s="285"/>
      <c r="AZ225" s="285"/>
      <c r="BA225" s="285"/>
    </row>
    <row r="226" s="258" customFormat="1" ht="27" customHeight="1" spans="1:53">
      <c r="A226" s="283">
        <v>219</v>
      </c>
      <c r="B226" s="284" t="s">
        <v>195</v>
      </c>
      <c r="C226" s="284" t="s">
        <v>442</v>
      </c>
      <c r="D226" s="284" t="s">
        <v>483</v>
      </c>
      <c r="E226" s="284" t="s">
        <v>454</v>
      </c>
      <c r="F226" s="285">
        <f t="shared" si="112"/>
        <v>7.63</v>
      </c>
      <c r="G226" s="285"/>
      <c r="H226" s="285"/>
      <c r="I226" s="285"/>
      <c r="J226" s="285">
        <v>7.63</v>
      </c>
      <c r="K226" s="285"/>
      <c r="L226" s="285"/>
      <c r="M226" s="285"/>
      <c r="N226" s="285"/>
      <c r="O226" s="285" t="s">
        <v>1111</v>
      </c>
      <c r="P226" s="285">
        <f t="shared" si="113"/>
        <v>7.63</v>
      </c>
      <c r="Q226" s="285">
        <v>7.63</v>
      </c>
      <c r="R226" s="285"/>
      <c r="S226" s="285"/>
      <c r="T226" s="285"/>
      <c r="U226" s="285"/>
      <c r="V226" s="298">
        <f t="shared" si="131"/>
        <v>0</v>
      </c>
      <c r="W226" s="298"/>
      <c r="X226" s="298"/>
      <c r="Y226" s="298"/>
      <c r="Z226" s="298"/>
      <c r="AA226" s="298"/>
      <c r="AB226" s="298"/>
      <c r="AC226" s="298"/>
      <c r="AD226" s="298"/>
      <c r="AE226" s="285"/>
      <c r="AF226" s="299">
        <f t="shared" si="115"/>
        <v>0</v>
      </c>
      <c r="AG226" s="299">
        <f t="shared" si="116"/>
        <v>0</v>
      </c>
      <c r="AH226" s="299">
        <f t="shared" si="117"/>
        <v>0</v>
      </c>
      <c r="AI226" s="299">
        <f t="shared" si="118"/>
        <v>0</v>
      </c>
      <c r="AJ226" s="299">
        <f t="shared" si="119"/>
        <v>0</v>
      </c>
      <c r="AK226" s="299">
        <f t="shared" si="120"/>
        <v>0</v>
      </c>
      <c r="AL226" s="298">
        <f t="shared" si="133"/>
        <v>7.63</v>
      </c>
      <c r="AM226" s="298">
        <f t="shared" si="134"/>
        <v>0</v>
      </c>
      <c r="AN226" s="298">
        <f t="shared" si="135"/>
        <v>0</v>
      </c>
      <c r="AO226" s="298">
        <f t="shared" si="136"/>
        <v>0</v>
      </c>
      <c r="AP226" s="298">
        <f t="shared" si="137"/>
        <v>7.63</v>
      </c>
      <c r="AQ226" s="298">
        <f t="shared" si="138"/>
        <v>0</v>
      </c>
      <c r="AR226" s="298">
        <f t="shared" si="139"/>
        <v>0</v>
      </c>
      <c r="AS226" s="298">
        <f t="shared" si="132"/>
        <v>0</v>
      </c>
      <c r="AT226" s="298">
        <f t="shared" si="140"/>
        <v>0</v>
      </c>
      <c r="AU226" s="285">
        <f t="shared" si="130"/>
        <v>7.63</v>
      </c>
      <c r="AV226" s="285">
        <v>7.63</v>
      </c>
      <c r="AW226" s="285"/>
      <c r="AX226" s="285"/>
      <c r="AY226" s="285"/>
      <c r="AZ226" s="285"/>
      <c r="BA226" s="285"/>
    </row>
    <row r="227" s="258" customFormat="1" ht="27" customHeight="1" spans="1:53">
      <c r="A227" s="283">
        <v>220</v>
      </c>
      <c r="B227" s="284" t="s">
        <v>195</v>
      </c>
      <c r="C227" s="284" t="s">
        <v>442</v>
      </c>
      <c r="D227" s="284" t="s">
        <v>790</v>
      </c>
      <c r="E227" s="284" t="s">
        <v>454</v>
      </c>
      <c r="F227" s="285">
        <f t="shared" si="112"/>
        <v>14.07</v>
      </c>
      <c r="G227" s="285"/>
      <c r="H227" s="285"/>
      <c r="I227" s="285"/>
      <c r="J227" s="285">
        <v>14.07</v>
      </c>
      <c r="K227" s="285"/>
      <c r="L227" s="285"/>
      <c r="M227" s="285"/>
      <c r="N227" s="285"/>
      <c r="O227" s="285" t="s">
        <v>1112</v>
      </c>
      <c r="P227" s="285">
        <f t="shared" si="113"/>
        <v>14.07</v>
      </c>
      <c r="Q227" s="285">
        <v>14.07</v>
      </c>
      <c r="R227" s="285"/>
      <c r="S227" s="285"/>
      <c r="T227" s="285"/>
      <c r="U227" s="285"/>
      <c r="V227" s="298">
        <f t="shared" si="131"/>
        <v>0</v>
      </c>
      <c r="W227" s="298"/>
      <c r="X227" s="298"/>
      <c r="Y227" s="298"/>
      <c r="Z227" s="298"/>
      <c r="AA227" s="298"/>
      <c r="AB227" s="298"/>
      <c r="AC227" s="298"/>
      <c r="AD227" s="298"/>
      <c r="AE227" s="285"/>
      <c r="AF227" s="299">
        <f t="shared" si="115"/>
        <v>0</v>
      </c>
      <c r="AG227" s="299">
        <f t="shared" si="116"/>
        <v>0</v>
      </c>
      <c r="AH227" s="299">
        <f t="shared" si="117"/>
        <v>0</v>
      </c>
      <c r="AI227" s="299">
        <f t="shared" si="118"/>
        <v>0</v>
      </c>
      <c r="AJ227" s="299">
        <f t="shared" si="119"/>
        <v>0</v>
      </c>
      <c r="AK227" s="299">
        <f t="shared" si="120"/>
        <v>0</v>
      </c>
      <c r="AL227" s="298">
        <f t="shared" si="133"/>
        <v>14.07</v>
      </c>
      <c r="AM227" s="298">
        <f t="shared" si="134"/>
        <v>0</v>
      </c>
      <c r="AN227" s="298">
        <f t="shared" si="135"/>
        <v>0</v>
      </c>
      <c r="AO227" s="298">
        <f t="shared" si="136"/>
        <v>0</v>
      </c>
      <c r="AP227" s="298">
        <f t="shared" si="137"/>
        <v>14.07</v>
      </c>
      <c r="AQ227" s="298">
        <f t="shared" si="138"/>
        <v>0</v>
      </c>
      <c r="AR227" s="298">
        <f t="shared" si="139"/>
        <v>0</v>
      </c>
      <c r="AS227" s="298">
        <f t="shared" si="132"/>
        <v>0</v>
      </c>
      <c r="AT227" s="298">
        <f t="shared" si="140"/>
        <v>0</v>
      </c>
      <c r="AU227" s="285">
        <f t="shared" si="130"/>
        <v>14.07</v>
      </c>
      <c r="AV227" s="285">
        <v>14.07</v>
      </c>
      <c r="AW227" s="285"/>
      <c r="AX227" s="285"/>
      <c r="AY227" s="285"/>
      <c r="AZ227" s="285"/>
      <c r="BA227" s="285"/>
    </row>
    <row r="228" s="258" customFormat="1" ht="27" customHeight="1" spans="1:53">
      <c r="A228" s="283">
        <v>221</v>
      </c>
      <c r="B228" s="284" t="s">
        <v>195</v>
      </c>
      <c r="C228" s="284" t="s">
        <v>442</v>
      </c>
      <c r="D228" s="284" t="s">
        <v>485</v>
      </c>
      <c r="E228" s="284" t="s">
        <v>479</v>
      </c>
      <c r="F228" s="285">
        <f t="shared" si="112"/>
        <v>130.17</v>
      </c>
      <c r="G228" s="285"/>
      <c r="H228" s="285"/>
      <c r="I228" s="285"/>
      <c r="J228" s="285">
        <v>130.17</v>
      </c>
      <c r="K228" s="285"/>
      <c r="L228" s="285"/>
      <c r="M228" s="285"/>
      <c r="N228" s="285"/>
      <c r="O228" s="285" t="s">
        <v>1113</v>
      </c>
      <c r="P228" s="285">
        <f t="shared" si="113"/>
        <v>130.17</v>
      </c>
      <c r="Q228" s="285">
        <v>130.17</v>
      </c>
      <c r="R228" s="285"/>
      <c r="S228" s="285"/>
      <c r="T228" s="285"/>
      <c r="U228" s="285"/>
      <c r="V228" s="298">
        <f t="shared" si="131"/>
        <v>-12.56543</v>
      </c>
      <c r="W228" s="298"/>
      <c r="X228" s="298"/>
      <c r="Y228" s="298"/>
      <c r="Z228" s="298">
        <v>-12.56543</v>
      </c>
      <c r="AA228" s="298"/>
      <c r="AB228" s="298"/>
      <c r="AC228" s="298"/>
      <c r="AD228" s="298"/>
      <c r="AE228" s="285"/>
      <c r="AF228" s="299">
        <f t="shared" si="115"/>
        <v>-12.56543</v>
      </c>
      <c r="AG228" s="299">
        <f t="shared" si="116"/>
        <v>-12.56543</v>
      </c>
      <c r="AH228" s="299">
        <f t="shared" si="117"/>
        <v>0</v>
      </c>
      <c r="AI228" s="299">
        <f t="shared" si="118"/>
        <v>0</v>
      </c>
      <c r="AJ228" s="299">
        <f t="shared" si="119"/>
        <v>0</v>
      </c>
      <c r="AK228" s="299">
        <f t="shared" si="120"/>
        <v>0</v>
      </c>
      <c r="AL228" s="298">
        <f t="shared" si="133"/>
        <v>117.60457</v>
      </c>
      <c r="AM228" s="298">
        <f t="shared" si="134"/>
        <v>0</v>
      </c>
      <c r="AN228" s="298">
        <f t="shared" si="135"/>
        <v>0</v>
      </c>
      <c r="AO228" s="298">
        <f t="shared" si="136"/>
        <v>0</v>
      </c>
      <c r="AP228" s="298">
        <f t="shared" si="137"/>
        <v>117.60457</v>
      </c>
      <c r="AQ228" s="298">
        <f t="shared" si="138"/>
        <v>0</v>
      </c>
      <c r="AR228" s="298">
        <f t="shared" si="139"/>
        <v>0</v>
      </c>
      <c r="AS228" s="298">
        <f t="shared" si="132"/>
        <v>0</v>
      </c>
      <c r="AT228" s="298">
        <f t="shared" si="140"/>
        <v>0</v>
      </c>
      <c r="AU228" s="285">
        <f t="shared" si="130"/>
        <v>117.60457</v>
      </c>
      <c r="AV228" s="285">
        <v>117.60457</v>
      </c>
      <c r="AW228" s="285"/>
      <c r="AX228" s="285"/>
      <c r="AY228" s="285"/>
      <c r="AZ228" s="285"/>
      <c r="BA228" s="285"/>
    </row>
    <row r="229" s="258" customFormat="1" ht="27" customHeight="1" spans="1:53">
      <c r="A229" s="283">
        <v>222</v>
      </c>
      <c r="B229" s="284" t="s">
        <v>195</v>
      </c>
      <c r="C229" s="284" t="s">
        <v>442</v>
      </c>
      <c r="D229" s="284" t="s">
        <v>486</v>
      </c>
      <c r="E229" s="284" t="s">
        <v>454</v>
      </c>
      <c r="F229" s="285">
        <f t="shared" si="112"/>
        <v>8.41</v>
      </c>
      <c r="G229" s="285"/>
      <c r="H229" s="285"/>
      <c r="I229" s="285"/>
      <c r="J229" s="285">
        <v>8.41</v>
      </c>
      <c r="K229" s="285"/>
      <c r="L229" s="285"/>
      <c r="M229" s="285"/>
      <c r="N229" s="285"/>
      <c r="O229" s="285" t="s">
        <v>1114</v>
      </c>
      <c r="P229" s="285">
        <f t="shared" si="113"/>
        <v>8.41</v>
      </c>
      <c r="Q229" s="285">
        <v>8.41</v>
      </c>
      <c r="R229" s="285"/>
      <c r="S229" s="285"/>
      <c r="T229" s="285"/>
      <c r="U229" s="285"/>
      <c r="V229" s="298">
        <f t="shared" si="131"/>
        <v>0</v>
      </c>
      <c r="W229" s="298"/>
      <c r="X229" s="298"/>
      <c r="Y229" s="298"/>
      <c r="Z229" s="298"/>
      <c r="AA229" s="298"/>
      <c r="AB229" s="298"/>
      <c r="AC229" s="298"/>
      <c r="AD229" s="298"/>
      <c r="AE229" s="285"/>
      <c r="AF229" s="299">
        <f t="shared" si="115"/>
        <v>0</v>
      </c>
      <c r="AG229" s="299">
        <f t="shared" si="116"/>
        <v>0</v>
      </c>
      <c r="AH229" s="299">
        <f t="shared" si="117"/>
        <v>0</v>
      </c>
      <c r="AI229" s="299">
        <f t="shared" si="118"/>
        <v>0</v>
      </c>
      <c r="AJ229" s="299">
        <f t="shared" si="119"/>
        <v>0</v>
      </c>
      <c r="AK229" s="299">
        <f t="shared" si="120"/>
        <v>0</v>
      </c>
      <c r="AL229" s="298">
        <f t="shared" si="133"/>
        <v>8.41</v>
      </c>
      <c r="AM229" s="298">
        <f t="shared" si="134"/>
        <v>0</v>
      </c>
      <c r="AN229" s="298">
        <f t="shared" si="135"/>
        <v>0</v>
      </c>
      <c r="AO229" s="298">
        <f t="shared" si="136"/>
        <v>0</v>
      </c>
      <c r="AP229" s="298">
        <f t="shared" si="137"/>
        <v>8.41</v>
      </c>
      <c r="AQ229" s="298">
        <f t="shared" si="138"/>
        <v>0</v>
      </c>
      <c r="AR229" s="298">
        <f t="shared" si="139"/>
        <v>0</v>
      </c>
      <c r="AS229" s="298">
        <f t="shared" si="132"/>
        <v>0</v>
      </c>
      <c r="AT229" s="298">
        <f t="shared" si="140"/>
        <v>0</v>
      </c>
      <c r="AU229" s="285">
        <f t="shared" si="130"/>
        <v>8.41</v>
      </c>
      <c r="AV229" s="285">
        <v>8.41</v>
      </c>
      <c r="AW229" s="285"/>
      <c r="AX229" s="285"/>
      <c r="AY229" s="285"/>
      <c r="AZ229" s="285"/>
      <c r="BA229" s="285"/>
    </row>
    <row r="230" s="258" customFormat="1" ht="27" customHeight="1" spans="1:53">
      <c r="A230" s="283">
        <v>223</v>
      </c>
      <c r="B230" s="284" t="s">
        <v>195</v>
      </c>
      <c r="C230" s="284" t="s">
        <v>442</v>
      </c>
      <c r="D230" s="284" t="s">
        <v>487</v>
      </c>
      <c r="E230" s="284" t="s">
        <v>479</v>
      </c>
      <c r="F230" s="285">
        <f t="shared" si="112"/>
        <v>75.68</v>
      </c>
      <c r="G230" s="285"/>
      <c r="H230" s="285"/>
      <c r="I230" s="285"/>
      <c r="J230" s="285">
        <v>75.68</v>
      </c>
      <c r="K230" s="285"/>
      <c r="L230" s="285"/>
      <c r="M230" s="285"/>
      <c r="N230" s="285"/>
      <c r="O230" s="285" t="s">
        <v>1115</v>
      </c>
      <c r="P230" s="285">
        <f t="shared" si="113"/>
        <v>75.68</v>
      </c>
      <c r="Q230" s="285">
        <v>75.68</v>
      </c>
      <c r="R230" s="285"/>
      <c r="S230" s="285"/>
      <c r="T230" s="285"/>
      <c r="U230" s="285"/>
      <c r="V230" s="298">
        <f t="shared" si="131"/>
        <v>-0.2271</v>
      </c>
      <c r="W230" s="298"/>
      <c r="X230" s="298"/>
      <c r="Y230" s="298"/>
      <c r="Z230" s="298">
        <v>-0.2271</v>
      </c>
      <c r="AA230" s="298"/>
      <c r="AB230" s="298"/>
      <c r="AC230" s="298"/>
      <c r="AD230" s="298"/>
      <c r="AE230" s="285"/>
      <c r="AF230" s="299">
        <f t="shared" si="115"/>
        <v>-0.227100000000007</v>
      </c>
      <c r="AG230" s="299">
        <f t="shared" si="116"/>
        <v>-0.227100000000007</v>
      </c>
      <c r="AH230" s="299">
        <f t="shared" si="117"/>
        <v>0</v>
      </c>
      <c r="AI230" s="299">
        <f t="shared" si="118"/>
        <v>0</v>
      </c>
      <c r="AJ230" s="299">
        <f t="shared" si="119"/>
        <v>0</v>
      </c>
      <c r="AK230" s="299">
        <f t="shared" si="120"/>
        <v>0</v>
      </c>
      <c r="AL230" s="298">
        <f t="shared" si="133"/>
        <v>75.4529</v>
      </c>
      <c r="AM230" s="298">
        <f t="shared" si="134"/>
        <v>0</v>
      </c>
      <c r="AN230" s="298">
        <f t="shared" si="135"/>
        <v>0</v>
      </c>
      <c r="AO230" s="298">
        <f t="shared" si="136"/>
        <v>0</v>
      </c>
      <c r="AP230" s="298">
        <f t="shared" si="137"/>
        <v>75.4529</v>
      </c>
      <c r="AQ230" s="298">
        <f t="shared" si="138"/>
        <v>0</v>
      </c>
      <c r="AR230" s="298">
        <f t="shared" si="139"/>
        <v>0</v>
      </c>
      <c r="AS230" s="298">
        <f t="shared" si="132"/>
        <v>0</v>
      </c>
      <c r="AT230" s="298">
        <f t="shared" si="140"/>
        <v>0</v>
      </c>
      <c r="AU230" s="285">
        <f t="shared" si="130"/>
        <v>75.4529</v>
      </c>
      <c r="AV230" s="285">
        <v>75.4529</v>
      </c>
      <c r="AW230" s="285"/>
      <c r="AX230" s="285"/>
      <c r="AY230" s="285"/>
      <c r="AZ230" s="285"/>
      <c r="BA230" s="285"/>
    </row>
    <row r="231" s="258" customFormat="1" ht="27" customHeight="1" spans="1:53">
      <c r="A231" s="283">
        <v>224</v>
      </c>
      <c r="B231" s="284" t="s">
        <v>195</v>
      </c>
      <c r="C231" s="284" t="s">
        <v>442</v>
      </c>
      <c r="D231" s="284" t="s">
        <v>488</v>
      </c>
      <c r="E231" s="284" t="s">
        <v>454</v>
      </c>
      <c r="F231" s="285">
        <f t="shared" si="112"/>
        <v>21.64</v>
      </c>
      <c r="G231" s="285"/>
      <c r="H231" s="285"/>
      <c r="I231" s="285"/>
      <c r="J231" s="285">
        <v>21.64</v>
      </c>
      <c r="K231" s="285"/>
      <c r="L231" s="285"/>
      <c r="M231" s="285"/>
      <c r="N231" s="285"/>
      <c r="O231" s="285" t="s">
        <v>1116</v>
      </c>
      <c r="P231" s="285">
        <f t="shared" si="113"/>
        <v>21.64</v>
      </c>
      <c r="Q231" s="285">
        <v>21.64</v>
      </c>
      <c r="R231" s="285"/>
      <c r="S231" s="285"/>
      <c r="T231" s="285"/>
      <c r="U231" s="285"/>
      <c r="V231" s="298">
        <f t="shared" si="131"/>
        <v>0</v>
      </c>
      <c r="W231" s="298"/>
      <c r="X231" s="298"/>
      <c r="Y231" s="298"/>
      <c r="Z231" s="298"/>
      <c r="AA231" s="298"/>
      <c r="AB231" s="298"/>
      <c r="AC231" s="298"/>
      <c r="AD231" s="298"/>
      <c r="AE231" s="285"/>
      <c r="AF231" s="299">
        <f t="shared" si="115"/>
        <v>0</v>
      </c>
      <c r="AG231" s="299">
        <f t="shared" si="116"/>
        <v>0</v>
      </c>
      <c r="AH231" s="299">
        <f t="shared" si="117"/>
        <v>0</v>
      </c>
      <c r="AI231" s="299">
        <f t="shared" si="118"/>
        <v>0</v>
      </c>
      <c r="AJ231" s="299">
        <f t="shared" si="119"/>
        <v>0</v>
      </c>
      <c r="AK231" s="299">
        <f t="shared" si="120"/>
        <v>0</v>
      </c>
      <c r="AL231" s="298">
        <f t="shared" si="133"/>
        <v>21.64</v>
      </c>
      <c r="AM231" s="298">
        <f t="shared" si="134"/>
        <v>0</v>
      </c>
      <c r="AN231" s="298">
        <f t="shared" si="135"/>
        <v>0</v>
      </c>
      <c r="AO231" s="298">
        <f t="shared" si="136"/>
        <v>0</v>
      </c>
      <c r="AP231" s="298">
        <f t="shared" si="137"/>
        <v>21.64</v>
      </c>
      <c r="AQ231" s="298">
        <f t="shared" si="138"/>
        <v>0</v>
      </c>
      <c r="AR231" s="298">
        <f t="shared" si="139"/>
        <v>0</v>
      </c>
      <c r="AS231" s="298">
        <f t="shared" si="132"/>
        <v>0</v>
      </c>
      <c r="AT231" s="298">
        <f t="shared" si="140"/>
        <v>0</v>
      </c>
      <c r="AU231" s="285">
        <f t="shared" si="130"/>
        <v>21.64</v>
      </c>
      <c r="AV231" s="285">
        <v>21.64</v>
      </c>
      <c r="AW231" s="285"/>
      <c r="AX231" s="285"/>
      <c r="AY231" s="285"/>
      <c r="AZ231" s="285"/>
      <c r="BA231" s="285"/>
    </row>
    <row r="232" s="258" customFormat="1" ht="27" customHeight="1" spans="1:53">
      <c r="A232" s="283">
        <v>225</v>
      </c>
      <c r="B232" s="284" t="s">
        <v>195</v>
      </c>
      <c r="C232" s="284" t="s">
        <v>442</v>
      </c>
      <c r="D232" s="284" t="s">
        <v>489</v>
      </c>
      <c r="E232" s="284" t="s">
        <v>479</v>
      </c>
      <c r="F232" s="285">
        <f t="shared" si="112"/>
        <v>389.89</v>
      </c>
      <c r="G232" s="285"/>
      <c r="H232" s="285"/>
      <c r="I232" s="285"/>
      <c r="J232" s="285">
        <v>389.89</v>
      </c>
      <c r="K232" s="285"/>
      <c r="L232" s="285"/>
      <c r="M232" s="285"/>
      <c r="N232" s="285"/>
      <c r="O232" s="285" t="s">
        <v>1117</v>
      </c>
      <c r="P232" s="285">
        <f t="shared" si="113"/>
        <v>389.89</v>
      </c>
      <c r="Q232" s="285">
        <v>389.89</v>
      </c>
      <c r="R232" s="285"/>
      <c r="S232" s="285"/>
      <c r="T232" s="285"/>
      <c r="U232" s="285"/>
      <c r="V232" s="298">
        <f t="shared" si="131"/>
        <v>-6.088</v>
      </c>
      <c r="W232" s="298"/>
      <c r="X232" s="298"/>
      <c r="Y232" s="298"/>
      <c r="Z232" s="298">
        <v>-6.088</v>
      </c>
      <c r="AA232" s="298"/>
      <c r="AB232" s="298"/>
      <c r="AC232" s="298"/>
      <c r="AD232" s="298"/>
      <c r="AE232" s="285"/>
      <c r="AF232" s="299">
        <f t="shared" si="115"/>
        <v>-6.08799999999997</v>
      </c>
      <c r="AG232" s="299">
        <f t="shared" si="116"/>
        <v>-6.08799999999997</v>
      </c>
      <c r="AH232" s="299">
        <f t="shared" si="117"/>
        <v>0</v>
      </c>
      <c r="AI232" s="299">
        <f t="shared" si="118"/>
        <v>0</v>
      </c>
      <c r="AJ232" s="299">
        <f t="shared" si="119"/>
        <v>0</v>
      </c>
      <c r="AK232" s="299">
        <f t="shared" si="120"/>
        <v>0</v>
      </c>
      <c r="AL232" s="298">
        <f t="shared" si="133"/>
        <v>383.802</v>
      </c>
      <c r="AM232" s="298">
        <f t="shared" si="134"/>
        <v>0</v>
      </c>
      <c r="AN232" s="298">
        <f t="shared" si="135"/>
        <v>0</v>
      </c>
      <c r="AO232" s="298">
        <f t="shared" si="136"/>
        <v>0</v>
      </c>
      <c r="AP232" s="298">
        <f t="shared" si="137"/>
        <v>383.802</v>
      </c>
      <c r="AQ232" s="298">
        <f t="shared" si="138"/>
        <v>0</v>
      </c>
      <c r="AR232" s="298">
        <f t="shared" si="139"/>
        <v>0</v>
      </c>
      <c r="AS232" s="298">
        <f t="shared" si="132"/>
        <v>0</v>
      </c>
      <c r="AT232" s="298">
        <f t="shared" si="140"/>
        <v>0</v>
      </c>
      <c r="AU232" s="285">
        <f t="shared" si="130"/>
        <v>383.802</v>
      </c>
      <c r="AV232" s="285">
        <v>383.802</v>
      </c>
      <c r="AW232" s="285"/>
      <c r="AX232" s="285"/>
      <c r="AY232" s="285"/>
      <c r="AZ232" s="285"/>
      <c r="BA232" s="285"/>
    </row>
    <row r="233" s="258" customFormat="1" ht="27" customHeight="1" spans="1:53">
      <c r="A233" s="283">
        <v>226</v>
      </c>
      <c r="B233" s="284" t="s">
        <v>195</v>
      </c>
      <c r="C233" s="284" t="s">
        <v>199</v>
      </c>
      <c r="D233" s="284" t="s">
        <v>490</v>
      </c>
      <c r="E233" s="284" t="s">
        <v>491</v>
      </c>
      <c r="F233" s="285">
        <f t="shared" si="112"/>
        <v>29</v>
      </c>
      <c r="G233" s="285"/>
      <c r="H233" s="285"/>
      <c r="I233" s="285"/>
      <c r="J233" s="285"/>
      <c r="K233" s="285">
        <v>29</v>
      </c>
      <c r="L233" s="285" t="s">
        <v>1118</v>
      </c>
      <c r="M233" s="285"/>
      <c r="N233" s="285"/>
      <c r="O233" s="285"/>
      <c r="P233" s="285">
        <f t="shared" si="113"/>
        <v>29</v>
      </c>
      <c r="Q233" s="285">
        <v>29</v>
      </c>
      <c r="R233" s="285"/>
      <c r="S233" s="285"/>
      <c r="T233" s="285"/>
      <c r="U233" s="285"/>
      <c r="V233" s="298">
        <f t="shared" si="131"/>
        <v>0</v>
      </c>
      <c r="W233" s="298"/>
      <c r="X233" s="298"/>
      <c r="Y233" s="298"/>
      <c r="Z233" s="298"/>
      <c r="AA233" s="298"/>
      <c r="AB233" s="298"/>
      <c r="AC233" s="298"/>
      <c r="AD233" s="298"/>
      <c r="AE233" s="285"/>
      <c r="AF233" s="299">
        <f t="shared" si="115"/>
        <v>0</v>
      </c>
      <c r="AG233" s="299">
        <f t="shared" si="116"/>
        <v>0</v>
      </c>
      <c r="AH233" s="299">
        <f t="shared" si="117"/>
        <v>0</v>
      </c>
      <c r="AI233" s="299">
        <f t="shared" si="118"/>
        <v>0</v>
      </c>
      <c r="AJ233" s="299">
        <f t="shared" si="119"/>
        <v>0</v>
      </c>
      <c r="AK233" s="299">
        <f t="shared" si="120"/>
        <v>0</v>
      </c>
      <c r="AL233" s="298">
        <f t="shared" si="133"/>
        <v>29</v>
      </c>
      <c r="AM233" s="298">
        <f t="shared" si="134"/>
        <v>0</v>
      </c>
      <c r="AN233" s="298">
        <f t="shared" si="135"/>
        <v>0</v>
      </c>
      <c r="AO233" s="298">
        <f t="shared" si="136"/>
        <v>0</v>
      </c>
      <c r="AP233" s="298">
        <f t="shared" si="137"/>
        <v>0</v>
      </c>
      <c r="AQ233" s="298">
        <f t="shared" si="138"/>
        <v>29</v>
      </c>
      <c r="AR233" s="298">
        <f t="shared" si="139"/>
        <v>0</v>
      </c>
      <c r="AS233" s="298">
        <f t="shared" si="132"/>
        <v>0</v>
      </c>
      <c r="AT233" s="298">
        <f t="shared" si="140"/>
        <v>0</v>
      </c>
      <c r="AU233" s="285">
        <f t="shared" si="130"/>
        <v>29</v>
      </c>
      <c r="AV233" s="285">
        <v>29</v>
      </c>
      <c r="AW233" s="285"/>
      <c r="AX233" s="285"/>
      <c r="AY233" s="285"/>
      <c r="AZ233" s="285"/>
      <c r="BA233" s="285"/>
    </row>
    <row r="234" s="258" customFormat="1" ht="27" customHeight="1" spans="1:53">
      <c r="A234" s="283">
        <v>227</v>
      </c>
      <c r="B234" s="284" t="s">
        <v>195</v>
      </c>
      <c r="C234" s="284" t="s">
        <v>442</v>
      </c>
      <c r="D234" s="284" t="s">
        <v>492</v>
      </c>
      <c r="E234" s="284" t="s">
        <v>454</v>
      </c>
      <c r="F234" s="285">
        <f t="shared" si="112"/>
        <v>26.29</v>
      </c>
      <c r="G234" s="285"/>
      <c r="H234" s="285"/>
      <c r="I234" s="285"/>
      <c r="J234" s="285">
        <v>26.29</v>
      </c>
      <c r="K234" s="285"/>
      <c r="L234" s="285"/>
      <c r="M234" s="285"/>
      <c r="N234" s="285"/>
      <c r="O234" s="285" t="s">
        <v>1119</v>
      </c>
      <c r="P234" s="285">
        <f t="shared" si="113"/>
        <v>26.29</v>
      </c>
      <c r="Q234" s="285">
        <v>26.29</v>
      </c>
      <c r="R234" s="285"/>
      <c r="S234" s="285"/>
      <c r="T234" s="285"/>
      <c r="U234" s="285"/>
      <c r="V234" s="298">
        <f t="shared" si="131"/>
        <v>0</v>
      </c>
      <c r="W234" s="298"/>
      <c r="X234" s="298"/>
      <c r="Y234" s="298"/>
      <c r="Z234" s="298"/>
      <c r="AA234" s="298"/>
      <c r="AB234" s="298"/>
      <c r="AC234" s="298"/>
      <c r="AD234" s="298"/>
      <c r="AE234" s="285"/>
      <c r="AF234" s="299">
        <f t="shared" si="115"/>
        <v>0</v>
      </c>
      <c r="AG234" s="299">
        <f t="shared" si="116"/>
        <v>0</v>
      </c>
      <c r="AH234" s="299">
        <f t="shared" si="117"/>
        <v>0</v>
      </c>
      <c r="AI234" s="299">
        <f t="shared" si="118"/>
        <v>0</v>
      </c>
      <c r="AJ234" s="299">
        <f t="shared" si="119"/>
        <v>0</v>
      </c>
      <c r="AK234" s="299">
        <f t="shared" si="120"/>
        <v>0</v>
      </c>
      <c r="AL234" s="298">
        <f t="shared" si="133"/>
        <v>26.29</v>
      </c>
      <c r="AM234" s="298">
        <f t="shared" si="134"/>
        <v>0</v>
      </c>
      <c r="AN234" s="298">
        <f t="shared" si="135"/>
        <v>0</v>
      </c>
      <c r="AO234" s="298">
        <f t="shared" si="136"/>
        <v>0</v>
      </c>
      <c r="AP234" s="298">
        <f t="shared" si="137"/>
        <v>26.29</v>
      </c>
      <c r="AQ234" s="298">
        <f t="shared" si="138"/>
        <v>0</v>
      </c>
      <c r="AR234" s="298">
        <f t="shared" si="139"/>
        <v>0</v>
      </c>
      <c r="AS234" s="298">
        <f t="shared" si="132"/>
        <v>0</v>
      </c>
      <c r="AT234" s="298">
        <f t="shared" si="140"/>
        <v>0</v>
      </c>
      <c r="AU234" s="285">
        <f t="shared" si="130"/>
        <v>26.29</v>
      </c>
      <c r="AV234" s="285">
        <v>26.29</v>
      </c>
      <c r="AW234" s="285"/>
      <c r="AX234" s="285"/>
      <c r="AY234" s="285"/>
      <c r="AZ234" s="285"/>
      <c r="BA234" s="285"/>
    </row>
    <row r="235" s="258" customFormat="1" ht="27" customHeight="1" spans="1:53">
      <c r="A235" s="283">
        <v>228</v>
      </c>
      <c r="B235" s="284" t="s">
        <v>195</v>
      </c>
      <c r="C235" s="284" t="s">
        <v>438</v>
      </c>
      <c r="D235" s="284" t="s">
        <v>493</v>
      </c>
      <c r="E235" s="284" t="s">
        <v>479</v>
      </c>
      <c r="F235" s="285">
        <f t="shared" si="112"/>
        <v>206.93</v>
      </c>
      <c r="G235" s="285"/>
      <c r="H235" s="285"/>
      <c r="I235" s="285"/>
      <c r="J235" s="285">
        <v>206.93</v>
      </c>
      <c r="K235" s="285"/>
      <c r="L235" s="285"/>
      <c r="M235" s="285"/>
      <c r="N235" s="285"/>
      <c r="O235" s="285" t="s">
        <v>1120</v>
      </c>
      <c r="P235" s="285">
        <f t="shared" si="113"/>
        <v>206.93</v>
      </c>
      <c r="Q235" s="285">
        <v>206.93</v>
      </c>
      <c r="R235" s="285"/>
      <c r="S235" s="285"/>
      <c r="T235" s="285"/>
      <c r="U235" s="285"/>
      <c r="V235" s="298">
        <f t="shared" si="131"/>
        <v>0.39</v>
      </c>
      <c r="W235" s="298"/>
      <c r="X235" s="298"/>
      <c r="Y235" s="298"/>
      <c r="Z235" s="298">
        <v>0.39</v>
      </c>
      <c r="AA235" s="298"/>
      <c r="AB235" s="298"/>
      <c r="AC235" s="298"/>
      <c r="AD235" s="298"/>
      <c r="AE235" s="285"/>
      <c r="AF235" s="299">
        <f t="shared" si="115"/>
        <v>0.389999999999986</v>
      </c>
      <c r="AG235" s="299">
        <f t="shared" si="116"/>
        <v>0.389999999999986</v>
      </c>
      <c r="AH235" s="299">
        <f t="shared" si="117"/>
        <v>0</v>
      </c>
      <c r="AI235" s="299">
        <f t="shared" si="118"/>
        <v>0</v>
      </c>
      <c r="AJ235" s="299">
        <f t="shared" si="119"/>
        <v>0</v>
      </c>
      <c r="AK235" s="299">
        <f t="shared" si="120"/>
        <v>0</v>
      </c>
      <c r="AL235" s="298">
        <f t="shared" si="133"/>
        <v>207.32</v>
      </c>
      <c r="AM235" s="298">
        <f t="shared" si="134"/>
        <v>0</v>
      </c>
      <c r="AN235" s="298">
        <f t="shared" si="135"/>
        <v>0</v>
      </c>
      <c r="AO235" s="298">
        <f t="shared" si="136"/>
        <v>0</v>
      </c>
      <c r="AP235" s="298">
        <f t="shared" si="137"/>
        <v>207.32</v>
      </c>
      <c r="AQ235" s="298">
        <f t="shared" si="138"/>
        <v>0</v>
      </c>
      <c r="AR235" s="298">
        <f t="shared" si="139"/>
        <v>0</v>
      </c>
      <c r="AS235" s="298">
        <f t="shared" si="132"/>
        <v>0</v>
      </c>
      <c r="AT235" s="298">
        <f t="shared" si="140"/>
        <v>0</v>
      </c>
      <c r="AU235" s="285">
        <f t="shared" si="130"/>
        <v>207.32</v>
      </c>
      <c r="AV235" s="285">
        <v>207.32</v>
      </c>
      <c r="AW235" s="285"/>
      <c r="AX235" s="285"/>
      <c r="AY235" s="285"/>
      <c r="AZ235" s="285"/>
      <c r="BA235" s="285"/>
    </row>
    <row r="236" s="258" customFormat="1" ht="27" customHeight="1" spans="1:53">
      <c r="A236" s="283">
        <v>229</v>
      </c>
      <c r="B236" s="284" t="s">
        <v>195</v>
      </c>
      <c r="C236" s="284" t="s">
        <v>438</v>
      </c>
      <c r="D236" s="284" t="s">
        <v>494</v>
      </c>
      <c r="E236" s="284" t="s">
        <v>479</v>
      </c>
      <c r="F236" s="285">
        <f t="shared" si="112"/>
        <v>201.31</v>
      </c>
      <c r="G236" s="285"/>
      <c r="H236" s="285"/>
      <c r="I236" s="285"/>
      <c r="J236" s="285">
        <v>201.31</v>
      </c>
      <c r="K236" s="285"/>
      <c r="L236" s="285"/>
      <c r="M236" s="285"/>
      <c r="N236" s="285"/>
      <c r="O236" s="285" t="s">
        <v>1121</v>
      </c>
      <c r="P236" s="285">
        <f t="shared" si="113"/>
        <v>201.31</v>
      </c>
      <c r="Q236" s="285">
        <v>201.31</v>
      </c>
      <c r="R236" s="285"/>
      <c r="S236" s="285"/>
      <c r="T236" s="285"/>
      <c r="U236" s="285"/>
      <c r="V236" s="298">
        <f t="shared" si="131"/>
        <v>-0.9655</v>
      </c>
      <c r="W236" s="298"/>
      <c r="X236" s="298"/>
      <c r="Y236" s="298"/>
      <c r="Z236" s="298">
        <v>-0.9655</v>
      </c>
      <c r="AA236" s="298"/>
      <c r="AB236" s="298"/>
      <c r="AC236" s="298"/>
      <c r="AD236" s="298"/>
      <c r="AE236" s="285"/>
      <c r="AF236" s="299">
        <f t="shared" si="115"/>
        <v>-0.965499999999992</v>
      </c>
      <c r="AG236" s="299">
        <f t="shared" si="116"/>
        <v>-0.965499999999992</v>
      </c>
      <c r="AH236" s="299">
        <f t="shared" si="117"/>
        <v>0</v>
      </c>
      <c r="AI236" s="299">
        <f t="shared" si="118"/>
        <v>0</v>
      </c>
      <c r="AJ236" s="299">
        <f t="shared" si="119"/>
        <v>0</v>
      </c>
      <c r="AK236" s="299">
        <f t="shared" si="120"/>
        <v>0</v>
      </c>
      <c r="AL236" s="298">
        <f t="shared" si="133"/>
        <v>200.3445</v>
      </c>
      <c r="AM236" s="298">
        <f t="shared" si="134"/>
        <v>0</v>
      </c>
      <c r="AN236" s="298">
        <f t="shared" si="135"/>
        <v>0</v>
      </c>
      <c r="AO236" s="298">
        <f t="shared" si="136"/>
        <v>0</v>
      </c>
      <c r="AP236" s="298">
        <f t="shared" si="137"/>
        <v>200.3445</v>
      </c>
      <c r="AQ236" s="298">
        <f t="shared" si="138"/>
        <v>0</v>
      </c>
      <c r="AR236" s="298">
        <f t="shared" si="139"/>
        <v>0</v>
      </c>
      <c r="AS236" s="298">
        <f t="shared" si="132"/>
        <v>0</v>
      </c>
      <c r="AT236" s="298">
        <f t="shared" si="140"/>
        <v>0</v>
      </c>
      <c r="AU236" s="285">
        <f t="shared" si="130"/>
        <v>200.3445</v>
      </c>
      <c r="AV236" s="285">
        <v>200.3445</v>
      </c>
      <c r="AW236" s="285"/>
      <c r="AX236" s="285"/>
      <c r="AY236" s="285"/>
      <c r="AZ236" s="285"/>
      <c r="BA236" s="285"/>
    </row>
    <row r="237" s="258" customFormat="1" ht="27" customHeight="1" spans="1:53">
      <c r="A237" s="283">
        <v>230</v>
      </c>
      <c r="B237" s="284" t="s">
        <v>195</v>
      </c>
      <c r="C237" s="284" t="s">
        <v>442</v>
      </c>
      <c r="D237" s="284" t="s">
        <v>495</v>
      </c>
      <c r="E237" s="284" t="s">
        <v>444</v>
      </c>
      <c r="F237" s="285">
        <f t="shared" si="112"/>
        <v>26.4</v>
      </c>
      <c r="G237" s="285"/>
      <c r="H237" s="285"/>
      <c r="I237" s="285"/>
      <c r="J237" s="285">
        <v>26.4</v>
      </c>
      <c r="K237" s="285"/>
      <c r="L237" s="285"/>
      <c r="M237" s="285"/>
      <c r="N237" s="285"/>
      <c r="O237" s="285" t="s">
        <v>1122</v>
      </c>
      <c r="P237" s="285">
        <f t="shared" si="113"/>
        <v>26.4</v>
      </c>
      <c r="Q237" s="285">
        <v>26.4</v>
      </c>
      <c r="R237" s="285"/>
      <c r="S237" s="285"/>
      <c r="T237" s="285"/>
      <c r="U237" s="285"/>
      <c r="V237" s="298">
        <f t="shared" si="131"/>
        <v>0</v>
      </c>
      <c r="W237" s="298"/>
      <c r="X237" s="298"/>
      <c r="Y237" s="298"/>
      <c r="Z237" s="298"/>
      <c r="AA237" s="298"/>
      <c r="AB237" s="298"/>
      <c r="AC237" s="298"/>
      <c r="AD237" s="298"/>
      <c r="AE237" s="285"/>
      <c r="AF237" s="299">
        <f t="shared" si="115"/>
        <v>0</v>
      </c>
      <c r="AG237" s="299">
        <f t="shared" si="116"/>
        <v>0</v>
      </c>
      <c r="AH237" s="299">
        <f t="shared" si="117"/>
        <v>0</v>
      </c>
      <c r="AI237" s="299">
        <f t="shared" si="118"/>
        <v>0</v>
      </c>
      <c r="AJ237" s="299">
        <f t="shared" si="119"/>
        <v>0</v>
      </c>
      <c r="AK237" s="299">
        <f t="shared" si="120"/>
        <v>0</v>
      </c>
      <c r="AL237" s="298">
        <f t="shared" si="133"/>
        <v>26.4</v>
      </c>
      <c r="AM237" s="298">
        <f t="shared" si="134"/>
        <v>0</v>
      </c>
      <c r="AN237" s="298">
        <f t="shared" si="135"/>
        <v>0</v>
      </c>
      <c r="AO237" s="298">
        <f t="shared" si="136"/>
        <v>0</v>
      </c>
      <c r="AP237" s="298">
        <f t="shared" si="137"/>
        <v>26.4</v>
      </c>
      <c r="AQ237" s="298">
        <f t="shared" si="138"/>
        <v>0</v>
      </c>
      <c r="AR237" s="298">
        <f t="shared" si="139"/>
        <v>0</v>
      </c>
      <c r="AS237" s="298">
        <f t="shared" si="132"/>
        <v>0</v>
      </c>
      <c r="AT237" s="298">
        <f t="shared" si="140"/>
        <v>0</v>
      </c>
      <c r="AU237" s="285">
        <f t="shared" si="130"/>
        <v>26.4</v>
      </c>
      <c r="AV237" s="285">
        <v>26.4</v>
      </c>
      <c r="AW237" s="285"/>
      <c r="AX237" s="285"/>
      <c r="AY237" s="285"/>
      <c r="AZ237" s="285"/>
      <c r="BA237" s="285"/>
    </row>
    <row r="238" s="258" customFormat="1" ht="27" customHeight="1" spans="1:53">
      <c r="A238" s="283">
        <v>231</v>
      </c>
      <c r="B238" s="284" t="s">
        <v>195</v>
      </c>
      <c r="C238" s="284" t="s">
        <v>438</v>
      </c>
      <c r="D238" s="284" t="s">
        <v>496</v>
      </c>
      <c r="E238" s="284" t="s">
        <v>479</v>
      </c>
      <c r="F238" s="285">
        <f t="shared" si="112"/>
        <v>242.14</v>
      </c>
      <c r="G238" s="285"/>
      <c r="H238" s="285"/>
      <c r="I238" s="285"/>
      <c r="J238" s="285">
        <v>242.14</v>
      </c>
      <c r="K238" s="285"/>
      <c r="L238" s="285"/>
      <c r="M238" s="285"/>
      <c r="N238" s="285"/>
      <c r="O238" s="285" t="s">
        <v>1123</v>
      </c>
      <c r="P238" s="285">
        <f t="shared" si="113"/>
        <v>242.14</v>
      </c>
      <c r="Q238" s="285">
        <v>242.14</v>
      </c>
      <c r="R238" s="285"/>
      <c r="S238" s="285"/>
      <c r="T238" s="285"/>
      <c r="U238" s="285"/>
      <c r="V238" s="298">
        <f t="shared" si="131"/>
        <v>-11.421</v>
      </c>
      <c r="W238" s="298"/>
      <c r="X238" s="298"/>
      <c r="Y238" s="298"/>
      <c r="Z238" s="298">
        <v>-11.421</v>
      </c>
      <c r="AA238" s="298"/>
      <c r="AB238" s="298"/>
      <c r="AC238" s="298"/>
      <c r="AD238" s="298"/>
      <c r="AE238" s="285"/>
      <c r="AF238" s="299">
        <f t="shared" si="115"/>
        <v>-11.421</v>
      </c>
      <c r="AG238" s="299">
        <f t="shared" si="116"/>
        <v>-11.421</v>
      </c>
      <c r="AH238" s="299">
        <f t="shared" si="117"/>
        <v>0</v>
      </c>
      <c r="AI238" s="299">
        <f t="shared" si="118"/>
        <v>0</v>
      </c>
      <c r="AJ238" s="299">
        <f t="shared" si="119"/>
        <v>0</v>
      </c>
      <c r="AK238" s="299">
        <f t="shared" si="120"/>
        <v>0</v>
      </c>
      <c r="AL238" s="298">
        <f t="shared" si="133"/>
        <v>230.719</v>
      </c>
      <c r="AM238" s="298">
        <f t="shared" si="134"/>
        <v>0</v>
      </c>
      <c r="AN238" s="298">
        <f t="shared" si="135"/>
        <v>0</v>
      </c>
      <c r="AO238" s="298">
        <f t="shared" si="136"/>
        <v>0</v>
      </c>
      <c r="AP238" s="298">
        <f t="shared" si="137"/>
        <v>230.719</v>
      </c>
      <c r="AQ238" s="298">
        <f t="shared" si="138"/>
        <v>0</v>
      </c>
      <c r="AR238" s="298">
        <f t="shared" si="139"/>
        <v>0</v>
      </c>
      <c r="AS238" s="298">
        <f t="shared" si="132"/>
        <v>0</v>
      </c>
      <c r="AT238" s="298">
        <f t="shared" si="140"/>
        <v>0</v>
      </c>
      <c r="AU238" s="285">
        <f t="shared" si="130"/>
        <v>230.719</v>
      </c>
      <c r="AV238" s="285">
        <v>230.719</v>
      </c>
      <c r="AW238" s="285"/>
      <c r="AX238" s="285"/>
      <c r="AY238" s="285"/>
      <c r="AZ238" s="285"/>
      <c r="BA238" s="285"/>
    </row>
    <row r="239" s="258" customFormat="1" ht="27" customHeight="1" spans="1:53">
      <c r="A239" s="283">
        <v>232</v>
      </c>
      <c r="B239" s="284" t="s">
        <v>195</v>
      </c>
      <c r="C239" s="284" t="s">
        <v>438</v>
      </c>
      <c r="D239" s="284" t="s">
        <v>497</v>
      </c>
      <c r="E239" s="284" t="s">
        <v>479</v>
      </c>
      <c r="F239" s="285">
        <f t="shared" si="112"/>
        <v>202.68</v>
      </c>
      <c r="G239" s="285"/>
      <c r="H239" s="285"/>
      <c r="I239" s="285"/>
      <c r="J239" s="285">
        <v>202.68</v>
      </c>
      <c r="K239" s="285"/>
      <c r="L239" s="285"/>
      <c r="M239" s="285"/>
      <c r="N239" s="285"/>
      <c r="O239" s="285" t="s">
        <v>1124</v>
      </c>
      <c r="P239" s="285">
        <f t="shared" si="113"/>
        <v>202.68</v>
      </c>
      <c r="Q239" s="285">
        <v>202.68</v>
      </c>
      <c r="R239" s="285"/>
      <c r="S239" s="285"/>
      <c r="T239" s="285"/>
      <c r="U239" s="285"/>
      <c r="V239" s="298">
        <f t="shared" si="131"/>
        <v>4.64</v>
      </c>
      <c r="W239" s="298"/>
      <c r="X239" s="298"/>
      <c r="Y239" s="298"/>
      <c r="Z239" s="298">
        <v>4.64</v>
      </c>
      <c r="AA239" s="298"/>
      <c r="AB239" s="298"/>
      <c r="AC239" s="298"/>
      <c r="AD239" s="298"/>
      <c r="AE239" s="285"/>
      <c r="AF239" s="299">
        <f t="shared" si="115"/>
        <v>4.63999999999999</v>
      </c>
      <c r="AG239" s="299">
        <f t="shared" si="116"/>
        <v>4.63999999999999</v>
      </c>
      <c r="AH239" s="299">
        <f t="shared" si="117"/>
        <v>0</v>
      </c>
      <c r="AI239" s="299">
        <f t="shared" si="118"/>
        <v>0</v>
      </c>
      <c r="AJ239" s="299">
        <f t="shared" si="119"/>
        <v>0</v>
      </c>
      <c r="AK239" s="299">
        <f t="shared" si="120"/>
        <v>0</v>
      </c>
      <c r="AL239" s="298">
        <f t="shared" si="133"/>
        <v>207.32</v>
      </c>
      <c r="AM239" s="298">
        <f t="shared" si="134"/>
        <v>0</v>
      </c>
      <c r="AN239" s="298">
        <f t="shared" si="135"/>
        <v>0</v>
      </c>
      <c r="AO239" s="298">
        <f t="shared" si="136"/>
        <v>0</v>
      </c>
      <c r="AP239" s="298">
        <f t="shared" si="137"/>
        <v>207.32</v>
      </c>
      <c r="AQ239" s="298">
        <f t="shared" si="138"/>
        <v>0</v>
      </c>
      <c r="AR239" s="298">
        <f t="shared" si="139"/>
        <v>0</v>
      </c>
      <c r="AS239" s="298">
        <f t="shared" si="132"/>
        <v>0</v>
      </c>
      <c r="AT239" s="298">
        <f t="shared" si="140"/>
        <v>0</v>
      </c>
      <c r="AU239" s="285">
        <f t="shared" si="130"/>
        <v>207.32</v>
      </c>
      <c r="AV239" s="285">
        <v>207.32</v>
      </c>
      <c r="AW239" s="285"/>
      <c r="AX239" s="285"/>
      <c r="AY239" s="285"/>
      <c r="AZ239" s="285"/>
      <c r="BA239" s="285"/>
    </row>
    <row r="240" s="258" customFormat="1" ht="27" customHeight="1" spans="1:53">
      <c r="A240" s="283">
        <v>233</v>
      </c>
      <c r="B240" s="284" t="s">
        <v>195</v>
      </c>
      <c r="C240" s="284" t="s">
        <v>442</v>
      </c>
      <c r="D240" s="284" t="s">
        <v>498</v>
      </c>
      <c r="E240" s="284" t="s">
        <v>444</v>
      </c>
      <c r="F240" s="285">
        <f t="shared" si="112"/>
        <v>11.34</v>
      </c>
      <c r="G240" s="285"/>
      <c r="H240" s="285"/>
      <c r="I240" s="285"/>
      <c r="J240" s="285">
        <v>11.34</v>
      </c>
      <c r="K240" s="285"/>
      <c r="L240" s="285"/>
      <c r="M240" s="285"/>
      <c r="N240" s="285"/>
      <c r="O240" s="285" t="s">
        <v>1125</v>
      </c>
      <c r="P240" s="285">
        <f t="shared" si="113"/>
        <v>11.34</v>
      </c>
      <c r="Q240" s="285">
        <v>11.34</v>
      </c>
      <c r="R240" s="285"/>
      <c r="S240" s="285"/>
      <c r="T240" s="285"/>
      <c r="U240" s="285"/>
      <c r="V240" s="298">
        <f t="shared" si="131"/>
        <v>0</v>
      </c>
      <c r="W240" s="298"/>
      <c r="X240" s="298"/>
      <c r="Y240" s="298"/>
      <c r="Z240" s="298"/>
      <c r="AA240" s="298"/>
      <c r="AB240" s="298"/>
      <c r="AC240" s="298"/>
      <c r="AD240" s="298"/>
      <c r="AE240" s="285"/>
      <c r="AF240" s="299">
        <f t="shared" si="115"/>
        <v>0</v>
      </c>
      <c r="AG240" s="299">
        <f t="shared" si="116"/>
        <v>0</v>
      </c>
      <c r="AH240" s="299">
        <f t="shared" si="117"/>
        <v>0</v>
      </c>
      <c r="AI240" s="299">
        <f t="shared" si="118"/>
        <v>0</v>
      </c>
      <c r="AJ240" s="299">
        <f t="shared" si="119"/>
        <v>0</v>
      </c>
      <c r="AK240" s="299">
        <f t="shared" si="120"/>
        <v>0</v>
      </c>
      <c r="AL240" s="298">
        <f t="shared" si="133"/>
        <v>11.34</v>
      </c>
      <c r="AM240" s="298">
        <f t="shared" si="134"/>
        <v>0</v>
      </c>
      <c r="AN240" s="298">
        <f t="shared" si="135"/>
        <v>0</v>
      </c>
      <c r="AO240" s="298">
        <f t="shared" si="136"/>
        <v>0</v>
      </c>
      <c r="AP240" s="298">
        <f t="shared" si="137"/>
        <v>11.34</v>
      </c>
      <c r="AQ240" s="298">
        <f t="shared" si="138"/>
        <v>0</v>
      </c>
      <c r="AR240" s="298">
        <f t="shared" si="139"/>
        <v>0</v>
      </c>
      <c r="AS240" s="298">
        <f t="shared" si="132"/>
        <v>0</v>
      </c>
      <c r="AT240" s="298">
        <f t="shared" si="140"/>
        <v>0</v>
      </c>
      <c r="AU240" s="285">
        <f t="shared" si="130"/>
        <v>11.34</v>
      </c>
      <c r="AV240" s="285">
        <v>11.34</v>
      </c>
      <c r="AW240" s="285"/>
      <c r="AX240" s="285"/>
      <c r="AY240" s="285"/>
      <c r="AZ240" s="285"/>
      <c r="BA240" s="285"/>
    </row>
    <row r="241" s="258" customFormat="1" ht="27" customHeight="1" spans="1:53">
      <c r="A241" s="283">
        <v>234</v>
      </c>
      <c r="B241" s="284" t="s">
        <v>195</v>
      </c>
      <c r="C241" s="284" t="s">
        <v>438</v>
      </c>
      <c r="D241" s="284" t="s">
        <v>499</v>
      </c>
      <c r="E241" s="284" t="s">
        <v>479</v>
      </c>
      <c r="F241" s="285">
        <f t="shared" si="112"/>
        <v>96.31</v>
      </c>
      <c r="G241" s="285"/>
      <c r="H241" s="285"/>
      <c r="I241" s="285"/>
      <c r="J241" s="285">
        <v>96.31</v>
      </c>
      <c r="K241" s="285"/>
      <c r="L241" s="285"/>
      <c r="M241" s="285"/>
      <c r="N241" s="285"/>
      <c r="O241" s="285" t="s">
        <v>1126</v>
      </c>
      <c r="P241" s="285">
        <f t="shared" si="113"/>
        <v>96.31</v>
      </c>
      <c r="Q241" s="285">
        <v>96.31</v>
      </c>
      <c r="R241" s="285"/>
      <c r="S241" s="285"/>
      <c r="T241" s="285"/>
      <c r="U241" s="285"/>
      <c r="V241" s="298">
        <f t="shared" si="131"/>
        <v>-0.32</v>
      </c>
      <c r="W241" s="298"/>
      <c r="X241" s="298"/>
      <c r="Y241" s="298"/>
      <c r="Z241" s="298">
        <v>-0.32</v>
      </c>
      <c r="AA241" s="298"/>
      <c r="AB241" s="298"/>
      <c r="AC241" s="298"/>
      <c r="AD241" s="298"/>
      <c r="AE241" s="285"/>
      <c r="AF241" s="299">
        <f t="shared" si="115"/>
        <v>-0.320000000000007</v>
      </c>
      <c r="AG241" s="299">
        <f t="shared" si="116"/>
        <v>-0.320000000000007</v>
      </c>
      <c r="AH241" s="299">
        <f t="shared" si="117"/>
        <v>0</v>
      </c>
      <c r="AI241" s="299">
        <f t="shared" si="118"/>
        <v>0</v>
      </c>
      <c r="AJ241" s="299">
        <f t="shared" si="119"/>
        <v>0</v>
      </c>
      <c r="AK241" s="299">
        <f t="shared" si="120"/>
        <v>0</v>
      </c>
      <c r="AL241" s="298">
        <f t="shared" si="133"/>
        <v>95.99</v>
      </c>
      <c r="AM241" s="298">
        <f t="shared" si="134"/>
        <v>0</v>
      </c>
      <c r="AN241" s="298">
        <f t="shared" si="135"/>
        <v>0</v>
      </c>
      <c r="AO241" s="298">
        <f t="shared" si="136"/>
        <v>0</v>
      </c>
      <c r="AP241" s="298">
        <f t="shared" si="137"/>
        <v>95.99</v>
      </c>
      <c r="AQ241" s="298">
        <f t="shared" si="138"/>
        <v>0</v>
      </c>
      <c r="AR241" s="298">
        <f t="shared" si="139"/>
        <v>0</v>
      </c>
      <c r="AS241" s="298">
        <f t="shared" si="132"/>
        <v>0</v>
      </c>
      <c r="AT241" s="298">
        <f t="shared" si="140"/>
        <v>0</v>
      </c>
      <c r="AU241" s="285">
        <f t="shared" si="130"/>
        <v>95.99</v>
      </c>
      <c r="AV241" s="285">
        <v>95.99</v>
      </c>
      <c r="AW241" s="285"/>
      <c r="AX241" s="285"/>
      <c r="AY241" s="285"/>
      <c r="AZ241" s="285"/>
      <c r="BA241" s="285"/>
    </row>
    <row r="242" s="258" customFormat="1" ht="27" customHeight="1" spans="1:53">
      <c r="A242" s="283">
        <v>235</v>
      </c>
      <c r="B242" s="284" t="s">
        <v>195</v>
      </c>
      <c r="C242" s="284" t="s">
        <v>438</v>
      </c>
      <c r="D242" s="284" t="s">
        <v>500</v>
      </c>
      <c r="E242" s="284" t="s">
        <v>479</v>
      </c>
      <c r="F242" s="285">
        <f t="shared" si="112"/>
        <v>54.99</v>
      </c>
      <c r="G242" s="285"/>
      <c r="H242" s="285"/>
      <c r="I242" s="285"/>
      <c r="J242" s="285">
        <v>54.99</v>
      </c>
      <c r="K242" s="285"/>
      <c r="L242" s="285"/>
      <c r="M242" s="285"/>
      <c r="N242" s="285"/>
      <c r="O242" s="285" t="s">
        <v>1127</v>
      </c>
      <c r="P242" s="285">
        <f t="shared" si="113"/>
        <v>54.99</v>
      </c>
      <c r="Q242" s="285">
        <v>54.99</v>
      </c>
      <c r="R242" s="285"/>
      <c r="S242" s="285"/>
      <c r="T242" s="285"/>
      <c r="U242" s="285"/>
      <c r="V242" s="298">
        <f t="shared" si="131"/>
        <v>-7.128</v>
      </c>
      <c r="W242" s="298"/>
      <c r="X242" s="298"/>
      <c r="Y242" s="298"/>
      <c r="Z242" s="298">
        <v>-7.128</v>
      </c>
      <c r="AA242" s="298"/>
      <c r="AB242" s="298"/>
      <c r="AC242" s="298"/>
      <c r="AD242" s="298"/>
      <c r="AE242" s="285"/>
      <c r="AF242" s="299">
        <f t="shared" si="115"/>
        <v>-7.128</v>
      </c>
      <c r="AG242" s="299">
        <f t="shared" si="116"/>
        <v>-7.128</v>
      </c>
      <c r="AH242" s="299">
        <f t="shared" si="117"/>
        <v>0</v>
      </c>
      <c r="AI242" s="299">
        <f t="shared" si="118"/>
        <v>0</v>
      </c>
      <c r="AJ242" s="299">
        <f t="shared" si="119"/>
        <v>0</v>
      </c>
      <c r="AK242" s="299">
        <f t="shared" si="120"/>
        <v>0</v>
      </c>
      <c r="AL242" s="298">
        <f t="shared" si="133"/>
        <v>47.862</v>
      </c>
      <c r="AM242" s="298">
        <f t="shared" si="134"/>
        <v>0</v>
      </c>
      <c r="AN242" s="298">
        <f t="shared" si="135"/>
        <v>0</v>
      </c>
      <c r="AO242" s="298">
        <f t="shared" si="136"/>
        <v>0</v>
      </c>
      <c r="AP242" s="298">
        <f t="shared" si="137"/>
        <v>47.862</v>
      </c>
      <c r="AQ242" s="298">
        <f t="shared" si="138"/>
        <v>0</v>
      </c>
      <c r="AR242" s="298">
        <f t="shared" si="139"/>
        <v>0</v>
      </c>
      <c r="AS242" s="298">
        <f t="shared" si="132"/>
        <v>0</v>
      </c>
      <c r="AT242" s="298">
        <f t="shared" si="140"/>
        <v>0</v>
      </c>
      <c r="AU242" s="285">
        <f t="shared" si="130"/>
        <v>47.862</v>
      </c>
      <c r="AV242" s="285">
        <v>47.862</v>
      </c>
      <c r="AW242" s="285"/>
      <c r="AX242" s="285"/>
      <c r="AY242" s="285"/>
      <c r="AZ242" s="285"/>
      <c r="BA242" s="285"/>
    </row>
    <row r="243" s="258" customFormat="1" ht="27" customHeight="1" spans="1:53">
      <c r="A243" s="283">
        <v>236</v>
      </c>
      <c r="B243" s="284" t="s">
        <v>195</v>
      </c>
      <c r="C243" s="284" t="s">
        <v>438</v>
      </c>
      <c r="D243" s="284" t="s">
        <v>501</v>
      </c>
      <c r="E243" s="284" t="s">
        <v>479</v>
      </c>
      <c r="F243" s="285">
        <f t="shared" si="112"/>
        <v>36.9</v>
      </c>
      <c r="G243" s="285"/>
      <c r="H243" s="285"/>
      <c r="I243" s="285"/>
      <c r="J243" s="285">
        <v>36.9</v>
      </c>
      <c r="K243" s="285"/>
      <c r="L243" s="285"/>
      <c r="M243" s="285"/>
      <c r="N243" s="285"/>
      <c r="O243" s="285" t="s">
        <v>1128</v>
      </c>
      <c r="P243" s="285">
        <f t="shared" si="113"/>
        <v>36.9</v>
      </c>
      <c r="Q243" s="285">
        <v>36.9</v>
      </c>
      <c r="R243" s="285"/>
      <c r="S243" s="285"/>
      <c r="T243" s="285"/>
      <c r="U243" s="285"/>
      <c r="V243" s="298">
        <f t="shared" si="131"/>
        <v>-2.43</v>
      </c>
      <c r="W243" s="298"/>
      <c r="X243" s="298"/>
      <c r="Y243" s="298"/>
      <c r="Z243" s="298">
        <v>-2.43</v>
      </c>
      <c r="AA243" s="298"/>
      <c r="AB243" s="298"/>
      <c r="AC243" s="298"/>
      <c r="AD243" s="298"/>
      <c r="AE243" s="285"/>
      <c r="AF243" s="299">
        <f t="shared" si="115"/>
        <v>-2.43</v>
      </c>
      <c r="AG243" s="299">
        <f t="shared" si="116"/>
        <v>-2.43</v>
      </c>
      <c r="AH243" s="299">
        <f t="shared" si="117"/>
        <v>0</v>
      </c>
      <c r="AI243" s="299">
        <f t="shared" si="118"/>
        <v>0</v>
      </c>
      <c r="AJ243" s="299">
        <f t="shared" si="119"/>
        <v>0</v>
      </c>
      <c r="AK243" s="299">
        <f t="shared" si="120"/>
        <v>0</v>
      </c>
      <c r="AL243" s="298">
        <f t="shared" si="133"/>
        <v>34.47</v>
      </c>
      <c r="AM243" s="298">
        <f t="shared" si="134"/>
        <v>0</v>
      </c>
      <c r="AN243" s="298">
        <f t="shared" si="135"/>
        <v>0</v>
      </c>
      <c r="AO243" s="298">
        <f t="shared" si="136"/>
        <v>0</v>
      </c>
      <c r="AP243" s="298">
        <f t="shared" si="137"/>
        <v>34.47</v>
      </c>
      <c r="AQ243" s="298">
        <f t="shared" si="138"/>
        <v>0</v>
      </c>
      <c r="AR243" s="298">
        <f t="shared" si="139"/>
        <v>0</v>
      </c>
      <c r="AS243" s="298">
        <f t="shared" si="132"/>
        <v>0</v>
      </c>
      <c r="AT243" s="298">
        <f t="shared" si="140"/>
        <v>0</v>
      </c>
      <c r="AU243" s="285">
        <f t="shared" si="130"/>
        <v>34.47</v>
      </c>
      <c r="AV243" s="285">
        <v>34.47</v>
      </c>
      <c r="AW243" s="285"/>
      <c r="AX243" s="285"/>
      <c r="AY243" s="285"/>
      <c r="AZ243" s="285"/>
      <c r="BA243" s="285"/>
    </row>
    <row r="244" s="258" customFormat="1" ht="27" customHeight="1" spans="1:53">
      <c r="A244" s="283">
        <v>237</v>
      </c>
      <c r="B244" s="284" t="s">
        <v>195</v>
      </c>
      <c r="C244" s="284" t="s">
        <v>442</v>
      </c>
      <c r="D244" s="284" t="s">
        <v>502</v>
      </c>
      <c r="E244" s="284" t="s">
        <v>479</v>
      </c>
      <c r="F244" s="285">
        <f t="shared" si="112"/>
        <v>4.55</v>
      </c>
      <c r="G244" s="285"/>
      <c r="H244" s="285"/>
      <c r="I244" s="285"/>
      <c r="J244" s="285">
        <v>4.55</v>
      </c>
      <c r="K244" s="285"/>
      <c r="L244" s="285"/>
      <c r="M244" s="285"/>
      <c r="N244" s="285"/>
      <c r="O244" s="285" t="s">
        <v>1129</v>
      </c>
      <c r="P244" s="285">
        <f t="shared" si="113"/>
        <v>4.55</v>
      </c>
      <c r="Q244" s="285">
        <v>4.55</v>
      </c>
      <c r="R244" s="285"/>
      <c r="S244" s="285"/>
      <c r="T244" s="285"/>
      <c r="U244" s="285"/>
      <c r="V244" s="298">
        <f t="shared" si="131"/>
        <v>0</v>
      </c>
      <c r="W244" s="298"/>
      <c r="X244" s="298"/>
      <c r="Y244" s="298"/>
      <c r="Z244" s="298"/>
      <c r="AA244" s="298"/>
      <c r="AB244" s="298"/>
      <c r="AC244" s="298"/>
      <c r="AD244" s="298"/>
      <c r="AE244" s="285"/>
      <c r="AF244" s="299">
        <f t="shared" si="115"/>
        <v>0</v>
      </c>
      <c r="AG244" s="299">
        <f t="shared" si="116"/>
        <v>0</v>
      </c>
      <c r="AH244" s="299">
        <f t="shared" si="117"/>
        <v>0</v>
      </c>
      <c r="AI244" s="299">
        <f t="shared" si="118"/>
        <v>0</v>
      </c>
      <c r="AJ244" s="299">
        <f t="shared" si="119"/>
        <v>0</v>
      </c>
      <c r="AK244" s="299">
        <f t="shared" si="120"/>
        <v>0</v>
      </c>
      <c r="AL244" s="298">
        <f t="shared" si="133"/>
        <v>4.55</v>
      </c>
      <c r="AM244" s="298">
        <f t="shared" si="134"/>
        <v>0</v>
      </c>
      <c r="AN244" s="298">
        <f t="shared" si="135"/>
        <v>0</v>
      </c>
      <c r="AO244" s="298">
        <f t="shared" si="136"/>
        <v>0</v>
      </c>
      <c r="AP244" s="298">
        <f t="shared" si="137"/>
        <v>4.55</v>
      </c>
      <c r="AQ244" s="298">
        <f t="shared" si="138"/>
        <v>0</v>
      </c>
      <c r="AR244" s="298">
        <f t="shared" si="139"/>
        <v>0</v>
      </c>
      <c r="AS244" s="298">
        <f t="shared" si="132"/>
        <v>0</v>
      </c>
      <c r="AT244" s="298">
        <f t="shared" si="140"/>
        <v>0</v>
      </c>
      <c r="AU244" s="285">
        <f t="shared" si="130"/>
        <v>4.55</v>
      </c>
      <c r="AV244" s="285">
        <v>4.55</v>
      </c>
      <c r="AW244" s="285"/>
      <c r="AX244" s="285"/>
      <c r="AY244" s="285"/>
      <c r="AZ244" s="285"/>
      <c r="BA244" s="285"/>
    </row>
    <row r="245" s="258" customFormat="1" ht="27" customHeight="1" spans="1:53">
      <c r="A245" s="283">
        <v>238</v>
      </c>
      <c r="B245" s="284" t="s">
        <v>195</v>
      </c>
      <c r="C245" s="284" t="s">
        <v>438</v>
      </c>
      <c r="D245" s="284" t="s">
        <v>503</v>
      </c>
      <c r="E245" s="284" t="s">
        <v>479</v>
      </c>
      <c r="F245" s="285">
        <f t="shared" si="112"/>
        <v>54.99</v>
      </c>
      <c r="G245" s="285"/>
      <c r="H245" s="285"/>
      <c r="I245" s="285"/>
      <c r="J245" s="285">
        <v>54.99</v>
      </c>
      <c r="K245" s="285"/>
      <c r="L245" s="285"/>
      <c r="M245" s="285"/>
      <c r="N245" s="285"/>
      <c r="O245" s="285" t="s">
        <v>1130</v>
      </c>
      <c r="P245" s="285">
        <f t="shared" si="113"/>
        <v>54.99</v>
      </c>
      <c r="Q245" s="285">
        <v>54.99</v>
      </c>
      <c r="R245" s="285"/>
      <c r="S245" s="285"/>
      <c r="T245" s="285"/>
      <c r="U245" s="285"/>
      <c r="V245" s="298">
        <f t="shared" si="131"/>
        <v>23.724</v>
      </c>
      <c r="W245" s="298"/>
      <c r="X245" s="298"/>
      <c r="Y245" s="298"/>
      <c r="Z245" s="298">
        <f>3.15+20.574</f>
        <v>23.724</v>
      </c>
      <c r="AA245" s="298"/>
      <c r="AB245" s="298"/>
      <c r="AC245" s="298"/>
      <c r="AD245" s="298"/>
      <c r="AE245" s="285"/>
      <c r="AF245" s="299">
        <f t="shared" si="115"/>
        <v>23.724</v>
      </c>
      <c r="AG245" s="299">
        <f t="shared" si="116"/>
        <v>23.724</v>
      </c>
      <c r="AH245" s="299">
        <f t="shared" si="117"/>
        <v>0</v>
      </c>
      <c r="AI245" s="299">
        <f t="shared" si="118"/>
        <v>0</v>
      </c>
      <c r="AJ245" s="299">
        <f t="shared" si="119"/>
        <v>0</v>
      </c>
      <c r="AK245" s="299">
        <f t="shared" si="120"/>
        <v>0</v>
      </c>
      <c r="AL245" s="298">
        <f t="shared" si="133"/>
        <v>78.714</v>
      </c>
      <c r="AM245" s="298">
        <f t="shared" si="134"/>
        <v>0</v>
      </c>
      <c r="AN245" s="298">
        <f t="shared" si="135"/>
        <v>0</v>
      </c>
      <c r="AO245" s="298">
        <f t="shared" si="136"/>
        <v>0</v>
      </c>
      <c r="AP245" s="298">
        <f t="shared" si="137"/>
        <v>78.714</v>
      </c>
      <c r="AQ245" s="298">
        <f t="shared" si="138"/>
        <v>0</v>
      </c>
      <c r="AR245" s="298">
        <f t="shared" si="139"/>
        <v>0</v>
      </c>
      <c r="AS245" s="298">
        <f t="shared" si="132"/>
        <v>0</v>
      </c>
      <c r="AT245" s="298">
        <f t="shared" si="140"/>
        <v>0</v>
      </c>
      <c r="AU245" s="285">
        <f t="shared" si="130"/>
        <v>78.714</v>
      </c>
      <c r="AV245" s="285">
        <v>78.714</v>
      </c>
      <c r="AW245" s="285"/>
      <c r="AX245" s="285"/>
      <c r="AY245" s="285"/>
      <c r="AZ245" s="285"/>
      <c r="BA245" s="285"/>
    </row>
    <row r="246" s="258" customFormat="1" ht="36" spans="1:53">
      <c r="A246" s="283">
        <v>239</v>
      </c>
      <c r="B246" s="284" t="s">
        <v>195</v>
      </c>
      <c r="C246" s="284" t="s">
        <v>196</v>
      </c>
      <c r="D246" s="284" t="s">
        <v>507</v>
      </c>
      <c r="E246" s="284" t="s">
        <v>508</v>
      </c>
      <c r="F246" s="285">
        <f t="shared" si="112"/>
        <v>62.288</v>
      </c>
      <c r="G246" s="285">
        <v>9.6</v>
      </c>
      <c r="H246" s="285"/>
      <c r="I246" s="285">
        <v>2.688</v>
      </c>
      <c r="J246" s="285"/>
      <c r="K246" s="285"/>
      <c r="L246" s="285"/>
      <c r="M246" s="285"/>
      <c r="N246" s="285">
        <v>50</v>
      </c>
      <c r="O246" s="285" t="s">
        <v>1131</v>
      </c>
      <c r="P246" s="285">
        <f t="shared" si="113"/>
        <v>62.288</v>
      </c>
      <c r="Q246" s="285">
        <v>62.288</v>
      </c>
      <c r="R246" s="285"/>
      <c r="S246" s="285"/>
      <c r="T246" s="285"/>
      <c r="U246" s="285"/>
      <c r="V246" s="298">
        <f t="shared" si="131"/>
        <v>29.86</v>
      </c>
      <c r="W246" s="298"/>
      <c r="X246" s="298"/>
      <c r="Y246" s="298">
        <v>0.36</v>
      </c>
      <c r="Z246" s="298"/>
      <c r="AA246" s="298"/>
      <c r="AB246" s="298"/>
      <c r="AC246" s="298"/>
      <c r="AD246" s="298">
        <v>29.5</v>
      </c>
      <c r="AE246" s="285" t="s">
        <v>1132</v>
      </c>
      <c r="AF246" s="299">
        <f t="shared" si="115"/>
        <v>29.86</v>
      </c>
      <c r="AG246" s="299">
        <f t="shared" si="116"/>
        <v>29.86</v>
      </c>
      <c r="AH246" s="299">
        <f t="shared" si="117"/>
        <v>0</v>
      </c>
      <c r="AI246" s="299">
        <f t="shared" si="118"/>
        <v>0</v>
      </c>
      <c r="AJ246" s="299">
        <f t="shared" si="119"/>
        <v>0</v>
      </c>
      <c r="AK246" s="299">
        <f t="shared" si="120"/>
        <v>0</v>
      </c>
      <c r="AL246" s="298">
        <f t="shared" si="133"/>
        <v>92.148</v>
      </c>
      <c r="AM246" s="298">
        <f t="shared" si="134"/>
        <v>9.6</v>
      </c>
      <c r="AN246" s="298">
        <f t="shared" si="135"/>
        <v>0</v>
      </c>
      <c r="AO246" s="298">
        <f t="shared" si="136"/>
        <v>3.048</v>
      </c>
      <c r="AP246" s="298">
        <f t="shared" si="137"/>
        <v>0</v>
      </c>
      <c r="AQ246" s="298">
        <f t="shared" si="138"/>
        <v>0</v>
      </c>
      <c r="AR246" s="298">
        <f t="shared" si="139"/>
        <v>0</v>
      </c>
      <c r="AS246" s="298">
        <f t="shared" si="132"/>
        <v>0</v>
      </c>
      <c r="AT246" s="298">
        <f t="shared" si="140"/>
        <v>79.5</v>
      </c>
      <c r="AU246" s="285">
        <f t="shared" si="130"/>
        <v>92.148</v>
      </c>
      <c r="AV246" s="285">
        <v>92.148</v>
      </c>
      <c r="AW246" s="285"/>
      <c r="AX246" s="285"/>
      <c r="AY246" s="285"/>
      <c r="AZ246" s="285"/>
      <c r="BA246" s="285"/>
    </row>
    <row r="247" s="258" customFormat="1" ht="36" spans="1:53">
      <c r="A247" s="283">
        <v>240</v>
      </c>
      <c r="B247" s="284" t="s">
        <v>195</v>
      </c>
      <c r="C247" s="284" t="s">
        <v>199</v>
      </c>
      <c r="D247" s="284" t="s">
        <v>509</v>
      </c>
      <c r="E247" s="284" t="s">
        <v>510</v>
      </c>
      <c r="F247" s="285">
        <f t="shared" si="112"/>
        <v>91</v>
      </c>
      <c r="G247" s="285">
        <v>6</v>
      </c>
      <c r="H247" s="285"/>
      <c r="I247" s="285"/>
      <c r="J247" s="285"/>
      <c r="K247" s="285"/>
      <c r="L247" s="285"/>
      <c r="M247" s="285"/>
      <c r="N247" s="285">
        <v>85</v>
      </c>
      <c r="O247" s="285" t="s">
        <v>1133</v>
      </c>
      <c r="P247" s="285">
        <f t="shared" si="113"/>
        <v>91</v>
      </c>
      <c r="Q247" s="285">
        <v>91</v>
      </c>
      <c r="R247" s="285"/>
      <c r="S247" s="285"/>
      <c r="T247" s="285"/>
      <c r="U247" s="285"/>
      <c r="V247" s="298">
        <f t="shared" si="131"/>
        <v>0</v>
      </c>
      <c r="W247" s="298"/>
      <c r="X247" s="298"/>
      <c r="Y247" s="298"/>
      <c r="Z247" s="298"/>
      <c r="AA247" s="298"/>
      <c r="AB247" s="298"/>
      <c r="AC247" s="298"/>
      <c r="AD247" s="298"/>
      <c r="AE247" s="285"/>
      <c r="AF247" s="299">
        <f t="shared" si="115"/>
        <v>0</v>
      </c>
      <c r="AG247" s="299">
        <f t="shared" si="116"/>
        <v>0</v>
      </c>
      <c r="AH247" s="299">
        <f t="shared" si="117"/>
        <v>0</v>
      </c>
      <c r="AI247" s="299">
        <f t="shared" si="118"/>
        <v>0</v>
      </c>
      <c r="AJ247" s="299">
        <f t="shared" si="119"/>
        <v>0</v>
      </c>
      <c r="AK247" s="299">
        <f t="shared" si="120"/>
        <v>0</v>
      </c>
      <c r="AL247" s="298">
        <f t="shared" si="133"/>
        <v>91</v>
      </c>
      <c r="AM247" s="298">
        <f t="shared" si="134"/>
        <v>6</v>
      </c>
      <c r="AN247" s="298">
        <f t="shared" si="135"/>
        <v>0</v>
      </c>
      <c r="AO247" s="298">
        <f t="shared" si="136"/>
        <v>0</v>
      </c>
      <c r="AP247" s="298">
        <f t="shared" si="137"/>
        <v>0</v>
      </c>
      <c r="AQ247" s="298">
        <f t="shared" si="138"/>
        <v>0</v>
      </c>
      <c r="AR247" s="298">
        <f t="shared" si="139"/>
        <v>0</v>
      </c>
      <c r="AS247" s="298">
        <f t="shared" si="132"/>
        <v>0</v>
      </c>
      <c r="AT247" s="298">
        <f t="shared" si="140"/>
        <v>85</v>
      </c>
      <c r="AU247" s="285">
        <f t="shared" si="130"/>
        <v>91</v>
      </c>
      <c r="AV247" s="285">
        <v>91</v>
      </c>
      <c r="AW247" s="285"/>
      <c r="AX247" s="285"/>
      <c r="AY247" s="285"/>
      <c r="AZ247" s="285"/>
      <c r="BA247" s="285"/>
    </row>
    <row r="248" s="260" customFormat="1" ht="24" customHeight="1" spans="1:53">
      <c r="A248" s="283">
        <v>241</v>
      </c>
      <c r="B248" s="305"/>
      <c r="C248" s="306" t="s">
        <v>747</v>
      </c>
      <c r="D248" s="305" t="s">
        <v>135</v>
      </c>
      <c r="E248" s="306">
        <v>206</v>
      </c>
      <c r="F248" s="281">
        <f t="shared" ref="F248:K248" si="141">SUM(F249:F250)</f>
        <v>73.88</v>
      </c>
      <c r="G248" s="281">
        <f t="shared" si="141"/>
        <v>56.6</v>
      </c>
      <c r="H248" s="281">
        <f t="shared" si="141"/>
        <v>0</v>
      </c>
      <c r="I248" s="281">
        <f t="shared" si="141"/>
        <v>5.28</v>
      </c>
      <c r="J248" s="281">
        <f t="shared" si="141"/>
        <v>0</v>
      </c>
      <c r="K248" s="281">
        <f t="shared" si="141"/>
        <v>0</v>
      </c>
      <c r="L248" s="281"/>
      <c r="M248" s="281">
        <f>SUM(M249:M250)</f>
        <v>2</v>
      </c>
      <c r="N248" s="281">
        <f>SUM(N249:N250)</f>
        <v>10</v>
      </c>
      <c r="O248" s="281"/>
      <c r="P248" s="307">
        <f t="shared" ref="P248:U248" si="142">SUM(P249:P250)</f>
        <v>73.88</v>
      </c>
      <c r="Q248" s="307">
        <f t="shared" si="142"/>
        <v>71.88</v>
      </c>
      <c r="R248" s="307">
        <f t="shared" si="142"/>
        <v>0</v>
      </c>
      <c r="S248" s="307">
        <f t="shared" si="142"/>
        <v>2</v>
      </c>
      <c r="T248" s="307">
        <f t="shared" si="142"/>
        <v>0</v>
      </c>
      <c r="U248" s="307">
        <f t="shared" si="142"/>
        <v>0</v>
      </c>
      <c r="V248" s="281">
        <f t="shared" ref="R248:AC248" si="143">SUM(V249:V250)</f>
        <v>19.69</v>
      </c>
      <c r="W248" s="281">
        <f t="shared" si="143"/>
        <v>0</v>
      </c>
      <c r="X248" s="281">
        <f t="shared" si="143"/>
        <v>0</v>
      </c>
      <c r="Y248" s="281">
        <f t="shared" si="143"/>
        <v>0</v>
      </c>
      <c r="Z248" s="281">
        <f t="shared" si="143"/>
        <v>0</v>
      </c>
      <c r="AA248" s="281">
        <f t="shared" si="143"/>
        <v>0</v>
      </c>
      <c r="AB248" s="281">
        <f t="shared" si="143"/>
        <v>-0.31</v>
      </c>
      <c r="AC248" s="281">
        <f t="shared" si="143"/>
        <v>0</v>
      </c>
      <c r="AD248" s="281">
        <f t="shared" ref="AD248" si="144">SUM(AD249:AD250)</f>
        <v>20</v>
      </c>
      <c r="AE248" s="281"/>
      <c r="AF248" s="281">
        <f t="shared" ref="AF248:AL248" si="145">SUM(AF249:AF250)</f>
        <v>19.69</v>
      </c>
      <c r="AG248" s="281">
        <f t="shared" si="145"/>
        <v>20</v>
      </c>
      <c r="AH248" s="281">
        <f t="shared" si="145"/>
        <v>0</v>
      </c>
      <c r="AI248" s="281">
        <f t="shared" si="145"/>
        <v>-0.31</v>
      </c>
      <c r="AJ248" s="281">
        <f t="shared" si="145"/>
        <v>0</v>
      </c>
      <c r="AK248" s="281">
        <f t="shared" si="145"/>
        <v>0</v>
      </c>
      <c r="AL248" s="308">
        <f t="shared" si="145"/>
        <v>93.57</v>
      </c>
      <c r="AM248" s="308">
        <f t="shared" ref="AM248:AZ248" si="146">SUM(AM249:AM250)</f>
        <v>56.6</v>
      </c>
      <c r="AN248" s="308">
        <f t="shared" si="146"/>
        <v>0</v>
      </c>
      <c r="AO248" s="308">
        <f t="shared" si="146"/>
        <v>5.28</v>
      </c>
      <c r="AP248" s="308">
        <f t="shared" si="146"/>
        <v>0</v>
      </c>
      <c r="AQ248" s="308">
        <f t="shared" si="146"/>
        <v>0</v>
      </c>
      <c r="AR248" s="308">
        <f t="shared" si="146"/>
        <v>1.69</v>
      </c>
      <c r="AS248" s="308">
        <f t="shared" si="146"/>
        <v>0</v>
      </c>
      <c r="AT248" s="308">
        <f t="shared" si="146"/>
        <v>30</v>
      </c>
      <c r="AU248" s="308">
        <f t="shared" si="146"/>
        <v>93.57</v>
      </c>
      <c r="AV248" s="308">
        <f t="shared" si="146"/>
        <v>91.88</v>
      </c>
      <c r="AW248" s="308">
        <f t="shared" si="146"/>
        <v>0</v>
      </c>
      <c r="AX248" s="308">
        <f t="shared" si="146"/>
        <v>1.69</v>
      </c>
      <c r="AY248" s="308">
        <f t="shared" si="146"/>
        <v>0</v>
      </c>
      <c r="AZ248" s="308">
        <f t="shared" si="146"/>
        <v>0</v>
      </c>
      <c r="BA248" s="309"/>
    </row>
    <row r="249" s="258" customFormat="1" ht="60" spans="1:53">
      <c r="A249" s="283">
        <v>242</v>
      </c>
      <c r="B249" s="284" t="s">
        <v>195</v>
      </c>
      <c r="C249" s="284" t="s">
        <v>196</v>
      </c>
      <c r="D249" s="284" t="s">
        <v>791</v>
      </c>
      <c r="E249" s="284" t="s">
        <v>512</v>
      </c>
      <c r="F249" s="285">
        <f t="shared" ref="F249:F264" si="147">SUM(G249:N249)</f>
        <v>73.28</v>
      </c>
      <c r="G249" s="285">
        <v>56</v>
      </c>
      <c r="H249" s="285"/>
      <c r="I249" s="285">
        <v>5.28</v>
      </c>
      <c r="J249" s="285"/>
      <c r="K249" s="285"/>
      <c r="L249" s="285" t="s">
        <v>1134</v>
      </c>
      <c r="M249" s="285">
        <v>2</v>
      </c>
      <c r="N249" s="285">
        <v>10</v>
      </c>
      <c r="O249" s="285" t="s">
        <v>1135</v>
      </c>
      <c r="P249" s="285">
        <f t="shared" ref="P249:P264" si="148">SUM(Q249:S249)</f>
        <v>73.28</v>
      </c>
      <c r="Q249" s="285">
        <v>71.28</v>
      </c>
      <c r="R249" s="285"/>
      <c r="S249" s="285">
        <v>2</v>
      </c>
      <c r="T249" s="285"/>
      <c r="U249" s="285"/>
      <c r="V249" s="298">
        <f t="shared" ref="V249:V264" si="149">SUM(W249:AD249)</f>
        <v>19.47</v>
      </c>
      <c r="W249" s="298"/>
      <c r="X249" s="298"/>
      <c r="Y249" s="298"/>
      <c r="Z249" s="298"/>
      <c r="AA249" s="298"/>
      <c r="AB249" s="298">
        <f>-2+1.47</f>
        <v>-0.53</v>
      </c>
      <c r="AC249" s="298"/>
      <c r="AD249" s="298">
        <v>20</v>
      </c>
      <c r="AE249" s="285" t="s">
        <v>1136</v>
      </c>
      <c r="AF249" s="299">
        <f t="shared" ref="AF249:AF264" si="150">SUM(AG249:AI249)</f>
        <v>19.47</v>
      </c>
      <c r="AG249" s="299">
        <f t="shared" ref="AG249:AK249" si="151">AV249-Q249</f>
        <v>20</v>
      </c>
      <c r="AH249" s="299">
        <f t="shared" si="151"/>
        <v>0</v>
      </c>
      <c r="AI249" s="299">
        <f t="shared" si="151"/>
        <v>-0.53</v>
      </c>
      <c r="AJ249" s="299">
        <f t="shared" si="151"/>
        <v>0</v>
      </c>
      <c r="AK249" s="299">
        <f t="shared" si="151"/>
        <v>0</v>
      </c>
      <c r="AL249" s="298">
        <f>SUM(AM249:AT249)</f>
        <v>92.75</v>
      </c>
      <c r="AM249" s="298">
        <f t="shared" ref="AM249:AQ250" si="152">G249+W249</f>
        <v>56</v>
      </c>
      <c r="AN249" s="298">
        <f t="shared" si="152"/>
        <v>0</v>
      </c>
      <c r="AO249" s="298">
        <f t="shared" si="152"/>
        <v>5.28</v>
      </c>
      <c r="AP249" s="298">
        <f t="shared" si="152"/>
        <v>0</v>
      </c>
      <c r="AQ249" s="298">
        <f t="shared" si="152"/>
        <v>0</v>
      </c>
      <c r="AR249" s="298">
        <f>M249+AB249</f>
        <v>1.47</v>
      </c>
      <c r="AS249" s="298">
        <f t="shared" si="132"/>
        <v>0</v>
      </c>
      <c r="AT249" s="298">
        <f>N249+AD249</f>
        <v>30</v>
      </c>
      <c r="AU249" s="285">
        <f t="shared" ref="AU249:AU264" si="153">SUM(AV249:AX249)</f>
        <v>92.75</v>
      </c>
      <c r="AV249" s="285">
        <v>91.28</v>
      </c>
      <c r="AW249" s="285"/>
      <c r="AX249" s="285">
        <v>1.47</v>
      </c>
      <c r="AY249" s="285"/>
      <c r="AZ249" s="285"/>
      <c r="BA249" s="285"/>
    </row>
    <row r="250" s="258" customFormat="1" ht="30" customHeight="1" spans="1:53">
      <c r="A250" s="283">
        <v>243</v>
      </c>
      <c r="B250" s="284" t="s">
        <v>195</v>
      </c>
      <c r="C250" s="284" t="s">
        <v>199</v>
      </c>
      <c r="D250" s="284" t="s">
        <v>513</v>
      </c>
      <c r="E250" s="284" t="s">
        <v>512</v>
      </c>
      <c r="F250" s="285">
        <f t="shared" si="147"/>
        <v>0.6</v>
      </c>
      <c r="G250" s="285">
        <v>0.6</v>
      </c>
      <c r="H250" s="285"/>
      <c r="I250" s="285"/>
      <c r="J250" s="285"/>
      <c r="K250" s="285"/>
      <c r="L250" s="285"/>
      <c r="M250" s="285"/>
      <c r="N250" s="285"/>
      <c r="O250" s="285"/>
      <c r="P250" s="285">
        <f t="shared" si="148"/>
        <v>0.6</v>
      </c>
      <c r="Q250" s="285">
        <v>0.6</v>
      </c>
      <c r="R250" s="285"/>
      <c r="S250" s="285"/>
      <c r="T250" s="285"/>
      <c r="U250" s="285"/>
      <c r="V250" s="298">
        <f t="shared" si="149"/>
        <v>0.22</v>
      </c>
      <c r="W250" s="298"/>
      <c r="X250" s="298"/>
      <c r="Y250" s="298"/>
      <c r="Z250" s="298"/>
      <c r="AA250" s="298"/>
      <c r="AB250" s="298">
        <v>0.22</v>
      </c>
      <c r="AC250" s="298"/>
      <c r="AD250" s="298"/>
      <c r="AE250" s="285" t="s">
        <v>1137</v>
      </c>
      <c r="AF250" s="299">
        <f t="shared" si="150"/>
        <v>0.22</v>
      </c>
      <c r="AG250" s="299">
        <f t="shared" ref="AG250:AK250" si="154">AV250-Q250</f>
        <v>0</v>
      </c>
      <c r="AH250" s="299">
        <f t="shared" si="154"/>
        <v>0</v>
      </c>
      <c r="AI250" s="299">
        <f t="shared" si="154"/>
        <v>0.22</v>
      </c>
      <c r="AJ250" s="299">
        <f t="shared" si="154"/>
        <v>0</v>
      </c>
      <c r="AK250" s="299">
        <f t="shared" si="154"/>
        <v>0</v>
      </c>
      <c r="AL250" s="298">
        <f>SUM(AM250:AT250)</f>
        <v>0.82</v>
      </c>
      <c r="AM250" s="298">
        <f t="shared" si="152"/>
        <v>0.6</v>
      </c>
      <c r="AN250" s="298">
        <f t="shared" si="152"/>
        <v>0</v>
      </c>
      <c r="AO250" s="298">
        <f t="shared" si="152"/>
        <v>0</v>
      </c>
      <c r="AP250" s="298">
        <f t="shared" si="152"/>
        <v>0</v>
      </c>
      <c r="AQ250" s="298">
        <f t="shared" si="152"/>
        <v>0</v>
      </c>
      <c r="AR250" s="298">
        <f>M250+AB250</f>
        <v>0.22</v>
      </c>
      <c r="AS250" s="298">
        <f t="shared" si="132"/>
        <v>0</v>
      </c>
      <c r="AT250" s="298">
        <f>N250+AD250</f>
        <v>0</v>
      </c>
      <c r="AU250" s="285">
        <f t="shared" si="153"/>
        <v>0.82</v>
      </c>
      <c r="AV250" s="285">
        <v>0.6</v>
      </c>
      <c r="AW250" s="285"/>
      <c r="AX250" s="285">
        <v>0.22</v>
      </c>
      <c r="AY250" s="285"/>
      <c r="AZ250" s="285"/>
      <c r="BA250" s="285"/>
    </row>
    <row r="251" s="260" customFormat="1" ht="23" customHeight="1" spans="1:53">
      <c r="A251" s="283">
        <v>244</v>
      </c>
      <c r="B251" s="305"/>
      <c r="C251" s="306" t="s">
        <v>748</v>
      </c>
      <c r="D251" s="305" t="s">
        <v>136</v>
      </c>
      <c r="E251" s="306">
        <v>207</v>
      </c>
      <c r="F251" s="281">
        <f t="shared" ref="F251:K251" si="155">SUM(F252:F264)</f>
        <v>501.07</v>
      </c>
      <c r="G251" s="281">
        <f t="shared" si="155"/>
        <v>46.2</v>
      </c>
      <c r="H251" s="281">
        <f t="shared" si="155"/>
        <v>0</v>
      </c>
      <c r="I251" s="281">
        <f t="shared" si="155"/>
        <v>7.86</v>
      </c>
      <c r="J251" s="281">
        <f t="shared" si="155"/>
        <v>0</v>
      </c>
      <c r="K251" s="281">
        <f t="shared" si="155"/>
        <v>0</v>
      </c>
      <c r="L251" s="281"/>
      <c r="M251" s="281">
        <f>SUM(M252:M264)</f>
        <v>25</v>
      </c>
      <c r="N251" s="281">
        <f>SUM(N252:N264)</f>
        <v>422.01</v>
      </c>
      <c r="O251" s="281"/>
      <c r="P251" s="307">
        <f t="shared" ref="P251:U251" si="156">SUM(P252:P264)</f>
        <v>501.07</v>
      </c>
      <c r="Q251" s="307">
        <f t="shared" si="156"/>
        <v>476.07</v>
      </c>
      <c r="R251" s="307">
        <f t="shared" si="156"/>
        <v>0</v>
      </c>
      <c r="S251" s="307">
        <f t="shared" si="156"/>
        <v>25</v>
      </c>
      <c r="T251" s="307">
        <f t="shared" si="156"/>
        <v>0</v>
      </c>
      <c r="U251" s="307">
        <f t="shared" si="156"/>
        <v>0</v>
      </c>
      <c r="V251" s="281">
        <f t="shared" ref="R251:AC251" si="157">SUM(V252:V264)</f>
        <v>41.15</v>
      </c>
      <c r="W251" s="281">
        <f t="shared" si="157"/>
        <v>0.6</v>
      </c>
      <c r="X251" s="281">
        <f t="shared" si="157"/>
        <v>0</v>
      </c>
      <c r="Y251" s="281">
        <f t="shared" si="157"/>
        <v>-0.24</v>
      </c>
      <c r="Z251" s="281">
        <f t="shared" si="157"/>
        <v>0</v>
      </c>
      <c r="AA251" s="281">
        <f t="shared" si="157"/>
        <v>0</v>
      </c>
      <c r="AB251" s="281">
        <f t="shared" si="157"/>
        <v>1.79</v>
      </c>
      <c r="AC251" s="281">
        <f t="shared" si="157"/>
        <v>0</v>
      </c>
      <c r="AD251" s="281">
        <f t="shared" ref="AD251" si="158">SUM(AD252:AD264)</f>
        <v>39</v>
      </c>
      <c r="AE251" s="281"/>
      <c r="AF251" s="281">
        <f t="shared" ref="AF251:AL251" si="159">SUM(AF252:AF264)</f>
        <v>41.15</v>
      </c>
      <c r="AG251" s="281">
        <f t="shared" si="159"/>
        <v>39.36</v>
      </c>
      <c r="AH251" s="281">
        <f t="shared" si="159"/>
        <v>0</v>
      </c>
      <c r="AI251" s="281">
        <f t="shared" si="159"/>
        <v>1.79</v>
      </c>
      <c r="AJ251" s="281">
        <f t="shared" si="159"/>
        <v>0</v>
      </c>
      <c r="AK251" s="281">
        <f t="shared" si="159"/>
        <v>0</v>
      </c>
      <c r="AL251" s="308">
        <f t="shared" si="159"/>
        <v>542.22</v>
      </c>
      <c r="AM251" s="308">
        <f t="shared" ref="AM251:AZ251" si="160">SUM(AM252:AM264)</f>
        <v>46.8</v>
      </c>
      <c r="AN251" s="308">
        <f t="shared" si="160"/>
        <v>0</v>
      </c>
      <c r="AO251" s="308">
        <f t="shared" si="160"/>
        <v>7.62</v>
      </c>
      <c r="AP251" s="308">
        <f t="shared" si="160"/>
        <v>0</v>
      </c>
      <c r="AQ251" s="308">
        <f t="shared" si="160"/>
        <v>0</v>
      </c>
      <c r="AR251" s="308">
        <f t="shared" si="160"/>
        <v>26.79</v>
      </c>
      <c r="AS251" s="308">
        <f t="shared" si="160"/>
        <v>0</v>
      </c>
      <c r="AT251" s="308">
        <f t="shared" si="160"/>
        <v>461.01</v>
      </c>
      <c r="AU251" s="308">
        <f t="shared" si="160"/>
        <v>542.22</v>
      </c>
      <c r="AV251" s="308">
        <f t="shared" si="160"/>
        <v>515.43</v>
      </c>
      <c r="AW251" s="308">
        <f t="shared" si="160"/>
        <v>0</v>
      </c>
      <c r="AX251" s="308">
        <f t="shared" si="160"/>
        <v>26.79</v>
      </c>
      <c r="AY251" s="308">
        <f t="shared" si="160"/>
        <v>0</v>
      </c>
      <c r="AZ251" s="308">
        <f t="shared" si="160"/>
        <v>0</v>
      </c>
      <c r="BA251" s="309"/>
    </row>
    <row r="252" s="258" customFormat="1" ht="48" spans="1:53">
      <c r="A252" s="283">
        <v>245</v>
      </c>
      <c r="B252" s="284" t="s">
        <v>195</v>
      </c>
      <c r="C252" s="284" t="s">
        <v>196</v>
      </c>
      <c r="D252" s="284" t="s">
        <v>514</v>
      </c>
      <c r="E252" s="284" t="s">
        <v>515</v>
      </c>
      <c r="F252" s="285">
        <f t="shared" si="147"/>
        <v>214.93</v>
      </c>
      <c r="G252" s="285">
        <v>4.2</v>
      </c>
      <c r="H252" s="285"/>
      <c r="I252" s="285">
        <v>5.22</v>
      </c>
      <c r="J252" s="285"/>
      <c r="K252" s="285"/>
      <c r="L252" s="285"/>
      <c r="M252" s="285">
        <v>25</v>
      </c>
      <c r="N252" s="285">
        <v>180.51</v>
      </c>
      <c r="O252" s="285" t="s">
        <v>1138</v>
      </c>
      <c r="P252" s="285">
        <f t="shared" si="148"/>
        <v>214.93</v>
      </c>
      <c r="Q252" s="285">
        <v>189.93</v>
      </c>
      <c r="R252" s="285"/>
      <c r="S252" s="285">
        <v>25</v>
      </c>
      <c r="T252" s="285"/>
      <c r="U252" s="285"/>
      <c r="V252" s="298">
        <f t="shared" si="149"/>
        <v>1.47</v>
      </c>
      <c r="W252" s="298"/>
      <c r="X252" s="298"/>
      <c r="Y252" s="298">
        <v>-0.24</v>
      </c>
      <c r="Z252" s="298"/>
      <c r="AA252" s="298"/>
      <c r="AB252" s="298">
        <f>-25+26.71</f>
        <v>1.71</v>
      </c>
      <c r="AC252" s="298"/>
      <c r="AD252" s="298"/>
      <c r="AE252" s="285" t="s">
        <v>1139</v>
      </c>
      <c r="AF252" s="299">
        <f t="shared" si="150"/>
        <v>1.46999999999999</v>
      </c>
      <c r="AG252" s="299">
        <f t="shared" ref="AG252:AG264" si="161">AV252-Q252</f>
        <v>-0.240000000000009</v>
      </c>
      <c r="AH252" s="299">
        <f t="shared" ref="AH252:AH264" si="162">AW252-R252</f>
        <v>0</v>
      </c>
      <c r="AI252" s="299">
        <f t="shared" ref="AI252:AI264" si="163">AX252-S252</f>
        <v>1.71</v>
      </c>
      <c r="AJ252" s="299">
        <f t="shared" ref="AJ252:AJ264" si="164">AY252-T252</f>
        <v>0</v>
      </c>
      <c r="AK252" s="299">
        <f t="shared" ref="AK252:AK264" si="165">AZ252-U252</f>
        <v>0</v>
      </c>
      <c r="AL252" s="298">
        <f t="shared" ref="AL252:AL264" si="166">SUM(AM252:AT252)</f>
        <v>216.4</v>
      </c>
      <c r="AM252" s="298">
        <f t="shared" ref="AM252:AM264" si="167">G252+W252</f>
        <v>4.2</v>
      </c>
      <c r="AN252" s="298">
        <f t="shared" ref="AN252:AN264" si="168">H252+X252</f>
        <v>0</v>
      </c>
      <c r="AO252" s="298">
        <f t="shared" ref="AO252:AO264" si="169">I252+Y252</f>
        <v>4.98</v>
      </c>
      <c r="AP252" s="298">
        <f t="shared" ref="AP252:AP264" si="170">J252+Z252</f>
        <v>0</v>
      </c>
      <c r="AQ252" s="298">
        <f t="shared" ref="AQ252:AQ264" si="171">K252+AA252</f>
        <v>0</v>
      </c>
      <c r="AR252" s="298">
        <f t="shared" ref="AR252:AR264" si="172">M252+AB252</f>
        <v>26.71</v>
      </c>
      <c r="AS252" s="298">
        <f t="shared" si="132"/>
        <v>0</v>
      </c>
      <c r="AT252" s="298">
        <f t="shared" ref="AT252:AT264" si="173">N252+AD252</f>
        <v>180.51</v>
      </c>
      <c r="AU252" s="298">
        <f t="shared" si="153"/>
        <v>216.4</v>
      </c>
      <c r="AV252" s="298">
        <v>189.69</v>
      </c>
      <c r="AW252" s="298"/>
      <c r="AX252" s="298">
        <v>26.71</v>
      </c>
      <c r="AY252" s="298"/>
      <c r="AZ252" s="298"/>
      <c r="BA252" s="285">
        <v>60</v>
      </c>
    </row>
    <row r="253" s="258" customFormat="1" ht="24" spans="1:53">
      <c r="A253" s="283">
        <v>246</v>
      </c>
      <c r="B253" s="284" t="s">
        <v>195</v>
      </c>
      <c r="C253" s="284" t="s">
        <v>199</v>
      </c>
      <c r="D253" s="284" t="s">
        <v>516</v>
      </c>
      <c r="E253" s="284" t="s">
        <v>517</v>
      </c>
      <c r="F253" s="285">
        <f t="shared" si="147"/>
        <v>19.2</v>
      </c>
      <c r="G253" s="285">
        <v>4.2</v>
      </c>
      <c r="H253" s="285"/>
      <c r="I253" s="285"/>
      <c r="J253" s="285"/>
      <c r="K253" s="285"/>
      <c r="L253" s="285"/>
      <c r="M253" s="285"/>
      <c r="N253" s="285">
        <v>15</v>
      </c>
      <c r="O253" s="285" t="s">
        <v>1140</v>
      </c>
      <c r="P253" s="285">
        <f t="shared" si="148"/>
        <v>19.2</v>
      </c>
      <c r="Q253" s="285">
        <v>19.2</v>
      </c>
      <c r="R253" s="285"/>
      <c r="S253" s="285"/>
      <c r="T253" s="285"/>
      <c r="U253" s="285"/>
      <c r="V253" s="298">
        <f t="shared" si="149"/>
        <v>0</v>
      </c>
      <c r="W253" s="298"/>
      <c r="X253" s="298"/>
      <c r="Y253" s="298"/>
      <c r="Z253" s="298"/>
      <c r="AA253" s="298"/>
      <c r="AB253" s="298"/>
      <c r="AC253" s="298"/>
      <c r="AD253" s="298"/>
      <c r="AE253" s="285"/>
      <c r="AF253" s="299">
        <f t="shared" si="150"/>
        <v>0</v>
      </c>
      <c r="AG253" s="299">
        <f t="shared" si="161"/>
        <v>0</v>
      </c>
      <c r="AH253" s="299">
        <f t="shared" si="162"/>
        <v>0</v>
      </c>
      <c r="AI253" s="299">
        <f t="shared" si="163"/>
        <v>0</v>
      </c>
      <c r="AJ253" s="299">
        <f t="shared" si="164"/>
        <v>0</v>
      </c>
      <c r="AK253" s="299">
        <f t="shared" si="165"/>
        <v>0</v>
      </c>
      <c r="AL253" s="298">
        <f t="shared" si="166"/>
        <v>19.2</v>
      </c>
      <c r="AM253" s="298">
        <f t="shared" si="167"/>
        <v>4.2</v>
      </c>
      <c r="AN253" s="298">
        <f t="shared" si="168"/>
        <v>0</v>
      </c>
      <c r="AO253" s="298">
        <f t="shared" si="169"/>
        <v>0</v>
      </c>
      <c r="AP253" s="298">
        <f t="shared" si="170"/>
        <v>0</v>
      </c>
      <c r="AQ253" s="298">
        <f t="shared" si="171"/>
        <v>0</v>
      </c>
      <c r="AR253" s="298">
        <f t="shared" si="172"/>
        <v>0</v>
      </c>
      <c r="AS253" s="298">
        <f t="shared" si="132"/>
        <v>0</v>
      </c>
      <c r="AT253" s="298">
        <f t="shared" si="173"/>
        <v>15</v>
      </c>
      <c r="AU253" s="285">
        <f t="shared" si="153"/>
        <v>19.2</v>
      </c>
      <c r="AV253" s="285">
        <v>19.2</v>
      </c>
      <c r="AW253" s="285"/>
      <c r="AX253" s="285"/>
      <c r="AY253" s="285"/>
      <c r="AZ253" s="285"/>
      <c r="BA253" s="285"/>
    </row>
    <row r="254" s="258" customFormat="1" ht="36" spans="1:53">
      <c r="A254" s="283">
        <v>247</v>
      </c>
      <c r="B254" s="284" t="s">
        <v>195</v>
      </c>
      <c r="C254" s="284" t="s">
        <v>518</v>
      </c>
      <c r="D254" s="284" t="s">
        <v>519</v>
      </c>
      <c r="E254" s="284" t="s">
        <v>520</v>
      </c>
      <c r="F254" s="285">
        <f t="shared" si="147"/>
        <v>60</v>
      </c>
      <c r="G254" s="285"/>
      <c r="H254" s="285"/>
      <c r="I254" s="285"/>
      <c r="J254" s="285"/>
      <c r="K254" s="285"/>
      <c r="L254" s="285"/>
      <c r="M254" s="285"/>
      <c r="N254" s="285">
        <v>60</v>
      </c>
      <c r="O254" s="285" t="s">
        <v>1141</v>
      </c>
      <c r="P254" s="285">
        <f t="shared" si="148"/>
        <v>60</v>
      </c>
      <c r="Q254" s="285">
        <v>60</v>
      </c>
      <c r="R254" s="285"/>
      <c r="S254" s="285"/>
      <c r="T254" s="285"/>
      <c r="U254" s="285"/>
      <c r="V254" s="298">
        <f t="shared" si="149"/>
        <v>0</v>
      </c>
      <c r="W254" s="298"/>
      <c r="X254" s="298"/>
      <c r="Y254" s="298"/>
      <c r="Z254" s="298"/>
      <c r="AA254" s="298"/>
      <c r="AB254" s="298"/>
      <c r="AC254" s="298"/>
      <c r="AD254" s="298"/>
      <c r="AE254" s="285"/>
      <c r="AF254" s="299">
        <f t="shared" si="150"/>
        <v>0</v>
      </c>
      <c r="AG254" s="299">
        <f t="shared" si="161"/>
        <v>0</v>
      </c>
      <c r="AH254" s="299">
        <f t="shared" si="162"/>
        <v>0</v>
      </c>
      <c r="AI254" s="299">
        <f t="shared" si="163"/>
        <v>0</v>
      </c>
      <c r="AJ254" s="299">
        <f t="shared" si="164"/>
        <v>0</v>
      </c>
      <c r="AK254" s="299">
        <f t="shared" si="165"/>
        <v>0</v>
      </c>
      <c r="AL254" s="298">
        <f t="shared" si="166"/>
        <v>60</v>
      </c>
      <c r="AM254" s="298">
        <f t="shared" si="167"/>
        <v>0</v>
      </c>
      <c r="AN254" s="298">
        <f t="shared" si="168"/>
        <v>0</v>
      </c>
      <c r="AO254" s="298">
        <f t="shared" si="169"/>
        <v>0</v>
      </c>
      <c r="AP254" s="298">
        <f t="shared" si="170"/>
        <v>0</v>
      </c>
      <c r="AQ254" s="298">
        <f t="shared" si="171"/>
        <v>0</v>
      </c>
      <c r="AR254" s="298">
        <f t="shared" si="172"/>
        <v>0</v>
      </c>
      <c r="AS254" s="298">
        <f t="shared" si="132"/>
        <v>0</v>
      </c>
      <c r="AT254" s="298">
        <f t="shared" si="173"/>
        <v>60</v>
      </c>
      <c r="AU254" s="285">
        <f t="shared" si="153"/>
        <v>60</v>
      </c>
      <c r="AV254" s="285">
        <v>60</v>
      </c>
      <c r="AW254" s="285"/>
      <c r="AX254" s="285"/>
      <c r="AY254" s="285"/>
      <c r="AZ254" s="285"/>
      <c r="BA254" s="285"/>
    </row>
    <row r="255" s="258" customFormat="1" ht="24" spans="1:53">
      <c r="A255" s="283">
        <v>248</v>
      </c>
      <c r="B255" s="284" t="s">
        <v>195</v>
      </c>
      <c r="C255" s="284" t="s">
        <v>199</v>
      </c>
      <c r="D255" s="284" t="s">
        <v>793</v>
      </c>
      <c r="E255" s="284" t="s">
        <v>522</v>
      </c>
      <c r="F255" s="285">
        <f t="shared" si="147"/>
        <v>8.6</v>
      </c>
      <c r="G255" s="285">
        <v>3.6</v>
      </c>
      <c r="H255" s="285"/>
      <c r="I255" s="285"/>
      <c r="J255" s="285"/>
      <c r="K255" s="285"/>
      <c r="L255" s="285"/>
      <c r="M255" s="285"/>
      <c r="N255" s="285">
        <v>5</v>
      </c>
      <c r="O255" s="285" t="s">
        <v>1142</v>
      </c>
      <c r="P255" s="285">
        <f t="shared" si="148"/>
        <v>8.6</v>
      </c>
      <c r="Q255" s="285">
        <v>8.6</v>
      </c>
      <c r="R255" s="285"/>
      <c r="S255" s="285"/>
      <c r="T255" s="285"/>
      <c r="U255" s="285"/>
      <c r="V255" s="298">
        <f t="shared" si="149"/>
        <v>0</v>
      </c>
      <c r="W255" s="298"/>
      <c r="X255" s="298"/>
      <c r="Y255" s="298"/>
      <c r="Z255" s="298"/>
      <c r="AA255" s="298"/>
      <c r="AB255" s="298"/>
      <c r="AC255" s="298"/>
      <c r="AD255" s="298"/>
      <c r="AE255" s="285"/>
      <c r="AF255" s="299">
        <f t="shared" si="150"/>
        <v>0</v>
      </c>
      <c r="AG255" s="299">
        <f t="shared" si="161"/>
        <v>0</v>
      </c>
      <c r="AH255" s="299">
        <f t="shared" si="162"/>
        <v>0</v>
      </c>
      <c r="AI255" s="299">
        <f t="shared" si="163"/>
        <v>0</v>
      </c>
      <c r="AJ255" s="299">
        <f t="shared" si="164"/>
        <v>0</v>
      </c>
      <c r="AK255" s="299">
        <f t="shared" si="165"/>
        <v>0</v>
      </c>
      <c r="AL255" s="298">
        <f t="shared" si="166"/>
        <v>8.6</v>
      </c>
      <c r="AM255" s="298">
        <f t="shared" si="167"/>
        <v>3.6</v>
      </c>
      <c r="AN255" s="298">
        <f t="shared" si="168"/>
        <v>0</v>
      </c>
      <c r="AO255" s="298">
        <f t="shared" si="169"/>
        <v>0</v>
      </c>
      <c r="AP255" s="298">
        <f t="shared" si="170"/>
        <v>0</v>
      </c>
      <c r="AQ255" s="298">
        <f t="shared" si="171"/>
        <v>0</v>
      </c>
      <c r="AR255" s="298">
        <f t="shared" si="172"/>
        <v>0</v>
      </c>
      <c r="AS255" s="298">
        <f t="shared" ref="AS255:AS279" si="174">AC255</f>
        <v>0</v>
      </c>
      <c r="AT255" s="298">
        <f t="shared" si="173"/>
        <v>5</v>
      </c>
      <c r="AU255" s="285">
        <f t="shared" si="153"/>
        <v>8.6</v>
      </c>
      <c r="AV255" s="285">
        <v>8.6</v>
      </c>
      <c r="AW255" s="285"/>
      <c r="AX255" s="285"/>
      <c r="AY255" s="285"/>
      <c r="AZ255" s="285"/>
      <c r="BA255" s="285"/>
    </row>
    <row r="256" s="258" customFormat="1" ht="36" spans="1:53">
      <c r="A256" s="283">
        <v>249</v>
      </c>
      <c r="B256" s="284" t="s">
        <v>195</v>
      </c>
      <c r="C256" s="284" t="s">
        <v>196</v>
      </c>
      <c r="D256" s="284" t="s">
        <v>523</v>
      </c>
      <c r="E256" s="284" t="s">
        <v>524</v>
      </c>
      <c r="F256" s="285">
        <f t="shared" si="147"/>
        <v>7.04</v>
      </c>
      <c r="G256" s="285">
        <v>2.4</v>
      </c>
      <c r="H256" s="285"/>
      <c r="I256" s="285">
        <v>2.64</v>
      </c>
      <c r="J256" s="285"/>
      <c r="K256" s="285"/>
      <c r="L256" s="285"/>
      <c r="M256" s="285"/>
      <c r="N256" s="285">
        <v>2</v>
      </c>
      <c r="O256" s="285" t="s">
        <v>1143</v>
      </c>
      <c r="P256" s="285">
        <f t="shared" si="148"/>
        <v>7.04</v>
      </c>
      <c r="Q256" s="285">
        <v>7.04</v>
      </c>
      <c r="R256" s="285"/>
      <c r="S256" s="285"/>
      <c r="T256" s="285"/>
      <c r="U256" s="285"/>
      <c r="V256" s="298">
        <f t="shared" si="149"/>
        <v>0</v>
      </c>
      <c r="W256" s="298"/>
      <c r="X256" s="298"/>
      <c r="Y256" s="298"/>
      <c r="Z256" s="298"/>
      <c r="AA256" s="298"/>
      <c r="AB256" s="298"/>
      <c r="AC256" s="298"/>
      <c r="AD256" s="298"/>
      <c r="AE256" s="285"/>
      <c r="AF256" s="299">
        <f t="shared" si="150"/>
        <v>0</v>
      </c>
      <c r="AG256" s="299">
        <f t="shared" si="161"/>
        <v>0</v>
      </c>
      <c r="AH256" s="299">
        <f t="shared" si="162"/>
        <v>0</v>
      </c>
      <c r="AI256" s="299">
        <f t="shared" si="163"/>
        <v>0</v>
      </c>
      <c r="AJ256" s="299">
        <f t="shared" si="164"/>
        <v>0</v>
      </c>
      <c r="AK256" s="299">
        <f t="shared" si="165"/>
        <v>0</v>
      </c>
      <c r="AL256" s="298">
        <f t="shared" si="166"/>
        <v>7.04</v>
      </c>
      <c r="AM256" s="298">
        <f t="shared" si="167"/>
        <v>2.4</v>
      </c>
      <c r="AN256" s="298">
        <f t="shared" si="168"/>
        <v>0</v>
      </c>
      <c r="AO256" s="298">
        <f t="shared" si="169"/>
        <v>2.64</v>
      </c>
      <c r="AP256" s="298">
        <f t="shared" si="170"/>
        <v>0</v>
      </c>
      <c r="AQ256" s="298">
        <f t="shared" si="171"/>
        <v>0</v>
      </c>
      <c r="AR256" s="298">
        <f t="shared" si="172"/>
        <v>0</v>
      </c>
      <c r="AS256" s="298">
        <f t="shared" si="174"/>
        <v>0</v>
      </c>
      <c r="AT256" s="298">
        <f t="shared" si="173"/>
        <v>2</v>
      </c>
      <c r="AU256" s="285">
        <f t="shared" si="153"/>
        <v>7.04</v>
      </c>
      <c r="AV256" s="285">
        <v>7.04</v>
      </c>
      <c r="AW256" s="285"/>
      <c r="AX256" s="285"/>
      <c r="AY256" s="285"/>
      <c r="AZ256" s="285"/>
      <c r="BA256" s="285"/>
    </row>
    <row r="257" s="258" customFormat="1" ht="36" spans="1:53">
      <c r="A257" s="283">
        <v>250</v>
      </c>
      <c r="B257" s="284" t="s">
        <v>195</v>
      </c>
      <c r="C257" s="284" t="s">
        <v>199</v>
      </c>
      <c r="D257" s="284" t="s">
        <v>525</v>
      </c>
      <c r="E257" s="284" t="s">
        <v>526</v>
      </c>
      <c r="F257" s="285">
        <f t="shared" si="147"/>
        <v>4.2</v>
      </c>
      <c r="G257" s="285">
        <v>4.2</v>
      </c>
      <c r="H257" s="285"/>
      <c r="I257" s="285"/>
      <c r="J257" s="285"/>
      <c r="K257" s="285"/>
      <c r="L257" s="285"/>
      <c r="M257" s="285"/>
      <c r="N257" s="285"/>
      <c r="O257" s="285"/>
      <c r="P257" s="285">
        <f t="shared" si="148"/>
        <v>4.2</v>
      </c>
      <c r="Q257" s="285">
        <v>4.2</v>
      </c>
      <c r="R257" s="285"/>
      <c r="S257" s="285"/>
      <c r="T257" s="285"/>
      <c r="U257" s="285"/>
      <c r="V257" s="298">
        <f t="shared" si="149"/>
        <v>0</v>
      </c>
      <c r="W257" s="298"/>
      <c r="X257" s="298"/>
      <c r="Y257" s="298"/>
      <c r="Z257" s="298"/>
      <c r="AA257" s="298"/>
      <c r="AB257" s="298"/>
      <c r="AC257" s="298"/>
      <c r="AD257" s="298"/>
      <c r="AE257" s="285"/>
      <c r="AF257" s="299">
        <f t="shared" si="150"/>
        <v>0</v>
      </c>
      <c r="AG257" s="299">
        <f t="shared" si="161"/>
        <v>0</v>
      </c>
      <c r="AH257" s="299">
        <f t="shared" si="162"/>
        <v>0</v>
      </c>
      <c r="AI257" s="299">
        <f t="shared" si="163"/>
        <v>0</v>
      </c>
      <c r="AJ257" s="299">
        <f t="shared" si="164"/>
        <v>0</v>
      </c>
      <c r="AK257" s="299">
        <f t="shared" si="165"/>
        <v>0</v>
      </c>
      <c r="AL257" s="298">
        <f t="shared" si="166"/>
        <v>4.2</v>
      </c>
      <c r="AM257" s="298">
        <f t="shared" si="167"/>
        <v>4.2</v>
      </c>
      <c r="AN257" s="298">
        <f t="shared" si="168"/>
        <v>0</v>
      </c>
      <c r="AO257" s="298">
        <f t="shared" si="169"/>
        <v>0</v>
      </c>
      <c r="AP257" s="298">
        <f t="shared" si="170"/>
        <v>0</v>
      </c>
      <c r="AQ257" s="298">
        <f t="shared" si="171"/>
        <v>0</v>
      </c>
      <c r="AR257" s="298">
        <f t="shared" si="172"/>
        <v>0</v>
      </c>
      <c r="AS257" s="298">
        <f t="shared" si="174"/>
        <v>0</v>
      </c>
      <c r="AT257" s="298">
        <f t="shared" si="173"/>
        <v>0</v>
      </c>
      <c r="AU257" s="285">
        <f t="shared" si="153"/>
        <v>4.2</v>
      </c>
      <c r="AV257" s="285">
        <v>4.2</v>
      </c>
      <c r="AW257" s="285"/>
      <c r="AX257" s="285"/>
      <c r="AY257" s="285"/>
      <c r="AZ257" s="285"/>
      <c r="BA257" s="285"/>
    </row>
    <row r="258" s="258" customFormat="1" ht="36" spans="1:53">
      <c r="A258" s="283">
        <v>251</v>
      </c>
      <c r="B258" s="284" t="s">
        <v>195</v>
      </c>
      <c r="C258" s="284" t="s">
        <v>199</v>
      </c>
      <c r="D258" s="284" t="s">
        <v>527</v>
      </c>
      <c r="E258" s="284" t="s">
        <v>526</v>
      </c>
      <c r="F258" s="285">
        <f t="shared" si="147"/>
        <v>3</v>
      </c>
      <c r="G258" s="285">
        <v>3</v>
      </c>
      <c r="H258" s="285"/>
      <c r="I258" s="285"/>
      <c r="J258" s="285"/>
      <c r="K258" s="285"/>
      <c r="L258" s="285"/>
      <c r="M258" s="285"/>
      <c r="N258" s="285"/>
      <c r="O258" s="285"/>
      <c r="P258" s="285">
        <f t="shared" si="148"/>
        <v>3</v>
      </c>
      <c r="Q258" s="285">
        <v>3</v>
      </c>
      <c r="R258" s="285"/>
      <c r="S258" s="285"/>
      <c r="T258" s="285"/>
      <c r="U258" s="285"/>
      <c r="V258" s="298">
        <f t="shared" si="149"/>
        <v>0</v>
      </c>
      <c r="W258" s="298"/>
      <c r="X258" s="298"/>
      <c r="Y258" s="298"/>
      <c r="Z258" s="298"/>
      <c r="AA258" s="298"/>
      <c r="AB258" s="298"/>
      <c r="AC258" s="298"/>
      <c r="AD258" s="298"/>
      <c r="AE258" s="285"/>
      <c r="AF258" s="299">
        <f t="shared" si="150"/>
        <v>0</v>
      </c>
      <c r="AG258" s="299">
        <f t="shared" si="161"/>
        <v>0</v>
      </c>
      <c r="AH258" s="299">
        <f t="shared" si="162"/>
        <v>0</v>
      </c>
      <c r="AI258" s="299">
        <f t="shared" si="163"/>
        <v>0</v>
      </c>
      <c r="AJ258" s="299">
        <f t="shared" si="164"/>
        <v>0</v>
      </c>
      <c r="AK258" s="299">
        <f t="shared" si="165"/>
        <v>0</v>
      </c>
      <c r="AL258" s="298">
        <f t="shared" si="166"/>
        <v>3</v>
      </c>
      <c r="AM258" s="298">
        <f t="shared" si="167"/>
        <v>3</v>
      </c>
      <c r="AN258" s="298">
        <f t="shared" si="168"/>
        <v>0</v>
      </c>
      <c r="AO258" s="298">
        <f t="shared" si="169"/>
        <v>0</v>
      </c>
      <c r="AP258" s="298">
        <f t="shared" si="170"/>
        <v>0</v>
      </c>
      <c r="AQ258" s="298">
        <f t="shared" si="171"/>
        <v>0</v>
      </c>
      <c r="AR258" s="298">
        <f t="shared" si="172"/>
        <v>0</v>
      </c>
      <c r="AS258" s="298">
        <f t="shared" si="174"/>
        <v>0</v>
      </c>
      <c r="AT258" s="298">
        <f t="shared" si="173"/>
        <v>0</v>
      </c>
      <c r="AU258" s="285">
        <f t="shared" si="153"/>
        <v>3</v>
      </c>
      <c r="AV258" s="285">
        <v>3</v>
      </c>
      <c r="AW258" s="285"/>
      <c r="AX258" s="285"/>
      <c r="AY258" s="285"/>
      <c r="AZ258" s="285"/>
      <c r="BA258" s="285"/>
    </row>
    <row r="259" s="258" customFormat="1" ht="36" spans="1:53">
      <c r="A259" s="283">
        <v>252</v>
      </c>
      <c r="B259" s="284" t="s">
        <v>195</v>
      </c>
      <c r="C259" s="284" t="s">
        <v>199</v>
      </c>
      <c r="D259" s="284" t="s">
        <v>528</v>
      </c>
      <c r="E259" s="284" t="s">
        <v>526</v>
      </c>
      <c r="F259" s="285">
        <f t="shared" si="147"/>
        <v>1.8</v>
      </c>
      <c r="G259" s="285">
        <v>1.8</v>
      </c>
      <c r="H259" s="285"/>
      <c r="I259" s="285"/>
      <c r="J259" s="285"/>
      <c r="K259" s="285"/>
      <c r="L259" s="285"/>
      <c r="M259" s="285"/>
      <c r="N259" s="285"/>
      <c r="O259" s="285"/>
      <c r="P259" s="285">
        <f t="shared" si="148"/>
        <v>1.8</v>
      </c>
      <c r="Q259" s="285">
        <v>1.8</v>
      </c>
      <c r="R259" s="285"/>
      <c r="S259" s="285"/>
      <c r="T259" s="285"/>
      <c r="U259" s="285"/>
      <c r="V259" s="298">
        <f t="shared" si="149"/>
        <v>0</v>
      </c>
      <c r="W259" s="298"/>
      <c r="X259" s="298"/>
      <c r="Y259" s="298"/>
      <c r="Z259" s="298"/>
      <c r="AA259" s="298"/>
      <c r="AB259" s="298"/>
      <c r="AC259" s="298"/>
      <c r="AD259" s="298"/>
      <c r="AE259" s="285"/>
      <c r="AF259" s="299">
        <f t="shared" si="150"/>
        <v>0</v>
      </c>
      <c r="AG259" s="299">
        <f t="shared" si="161"/>
        <v>0</v>
      </c>
      <c r="AH259" s="299">
        <f t="shared" si="162"/>
        <v>0</v>
      </c>
      <c r="AI259" s="299">
        <f t="shared" si="163"/>
        <v>0</v>
      </c>
      <c r="AJ259" s="299">
        <f t="shared" si="164"/>
        <v>0</v>
      </c>
      <c r="AK259" s="299">
        <f t="shared" si="165"/>
        <v>0</v>
      </c>
      <c r="AL259" s="298">
        <f t="shared" si="166"/>
        <v>1.8</v>
      </c>
      <c r="AM259" s="298">
        <f t="shared" si="167"/>
        <v>1.8</v>
      </c>
      <c r="AN259" s="298">
        <f t="shared" si="168"/>
        <v>0</v>
      </c>
      <c r="AO259" s="298">
        <f t="shared" si="169"/>
        <v>0</v>
      </c>
      <c r="AP259" s="298">
        <f t="shared" si="170"/>
        <v>0</v>
      </c>
      <c r="AQ259" s="298">
        <f t="shared" si="171"/>
        <v>0</v>
      </c>
      <c r="AR259" s="298">
        <f t="shared" si="172"/>
        <v>0</v>
      </c>
      <c r="AS259" s="298">
        <f t="shared" si="174"/>
        <v>0</v>
      </c>
      <c r="AT259" s="298">
        <f t="shared" si="173"/>
        <v>0</v>
      </c>
      <c r="AU259" s="285">
        <f t="shared" si="153"/>
        <v>1.8</v>
      </c>
      <c r="AV259" s="285">
        <v>1.8</v>
      </c>
      <c r="AW259" s="285"/>
      <c r="AX259" s="285"/>
      <c r="AY259" s="285"/>
      <c r="AZ259" s="285"/>
      <c r="BA259" s="285"/>
    </row>
    <row r="260" s="258" customFormat="1" ht="36" spans="1:53">
      <c r="A260" s="283">
        <v>253</v>
      </c>
      <c r="B260" s="284" t="s">
        <v>195</v>
      </c>
      <c r="C260" s="284" t="s">
        <v>199</v>
      </c>
      <c r="D260" s="284" t="s">
        <v>529</v>
      </c>
      <c r="E260" s="284" t="s">
        <v>526</v>
      </c>
      <c r="F260" s="285">
        <f t="shared" si="147"/>
        <v>2.4</v>
      </c>
      <c r="G260" s="285">
        <v>2.4</v>
      </c>
      <c r="H260" s="285"/>
      <c r="I260" s="285"/>
      <c r="J260" s="285"/>
      <c r="K260" s="285"/>
      <c r="L260" s="285"/>
      <c r="M260" s="285"/>
      <c r="N260" s="285"/>
      <c r="O260" s="285"/>
      <c r="P260" s="285">
        <f t="shared" si="148"/>
        <v>2.4</v>
      </c>
      <c r="Q260" s="285">
        <v>2.4</v>
      </c>
      <c r="R260" s="285"/>
      <c r="S260" s="285"/>
      <c r="T260" s="285"/>
      <c r="U260" s="285"/>
      <c r="V260" s="298">
        <f t="shared" si="149"/>
        <v>0</v>
      </c>
      <c r="W260" s="298"/>
      <c r="X260" s="298"/>
      <c r="Y260" s="298"/>
      <c r="Z260" s="298"/>
      <c r="AA260" s="298"/>
      <c r="AB260" s="298"/>
      <c r="AC260" s="298"/>
      <c r="AD260" s="298"/>
      <c r="AE260" s="285"/>
      <c r="AF260" s="299">
        <f t="shared" si="150"/>
        <v>0</v>
      </c>
      <c r="AG260" s="299">
        <f t="shared" si="161"/>
        <v>0</v>
      </c>
      <c r="AH260" s="299">
        <f t="shared" si="162"/>
        <v>0</v>
      </c>
      <c r="AI260" s="299">
        <f t="shared" si="163"/>
        <v>0</v>
      </c>
      <c r="AJ260" s="299">
        <f t="shared" si="164"/>
        <v>0</v>
      </c>
      <c r="AK260" s="299">
        <f t="shared" si="165"/>
        <v>0</v>
      </c>
      <c r="AL260" s="298">
        <f t="shared" si="166"/>
        <v>2.4</v>
      </c>
      <c r="AM260" s="298">
        <f t="shared" si="167"/>
        <v>2.4</v>
      </c>
      <c r="AN260" s="298">
        <f t="shared" si="168"/>
        <v>0</v>
      </c>
      <c r="AO260" s="298">
        <f t="shared" si="169"/>
        <v>0</v>
      </c>
      <c r="AP260" s="298">
        <f t="shared" si="170"/>
        <v>0</v>
      </c>
      <c r="AQ260" s="298">
        <f t="shared" si="171"/>
        <v>0</v>
      </c>
      <c r="AR260" s="298">
        <f t="shared" si="172"/>
        <v>0</v>
      </c>
      <c r="AS260" s="298">
        <f t="shared" si="174"/>
        <v>0</v>
      </c>
      <c r="AT260" s="298">
        <f t="shared" si="173"/>
        <v>0</v>
      </c>
      <c r="AU260" s="285">
        <f t="shared" si="153"/>
        <v>2.4</v>
      </c>
      <c r="AV260" s="285">
        <v>2.4</v>
      </c>
      <c r="AW260" s="285"/>
      <c r="AX260" s="285"/>
      <c r="AY260" s="285"/>
      <c r="AZ260" s="285"/>
      <c r="BA260" s="285"/>
    </row>
    <row r="261" s="258" customFormat="1" ht="24" spans="1:53">
      <c r="A261" s="283">
        <v>254</v>
      </c>
      <c r="B261" s="284" t="s">
        <v>195</v>
      </c>
      <c r="C261" s="284" t="s">
        <v>199</v>
      </c>
      <c r="D261" s="284" t="s">
        <v>530</v>
      </c>
      <c r="E261" s="284" t="s">
        <v>531</v>
      </c>
      <c r="F261" s="285">
        <f t="shared" si="147"/>
        <v>7.8</v>
      </c>
      <c r="G261" s="285">
        <v>7.8</v>
      </c>
      <c r="H261" s="285"/>
      <c r="I261" s="285"/>
      <c r="J261" s="285"/>
      <c r="K261" s="285"/>
      <c r="L261" s="285"/>
      <c r="M261" s="285"/>
      <c r="N261" s="285"/>
      <c r="O261" s="285"/>
      <c r="P261" s="285">
        <f t="shared" si="148"/>
        <v>7.8</v>
      </c>
      <c r="Q261" s="285">
        <v>7.8</v>
      </c>
      <c r="R261" s="285"/>
      <c r="S261" s="285"/>
      <c r="T261" s="285"/>
      <c r="U261" s="285"/>
      <c r="V261" s="298">
        <f t="shared" si="149"/>
        <v>0</v>
      </c>
      <c r="W261" s="298"/>
      <c r="X261" s="298"/>
      <c r="Y261" s="298"/>
      <c r="Z261" s="298"/>
      <c r="AA261" s="298"/>
      <c r="AB261" s="298"/>
      <c r="AC261" s="298"/>
      <c r="AD261" s="298"/>
      <c r="AE261" s="285"/>
      <c r="AF261" s="299">
        <f t="shared" si="150"/>
        <v>0</v>
      </c>
      <c r="AG261" s="299">
        <f t="shared" si="161"/>
        <v>0</v>
      </c>
      <c r="AH261" s="299">
        <f t="shared" si="162"/>
        <v>0</v>
      </c>
      <c r="AI261" s="299">
        <f t="shared" si="163"/>
        <v>0</v>
      </c>
      <c r="AJ261" s="299">
        <f t="shared" si="164"/>
        <v>0</v>
      </c>
      <c r="AK261" s="299">
        <f t="shared" si="165"/>
        <v>0</v>
      </c>
      <c r="AL261" s="298">
        <f t="shared" si="166"/>
        <v>7.8</v>
      </c>
      <c r="AM261" s="298">
        <f t="shared" si="167"/>
        <v>7.8</v>
      </c>
      <c r="AN261" s="298">
        <f t="shared" si="168"/>
        <v>0</v>
      </c>
      <c r="AO261" s="298">
        <f t="shared" si="169"/>
        <v>0</v>
      </c>
      <c r="AP261" s="298">
        <f t="shared" si="170"/>
        <v>0</v>
      </c>
      <c r="AQ261" s="298">
        <f t="shared" si="171"/>
        <v>0</v>
      </c>
      <c r="AR261" s="298">
        <f t="shared" si="172"/>
        <v>0</v>
      </c>
      <c r="AS261" s="298">
        <f t="shared" si="174"/>
        <v>0</v>
      </c>
      <c r="AT261" s="298">
        <f t="shared" si="173"/>
        <v>0</v>
      </c>
      <c r="AU261" s="285">
        <f t="shared" si="153"/>
        <v>7.8</v>
      </c>
      <c r="AV261" s="285">
        <v>7.8</v>
      </c>
      <c r="AW261" s="285"/>
      <c r="AX261" s="285"/>
      <c r="AY261" s="285"/>
      <c r="AZ261" s="285"/>
      <c r="BA261" s="285"/>
    </row>
    <row r="262" s="258" customFormat="1" ht="24" spans="1:53">
      <c r="A262" s="283">
        <v>255</v>
      </c>
      <c r="B262" s="284" t="s">
        <v>195</v>
      </c>
      <c r="C262" s="284" t="s">
        <v>199</v>
      </c>
      <c r="D262" s="284" t="s">
        <v>532</v>
      </c>
      <c r="E262" s="284" t="s">
        <v>533</v>
      </c>
      <c r="F262" s="285">
        <f t="shared" si="147"/>
        <v>38.8</v>
      </c>
      <c r="G262" s="285">
        <v>4.8</v>
      </c>
      <c r="H262" s="285"/>
      <c r="I262" s="285"/>
      <c r="J262" s="285"/>
      <c r="K262" s="285"/>
      <c r="L262" s="285"/>
      <c r="M262" s="285"/>
      <c r="N262" s="285">
        <v>34</v>
      </c>
      <c r="O262" s="285" t="s">
        <v>1144</v>
      </c>
      <c r="P262" s="285">
        <f t="shared" si="148"/>
        <v>38.8</v>
      </c>
      <c r="Q262" s="285">
        <v>38.8</v>
      </c>
      <c r="R262" s="285"/>
      <c r="S262" s="285"/>
      <c r="T262" s="285"/>
      <c r="U262" s="285"/>
      <c r="V262" s="298">
        <f t="shared" si="149"/>
        <v>0</v>
      </c>
      <c r="W262" s="298"/>
      <c r="X262" s="298"/>
      <c r="Y262" s="298"/>
      <c r="Z262" s="298"/>
      <c r="AA262" s="298"/>
      <c r="AB262" s="298"/>
      <c r="AC262" s="298"/>
      <c r="AD262" s="298"/>
      <c r="AE262" s="285"/>
      <c r="AF262" s="299">
        <f t="shared" si="150"/>
        <v>0</v>
      </c>
      <c r="AG262" s="299">
        <f t="shared" si="161"/>
        <v>0</v>
      </c>
      <c r="AH262" s="299">
        <f t="shared" si="162"/>
        <v>0</v>
      </c>
      <c r="AI262" s="299">
        <f t="shared" si="163"/>
        <v>0</v>
      </c>
      <c r="AJ262" s="299">
        <f t="shared" si="164"/>
        <v>0</v>
      </c>
      <c r="AK262" s="299">
        <f t="shared" si="165"/>
        <v>0</v>
      </c>
      <c r="AL262" s="298">
        <f t="shared" si="166"/>
        <v>38.8</v>
      </c>
      <c r="AM262" s="298">
        <f t="shared" si="167"/>
        <v>4.8</v>
      </c>
      <c r="AN262" s="298">
        <f t="shared" si="168"/>
        <v>0</v>
      </c>
      <c r="AO262" s="298">
        <f t="shared" si="169"/>
        <v>0</v>
      </c>
      <c r="AP262" s="298">
        <f t="shared" si="170"/>
        <v>0</v>
      </c>
      <c r="AQ262" s="298">
        <f t="shared" si="171"/>
        <v>0</v>
      </c>
      <c r="AR262" s="298">
        <f t="shared" si="172"/>
        <v>0</v>
      </c>
      <c r="AS262" s="298">
        <f t="shared" si="174"/>
        <v>0</v>
      </c>
      <c r="AT262" s="298">
        <f t="shared" si="173"/>
        <v>34</v>
      </c>
      <c r="AU262" s="285">
        <f t="shared" si="153"/>
        <v>38.8</v>
      </c>
      <c r="AV262" s="285">
        <v>38.8</v>
      </c>
      <c r="AW262" s="285"/>
      <c r="AX262" s="285"/>
      <c r="AY262" s="285"/>
      <c r="AZ262" s="285"/>
      <c r="BA262" s="285"/>
    </row>
    <row r="263" s="258" customFormat="1" ht="31" customHeight="1" spans="1:53">
      <c r="A263" s="283">
        <v>256</v>
      </c>
      <c r="B263" s="284" t="s">
        <v>195</v>
      </c>
      <c r="C263" s="284" t="s">
        <v>199</v>
      </c>
      <c r="D263" s="284" t="s">
        <v>534</v>
      </c>
      <c r="E263" s="284" t="s">
        <v>535</v>
      </c>
      <c r="F263" s="285">
        <f t="shared" si="147"/>
        <v>6.6</v>
      </c>
      <c r="G263" s="285">
        <v>6.6</v>
      </c>
      <c r="H263" s="285"/>
      <c r="I263" s="285"/>
      <c r="J263" s="285"/>
      <c r="K263" s="285"/>
      <c r="L263" s="285"/>
      <c r="M263" s="285"/>
      <c r="N263" s="285"/>
      <c r="O263" s="285"/>
      <c r="P263" s="285">
        <f t="shared" si="148"/>
        <v>6.6</v>
      </c>
      <c r="Q263" s="285">
        <v>6.6</v>
      </c>
      <c r="R263" s="285"/>
      <c r="S263" s="285"/>
      <c r="T263" s="285"/>
      <c r="U263" s="285"/>
      <c r="V263" s="298">
        <f t="shared" si="149"/>
        <v>0.68</v>
      </c>
      <c r="W263" s="298">
        <v>0.6</v>
      </c>
      <c r="X263" s="298"/>
      <c r="Y263" s="298"/>
      <c r="Z263" s="298"/>
      <c r="AA263" s="298"/>
      <c r="AB263" s="298">
        <v>0.08</v>
      </c>
      <c r="AC263" s="298"/>
      <c r="AD263" s="298"/>
      <c r="AE263" s="285" t="s">
        <v>1145</v>
      </c>
      <c r="AF263" s="299">
        <f t="shared" si="150"/>
        <v>0.68</v>
      </c>
      <c r="AG263" s="299">
        <f t="shared" si="161"/>
        <v>0.600000000000001</v>
      </c>
      <c r="AH263" s="299">
        <f t="shared" si="162"/>
        <v>0</v>
      </c>
      <c r="AI263" s="299">
        <f t="shared" si="163"/>
        <v>0.08</v>
      </c>
      <c r="AJ263" s="299">
        <f t="shared" si="164"/>
        <v>0</v>
      </c>
      <c r="AK263" s="299">
        <f t="shared" si="165"/>
        <v>0</v>
      </c>
      <c r="AL263" s="298">
        <f t="shared" si="166"/>
        <v>7.28</v>
      </c>
      <c r="AM263" s="298">
        <f t="shared" si="167"/>
        <v>7.2</v>
      </c>
      <c r="AN263" s="298">
        <f t="shared" si="168"/>
        <v>0</v>
      </c>
      <c r="AO263" s="298">
        <f t="shared" si="169"/>
        <v>0</v>
      </c>
      <c r="AP263" s="298">
        <f t="shared" si="170"/>
        <v>0</v>
      </c>
      <c r="AQ263" s="298">
        <f t="shared" si="171"/>
        <v>0</v>
      </c>
      <c r="AR263" s="298">
        <f t="shared" si="172"/>
        <v>0.08</v>
      </c>
      <c r="AS263" s="298">
        <f t="shared" si="174"/>
        <v>0</v>
      </c>
      <c r="AT263" s="298">
        <f t="shared" si="173"/>
        <v>0</v>
      </c>
      <c r="AU263" s="285">
        <f t="shared" si="153"/>
        <v>7.28</v>
      </c>
      <c r="AV263" s="285">
        <v>7.2</v>
      </c>
      <c r="AW263" s="285"/>
      <c r="AX263" s="285">
        <v>0.08</v>
      </c>
      <c r="AY263" s="285"/>
      <c r="AZ263" s="285"/>
      <c r="BA263" s="285"/>
    </row>
    <row r="264" s="258" customFormat="1" ht="96" spans="1:53">
      <c r="A264" s="283">
        <v>257</v>
      </c>
      <c r="B264" s="284" t="s">
        <v>195</v>
      </c>
      <c r="C264" s="284" t="s">
        <v>199</v>
      </c>
      <c r="D264" s="284" t="s">
        <v>538</v>
      </c>
      <c r="E264" s="284" t="s">
        <v>539</v>
      </c>
      <c r="F264" s="285">
        <f t="shared" si="147"/>
        <v>126.7</v>
      </c>
      <c r="G264" s="285">
        <v>1.2</v>
      </c>
      <c r="H264" s="285"/>
      <c r="I264" s="285"/>
      <c r="J264" s="285"/>
      <c r="K264" s="285"/>
      <c r="L264" s="285"/>
      <c r="M264" s="285"/>
      <c r="N264" s="285">
        <v>125.5</v>
      </c>
      <c r="O264" s="285" t="s">
        <v>1146</v>
      </c>
      <c r="P264" s="285">
        <f t="shared" si="148"/>
        <v>126.7</v>
      </c>
      <c r="Q264" s="285">
        <v>126.7</v>
      </c>
      <c r="R264" s="285"/>
      <c r="S264" s="285"/>
      <c r="T264" s="285"/>
      <c r="U264" s="285"/>
      <c r="V264" s="298">
        <f t="shared" si="149"/>
        <v>39</v>
      </c>
      <c r="W264" s="298"/>
      <c r="X264" s="298"/>
      <c r="Y264" s="298"/>
      <c r="Z264" s="298"/>
      <c r="AA264" s="298"/>
      <c r="AB264" s="298"/>
      <c r="AC264" s="298"/>
      <c r="AD264" s="298">
        <v>39</v>
      </c>
      <c r="AE264" s="285" t="s">
        <v>1147</v>
      </c>
      <c r="AF264" s="299">
        <f t="shared" si="150"/>
        <v>39</v>
      </c>
      <c r="AG264" s="299">
        <f t="shared" si="161"/>
        <v>39</v>
      </c>
      <c r="AH264" s="299">
        <f t="shared" si="162"/>
        <v>0</v>
      </c>
      <c r="AI264" s="299">
        <f t="shared" si="163"/>
        <v>0</v>
      </c>
      <c r="AJ264" s="299">
        <f t="shared" si="164"/>
        <v>0</v>
      </c>
      <c r="AK264" s="299">
        <f t="shared" si="165"/>
        <v>0</v>
      </c>
      <c r="AL264" s="298">
        <f t="shared" si="166"/>
        <v>165.7</v>
      </c>
      <c r="AM264" s="298">
        <f t="shared" si="167"/>
        <v>1.2</v>
      </c>
      <c r="AN264" s="298">
        <f t="shared" si="168"/>
        <v>0</v>
      </c>
      <c r="AO264" s="298">
        <f t="shared" si="169"/>
        <v>0</v>
      </c>
      <c r="AP264" s="298">
        <f t="shared" si="170"/>
        <v>0</v>
      </c>
      <c r="AQ264" s="298">
        <f t="shared" si="171"/>
        <v>0</v>
      </c>
      <c r="AR264" s="298">
        <f t="shared" si="172"/>
        <v>0</v>
      </c>
      <c r="AS264" s="298">
        <f t="shared" si="174"/>
        <v>0</v>
      </c>
      <c r="AT264" s="298">
        <f t="shared" si="173"/>
        <v>164.5</v>
      </c>
      <c r="AU264" s="285">
        <f t="shared" si="153"/>
        <v>165.7</v>
      </c>
      <c r="AV264" s="285">
        <v>165.7</v>
      </c>
      <c r="AW264" s="285"/>
      <c r="AX264" s="285"/>
      <c r="AY264" s="285"/>
      <c r="AZ264" s="285"/>
      <c r="BA264" s="285"/>
    </row>
    <row r="265" s="260" customFormat="1" ht="24" customHeight="1" spans="1:53">
      <c r="A265" s="283">
        <v>258</v>
      </c>
      <c r="B265" s="305"/>
      <c r="C265" s="306" t="s">
        <v>749</v>
      </c>
      <c r="D265" s="305" t="s">
        <v>137</v>
      </c>
      <c r="E265" s="306">
        <v>208</v>
      </c>
      <c r="F265" s="281">
        <f t="shared" ref="F265:K265" si="175">SUM(F266:F288)</f>
        <v>991.52</v>
      </c>
      <c r="G265" s="281">
        <f t="shared" si="175"/>
        <v>67.8</v>
      </c>
      <c r="H265" s="281">
        <f t="shared" si="175"/>
        <v>8</v>
      </c>
      <c r="I265" s="281">
        <f t="shared" si="175"/>
        <v>33.47</v>
      </c>
      <c r="J265" s="281">
        <f t="shared" si="175"/>
        <v>0</v>
      </c>
      <c r="K265" s="281">
        <f t="shared" si="175"/>
        <v>0</v>
      </c>
      <c r="L265" s="281"/>
      <c r="M265" s="281">
        <f>SUM(M266:M288)</f>
        <v>62</v>
      </c>
      <c r="N265" s="281">
        <f>SUM(N266:N288)</f>
        <v>820.25</v>
      </c>
      <c r="O265" s="281"/>
      <c r="P265" s="307">
        <f t="shared" ref="P265:U265" si="176">SUM(P266:P288)</f>
        <v>991.52</v>
      </c>
      <c r="Q265" s="307">
        <f t="shared" si="176"/>
        <v>929.52</v>
      </c>
      <c r="R265" s="307">
        <f t="shared" si="176"/>
        <v>0</v>
      </c>
      <c r="S265" s="307">
        <f t="shared" si="176"/>
        <v>62</v>
      </c>
      <c r="T265" s="307">
        <f t="shared" si="176"/>
        <v>0</v>
      </c>
      <c r="U265" s="307">
        <f t="shared" si="176"/>
        <v>0</v>
      </c>
      <c r="V265" s="281">
        <f t="shared" ref="R265:AC265" si="177">SUM(V266:V288)</f>
        <v>32.37</v>
      </c>
      <c r="W265" s="281">
        <f t="shared" si="177"/>
        <v>0</v>
      </c>
      <c r="X265" s="281">
        <f t="shared" si="177"/>
        <v>0</v>
      </c>
      <c r="Y265" s="281">
        <f t="shared" si="177"/>
        <v>-0.52</v>
      </c>
      <c r="Z265" s="281">
        <f t="shared" si="177"/>
        <v>0</v>
      </c>
      <c r="AA265" s="281">
        <f t="shared" si="177"/>
        <v>0</v>
      </c>
      <c r="AB265" s="281">
        <f t="shared" si="177"/>
        <v>15.54</v>
      </c>
      <c r="AC265" s="281">
        <f t="shared" si="177"/>
        <v>0</v>
      </c>
      <c r="AD265" s="281">
        <f t="shared" ref="AD265" si="178">SUM(AD266:AD288)</f>
        <v>17.35</v>
      </c>
      <c r="AE265" s="281"/>
      <c r="AF265" s="281">
        <f t="shared" ref="AF265:AL265" si="179">SUM(AF266:AF288)</f>
        <v>32.37</v>
      </c>
      <c r="AG265" s="281">
        <f t="shared" si="179"/>
        <v>16.83</v>
      </c>
      <c r="AH265" s="281">
        <f t="shared" si="179"/>
        <v>0</v>
      </c>
      <c r="AI265" s="281">
        <f t="shared" si="179"/>
        <v>15.54</v>
      </c>
      <c r="AJ265" s="281">
        <f t="shared" si="179"/>
        <v>0</v>
      </c>
      <c r="AK265" s="281">
        <f t="shared" si="179"/>
        <v>0</v>
      </c>
      <c r="AL265" s="308">
        <f t="shared" si="179"/>
        <v>1023.89</v>
      </c>
      <c r="AM265" s="308">
        <f t="shared" ref="AM265:AZ265" si="180">SUM(AM266:AM288)</f>
        <v>67.8</v>
      </c>
      <c r="AN265" s="308">
        <f t="shared" si="180"/>
        <v>8</v>
      </c>
      <c r="AO265" s="308">
        <f t="shared" si="180"/>
        <v>32.95</v>
      </c>
      <c r="AP265" s="308">
        <f t="shared" si="180"/>
        <v>0</v>
      </c>
      <c r="AQ265" s="308">
        <f t="shared" si="180"/>
        <v>0</v>
      </c>
      <c r="AR265" s="308">
        <f t="shared" si="180"/>
        <v>77.54</v>
      </c>
      <c r="AS265" s="308">
        <f t="shared" si="180"/>
        <v>0</v>
      </c>
      <c r="AT265" s="308">
        <f t="shared" si="180"/>
        <v>837.6</v>
      </c>
      <c r="AU265" s="308">
        <f t="shared" si="180"/>
        <v>1023.89</v>
      </c>
      <c r="AV265" s="308">
        <f t="shared" si="180"/>
        <v>946.35</v>
      </c>
      <c r="AW265" s="308">
        <f t="shared" si="180"/>
        <v>0</v>
      </c>
      <c r="AX265" s="308">
        <f t="shared" si="180"/>
        <v>77.54</v>
      </c>
      <c r="AY265" s="308">
        <f t="shared" si="180"/>
        <v>0</v>
      </c>
      <c r="AZ265" s="308">
        <f t="shared" si="180"/>
        <v>0</v>
      </c>
      <c r="BA265" s="309"/>
    </row>
    <row r="266" s="258" customFormat="1" ht="93.75" customHeight="1" spans="1:53">
      <c r="A266" s="283">
        <v>259</v>
      </c>
      <c r="B266" s="284" t="s">
        <v>540</v>
      </c>
      <c r="C266" s="284" t="s">
        <v>196</v>
      </c>
      <c r="D266" s="284" t="s">
        <v>541</v>
      </c>
      <c r="E266" s="284" t="s">
        <v>542</v>
      </c>
      <c r="F266" s="285">
        <f t="shared" ref="F266:F288" si="181">SUM(G266:N266)</f>
        <v>340.31</v>
      </c>
      <c r="G266" s="285">
        <v>6</v>
      </c>
      <c r="H266" s="285"/>
      <c r="I266" s="285">
        <v>9.31</v>
      </c>
      <c r="J266" s="285"/>
      <c r="K266" s="285"/>
      <c r="L266" s="285"/>
      <c r="M266" s="285">
        <v>37</v>
      </c>
      <c r="N266" s="285">
        <v>288</v>
      </c>
      <c r="O266" s="285" t="s">
        <v>1148</v>
      </c>
      <c r="P266" s="285">
        <f t="shared" ref="P266:P288" si="182">SUM(Q266:S266)</f>
        <v>340.31</v>
      </c>
      <c r="Q266" s="285">
        <v>303.31</v>
      </c>
      <c r="R266" s="285"/>
      <c r="S266" s="285">
        <v>37</v>
      </c>
      <c r="T266" s="285"/>
      <c r="U266" s="285"/>
      <c r="V266" s="298">
        <f t="shared" ref="V266:V288" si="183">SUM(W266:AD266)</f>
        <v>-37</v>
      </c>
      <c r="W266" s="298"/>
      <c r="X266" s="298"/>
      <c r="Y266" s="298"/>
      <c r="Z266" s="298"/>
      <c r="AA266" s="298"/>
      <c r="AB266" s="298">
        <v>-37</v>
      </c>
      <c r="AC266" s="298"/>
      <c r="AD266" s="298"/>
      <c r="AE266" s="285"/>
      <c r="AF266" s="299">
        <f t="shared" ref="AF266:AF288" si="184">SUM(AG266:AI266)</f>
        <v>-37</v>
      </c>
      <c r="AG266" s="299">
        <f t="shared" ref="AG266:AG288" si="185">AV266-Q266</f>
        <v>0</v>
      </c>
      <c r="AH266" s="299">
        <f t="shared" ref="AH266:AH288" si="186">AW266-R266</f>
        <v>0</v>
      </c>
      <c r="AI266" s="299">
        <f t="shared" ref="AI266:AI288" si="187">AX266-S266</f>
        <v>-37</v>
      </c>
      <c r="AJ266" s="299">
        <f t="shared" ref="AJ266:AJ288" si="188">AY266-T266</f>
        <v>0</v>
      </c>
      <c r="AK266" s="299">
        <f t="shared" ref="AK266:AK288" si="189">AZ266-U266</f>
        <v>0</v>
      </c>
      <c r="AL266" s="298">
        <f t="shared" ref="AL266:AL288" si="190">SUM(AM266:AT266)</f>
        <v>303.31</v>
      </c>
      <c r="AM266" s="298">
        <f t="shared" ref="AM266:AM288" si="191">G266+W266</f>
        <v>6</v>
      </c>
      <c r="AN266" s="298">
        <f t="shared" ref="AN266:AN288" si="192">H266+X266</f>
        <v>0</v>
      </c>
      <c r="AO266" s="298">
        <f t="shared" ref="AO266:AO288" si="193">I266+Y266</f>
        <v>9.31</v>
      </c>
      <c r="AP266" s="298">
        <f t="shared" ref="AP266:AP288" si="194">J266+Z266</f>
        <v>0</v>
      </c>
      <c r="AQ266" s="298">
        <f t="shared" ref="AQ266:AQ288" si="195">K266+AA266</f>
        <v>0</v>
      </c>
      <c r="AR266" s="298">
        <f t="shared" ref="AR266:AR288" si="196">M266+AB266</f>
        <v>0</v>
      </c>
      <c r="AS266" s="298">
        <f t="shared" si="174"/>
        <v>0</v>
      </c>
      <c r="AT266" s="298">
        <f t="shared" ref="AT266:AT288" si="197">N266+AD266</f>
        <v>288</v>
      </c>
      <c r="AU266" s="285">
        <f t="shared" ref="AU266:AU288" si="198">SUM(AV266:AX266)</f>
        <v>303.31</v>
      </c>
      <c r="AV266" s="285">
        <v>303.31</v>
      </c>
      <c r="AW266" s="285"/>
      <c r="AX266" s="285"/>
      <c r="AY266" s="285"/>
      <c r="AZ266" s="285"/>
      <c r="BA266" s="285"/>
    </row>
    <row r="267" s="258" customFormat="1" ht="24" spans="1:53">
      <c r="A267" s="283">
        <v>260</v>
      </c>
      <c r="B267" s="284" t="s">
        <v>540</v>
      </c>
      <c r="C267" s="284" t="s">
        <v>196</v>
      </c>
      <c r="D267" s="284" t="s">
        <v>543</v>
      </c>
      <c r="E267" s="284" t="s">
        <v>542</v>
      </c>
      <c r="F267" s="285">
        <f t="shared" si="181"/>
        <v>13.92</v>
      </c>
      <c r="G267" s="285">
        <v>6.6</v>
      </c>
      <c r="H267" s="285"/>
      <c r="I267" s="285">
        <v>7.32</v>
      </c>
      <c r="J267" s="285"/>
      <c r="K267" s="285"/>
      <c r="L267" s="285"/>
      <c r="M267" s="285"/>
      <c r="N267" s="285"/>
      <c r="O267" s="285"/>
      <c r="P267" s="285">
        <f t="shared" si="182"/>
        <v>13.92</v>
      </c>
      <c r="Q267" s="285">
        <v>13.92</v>
      </c>
      <c r="R267" s="285"/>
      <c r="S267" s="285"/>
      <c r="T267" s="285"/>
      <c r="U267" s="285"/>
      <c r="V267" s="298">
        <f t="shared" si="183"/>
        <v>0</v>
      </c>
      <c r="W267" s="298"/>
      <c r="X267" s="298"/>
      <c r="Y267" s="298"/>
      <c r="Z267" s="298"/>
      <c r="AA267" s="298"/>
      <c r="AB267" s="298"/>
      <c r="AC267" s="298"/>
      <c r="AD267" s="298"/>
      <c r="AE267" s="285"/>
      <c r="AF267" s="299">
        <f t="shared" si="184"/>
        <v>0</v>
      </c>
      <c r="AG267" s="299">
        <f t="shared" si="185"/>
        <v>0</v>
      </c>
      <c r="AH267" s="299">
        <f t="shared" si="186"/>
        <v>0</v>
      </c>
      <c r="AI267" s="299">
        <f t="shared" si="187"/>
        <v>0</v>
      </c>
      <c r="AJ267" s="299">
        <f t="shared" si="188"/>
        <v>0</v>
      </c>
      <c r="AK267" s="299">
        <f t="shared" si="189"/>
        <v>0</v>
      </c>
      <c r="AL267" s="298">
        <f t="shared" si="190"/>
        <v>13.92</v>
      </c>
      <c r="AM267" s="298">
        <f t="shared" si="191"/>
        <v>6.6</v>
      </c>
      <c r="AN267" s="298">
        <f t="shared" si="192"/>
        <v>0</v>
      </c>
      <c r="AO267" s="298">
        <f t="shared" si="193"/>
        <v>7.32</v>
      </c>
      <c r="AP267" s="298">
        <f t="shared" si="194"/>
        <v>0</v>
      </c>
      <c r="AQ267" s="298">
        <f t="shared" si="195"/>
        <v>0</v>
      </c>
      <c r="AR267" s="298">
        <f t="shared" si="196"/>
        <v>0</v>
      </c>
      <c r="AS267" s="298">
        <f t="shared" si="174"/>
        <v>0</v>
      </c>
      <c r="AT267" s="298">
        <f t="shared" si="197"/>
        <v>0</v>
      </c>
      <c r="AU267" s="285">
        <f t="shared" si="198"/>
        <v>13.92</v>
      </c>
      <c r="AV267" s="285">
        <v>13.92</v>
      </c>
      <c r="AW267" s="285"/>
      <c r="AX267" s="285"/>
      <c r="AY267" s="285"/>
      <c r="AZ267" s="285"/>
      <c r="BA267" s="285"/>
    </row>
    <row r="268" s="258" customFormat="1" ht="33" customHeight="1" spans="1:53">
      <c r="A268" s="283">
        <v>261</v>
      </c>
      <c r="B268" s="284" t="s">
        <v>540</v>
      </c>
      <c r="C268" s="284" t="s">
        <v>199</v>
      </c>
      <c r="D268" s="284" t="s">
        <v>544</v>
      </c>
      <c r="E268" s="284" t="s">
        <v>545</v>
      </c>
      <c r="F268" s="285">
        <f t="shared" si="181"/>
        <v>18.6</v>
      </c>
      <c r="G268" s="285">
        <v>6.6</v>
      </c>
      <c r="H268" s="285">
        <v>2</v>
      </c>
      <c r="I268" s="285"/>
      <c r="J268" s="285"/>
      <c r="K268" s="285"/>
      <c r="L268" s="285"/>
      <c r="M268" s="285"/>
      <c r="N268" s="285">
        <v>10</v>
      </c>
      <c r="O268" s="285" t="s">
        <v>1149</v>
      </c>
      <c r="P268" s="285">
        <f t="shared" si="182"/>
        <v>18.6</v>
      </c>
      <c r="Q268" s="285">
        <v>18.6</v>
      </c>
      <c r="R268" s="285"/>
      <c r="S268" s="285"/>
      <c r="T268" s="285"/>
      <c r="U268" s="285"/>
      <c r="V268" s="298">
        <f t="shared" si="183"/>
        <v>0</v>
      </c>
      <c r="W268" s="298"/>
      <c r="X268" s="298"/>
      <c r="Y268" s="298"/>
      <c r="Z268" s="298"/>
      <c r="AA268" s="298"/>
      <c r="AB268" s="298"/>
      <c r="AC268" s="298"/>
      <c r="AD268" s="298"/>
      <c r="AE268" s="285"/>
      <c r="AF268" s="299">
        <f t="shared" si="184"/>
        <v>0</v>
      </c>
      <c r="AG268" s="299">
        <f t="shared" si="185"/>
        <v>0</v>
      </c>
      <c r="AH268" s="299">
        <f t="shared" si="186"/>
        <v>0</v>
      </c>
      <c r="AI268" s="299">
        <f t="shared" si="187"/>
        <v>0</v>
      </c>
      <c r="AJ268" s="299">
        <f t="shared" si="188"/>
        <v>0</v>
      </c>
      <c r="AK268" s="299">
        <f t="shared" si="189"/>
        <v>0</v>
      </c>
      <c r="AL268" s="298">
        <f t="shared" si="190"/>
        <v>18.6</v>
      </c>
      <c r="AM268" s="298">
        <f t="shared" si="191"/>
        <v>6.6</v>
      </c>
      <c r="AN268" s="298">
        <f t="shared" si="192"/>
        <v>2</v>
      </c>
      <c r="AO268" s="298">
        <f t="shared" si="193"/>
        <v>0</v>
      </c>
      <c r="AP268" s="298">
        <f t="shared" si="194"/>
        <v>0</v>
      </c>
      <c r="AQ268" s="298">
        <f t="shared" si="195"/>
        <v>0</v>
      </c>
      <c r="AR268" s="298">
        <f t="shared" si="196"/>
        <v>0</v>
      </c>
      <c r="AS268" s="298">
        <f t="shared" si="174"/>
        <v>0</v>
      </c>
      <c r="AT268" s="298">
        <f t="shared" si="197"/>
        <v>10</v>
      </c>
      <c r="AU268" s="285">
        <f t="shared" si="198"/>
        <v>18.6</v>
      </c>
      <c r="AV268" s="285">
        <v>18.6</v>
      </c>
      <c r="AW268" s="285"/>
      <c r="AX268" s="285"/>
      <c r="AY268" s="285"/>
      <c r="AZ268" s="285"/>
      <c r="BA268" s="285"/>
    </row>
    <row r="269" s="258" customFormat="1" ht="33" customHeight="1" spans="1:53">
      <c r="A269" s="283">
        <v>262</v>
      </c>
      <c r="B269" s="284" t="s">
        <v>540</v>
      </c>
      <c r="C269" s="284" t="s">
        <v>199</v>
      </c>
      <c r="D269" s="284" t="s">
        <v>546</v>
      </c>
      <c r="E269" s="284" t="s">
        <v>547</v>
      </c>
      <c r="F269" s="285">
        <f t="shared" si="181"/>
        <v>21.2</v>
      </c>
      <c r="G269" s="285">
        <v>4.2</v>
      </c>
      <c r="H269" s="285">
        <v>2</v>
      </c>
      <c r="I269" s="285"/>
      <c r="J269" s="285"/>
      <c r="K269" s="285"/>
      <c r="L269" s="285"/>
      <c r="M269" s="285"/>
      <c r="N269" s="285">
        <v>15</v>
      </c>
      <c r="O269" s="285" t="s">
        <v>1150</v>
      </c>
      <c r="P269" s="285">
        <f t="shared" si="182"/>
        <v>21.2</v>
      </c>
      <c r="Q269" s="285">
        <v>21.2</v>
      </c>
      <c r="R269" s="285"/>
      <c r="S269" s="285"/>
      <c r="T269" s="285"/>
      <c r="U269" s="285"/>
      <c r="V269" s="298">
        <f t="shared" si="183"/>
        <v>0</v>
      </c>
      <c r="W269" s="298"/>
      <c r="X269" s="298"/>
      <c r="Y269" s="298"/>
      <c r="Z269" s="298"/>
      <c r="AA269" s="298"/>
      <c r="AB269" s="298"/>
      <c r="AC269" s="298"/>
      <c r="AD269" s="298"/>
      <c r="AE269" s="285"/>
      <c r="AF269" s="299">
        <f t="shared" si="184"/>
        <v>0</v>
      </c>
      <c r="AG269" s="299">
        <f t="shared" si="185"/>
        <v>0</v>
      </c>
      <c r="AH269" s="299">
        <f t="shared" si="186"/>
        <v>0</v>
      </c>
      <c r="AI269" s="299">
        <f t="shared" si="187"/>
        <v>0</v>
      </c>
      <c r="AJ269" s="299">
        <f t="shared" si="188"/>
        <v>0</v>
      </c>
      <c r="AK269" s="299">
        <f t="shared" si="189"/>
        <v>0</v>
      </c>
      <c r="AL269" s="298">
        <f t="shared" si="190"/>
        <v>21.2</v>
      </c>
      <c r="AM269" s="298">
        <f t="shared" si="191"/>
        <v>4.2</v>
      </c>
      <c r="AN269" s="298">
        <f t="shared" si="192"/>
        <v>2</v>
      </c>
      <c r="AO269" s="298">
        <f t="shared" si="193"/>
        <v>0</v>
      </c>
      <c r="AP269" s="298">
        <f t="shared" si="194"/>
        <v>0</v>
      </c>
      <c r="AQ269" s="298">
        <f t="shared" si="195"/>
        <v>0</v>
      </c>
      <c r="AR269" s="298">
        <f t="shared" si="196"/>
        <v>0</v>
      </c>
      <c r="AS269" s="298">
        <f t="shared" si="174"/>
        <v>0</v>
      </c>
      <c r="AT269" s="298">
        <f t="shared" si="197"/>
        <v>15</v>
      </c>
      <c r="AU269" s="285">
        <f t="shared" si="198"/>
        <v>21.2</v>
      </c>
      <c r="AV269" s="285">
        <v>21.2</v>
      </c>
      <c r="AW269" s="285"/>
      <c r="AX269" s="285"/>
      <c r="AY269" s="285"/>
      <c r="AZ269" s="285"/>
      <c r="BA269" s="285"/>
    </row>
    <row r="270" s="258" customFormat="1" ht="33" customHeight="1" spans="1:53">
      <c r="A270" s="283">
        <v>263</v>
      </c>
      <c r="B270" s="284" t="s">
        <v>540</v>
      </c>
      <c r="C270" s="284" t="s">
        <v>199</v>
      </c>
      <c r="D270" s="284" t="s">
        <v>548</v>
      </c>
      <c r="E270" s="284" t="s">
        <v>549</v>
      </c>
      <c r="F270" s="285">
        <f t="shared" si="181"/>
        <v>23.6</v>
      </c>
      <c r="G270" s="285">
        <v>3.6</v>
      </c>
      <c r="H270" s="285"/>
      <c r="I270" s="285"/>
      <c r="J270" s="285"/>
      <c r="K270" s="285"/>
      <c r="L270" s="285"/>
      <c r="M270" s="285"/>
      <c r="N270" s="285">
        <v>20</v>
      </c>
      <c r="O270" s="285" t="s">
        <v>1151</v>
      </c>
      <c r="P270" s="285">
        <f t="shared" si="182"/>
        <v>23.6</v>
      </c>
      <c r="Q270" s="285">
        <v>23.6</v>
      </c>
      <c r="R270" s="285"/>
      <c r="S270" s="285"/>
      <c r="T270" s="285"/>
      <c r="U270" s="285"/>
      <c r="V270" s="298">
        <f t="shared" si="183"/>
        <v>0</v>
      </c>
      <c r="W270" s="298"/>
      <c r="X270" s="298"/>
      <c r="Y270" s="298"/>
      <c r="Z270" s="298"/>
      <c r="AA270" s="298"/>
      <c r="AB270" s="298"/>
      <c r="AC270" s="298"/>
      <c r="AD270" s="298"/>
      <c r="AE270" s="285"/>
      <c r="AF270" s="299">
        <f t="shared" si="184"/>
        <v>0</v>
      </c>
      <c r="AG270" s="299">
        <f t="shared" si="185"/>
        <v>0</v>
      </c>
      <c r="AH270" s="299">
        <f t="shared" si="186"/>
        <v>0</v>
      </c>
      <c r="AI270" s="299">
        <f t="shared" si="187"/>
        <v>0</v>
      </c>
      <c r="AJ270" s="299">
        <f t="shared" si="188"/>
        <v>0</v>
      </c>
      <c r="AK270" s="299">
        <f t="shared" si="189"/>
        <v>0</v>
      </c>
      <c r="AL270" s="298">
        <f t="shared" si="190"/>
        <v>23.6</v>
      </c>
      <c r="AM270" s="298">
        <f t="shared" si="191"/>
        <v>3.6</v>
      </c>
      <c r="AN270" s="298">
        <f t="shared" si="192"/>
        <v>0</v>
      </c>
      <c r="AO270" s="298">
        <f t="shared" si="193"/>
        <v>0</v>
      </c>
      <c r="AP270" s="298">
        <f t="shared" si="194"/>
        <v>0</v>
      </c>
      <c r="AQ270" s="298">
        <f t="shared" si="195"/>
        <v>0</v>
      </c>
      <c r="AR270" s="298">
        <f t="shared" si="196"/>
        <v>0</v>
      </c>
      <c r="AS270" s="298">
        <f t="shared" si="174"/>
        <v>0</v>
      </c>
      <c r="AT270" s="298">
        <f t="shared" si="197"/>
        <v>20</v>
      </c>
      <c r="AU270" s="285">
        <f t="shared" si="198"/>
        <v>23.6</v>
      </c>
      <c r="AV270" s="285">
        <v>23.6</v>
      </c>
      <c r="AW270" s="285"/>
      <c r="AX270" s="285"/>
      <c r="AY270" s="285"/>
      <c r="AZ270" s="285"/>
      <c r="BA270" s="285"/>
    </row>
    <row r="271" s="258" customFormat="1" ht="33" customHeight="1" spans="1:53">
      <c r="A271" s="283">
        <v>264</v>
      </c>
      <c r="B271" s="284" t="s">
        <v>540</v>
      </c>
      <c r="C271" s="284" t="s">
        <v>199</v>
      </c>
      <c r="D271" s="284" t="s">
        <v>550</v>
      </c>
      <c r="E271" s="284" t="s">
        <v>549</v>
      </c>
      <c r="F271" s="285">
        <f t="shared" si="181"/>
        <v>31.6</v>
      </c>
      <c r="G271" s="285">
        <v>6.6</v>
      </c>
      <c r="H271" s="285"/>
      <c r="I271" s="285"/>
      <c r="J271" s="285"/>
      <c r="K271" s="285"/>
      <c r="L271" s="285"/>
      <c r="M271" s="285"/>
      <c r="N271" s="285">
        <v>25</v>
      </c>
      <c r="O271" s="285" t="s">
        <v>1152</v>
      </c>
      <c r="P271" s="285">
        <f t="shared" si="182"/>
        <v>31.6</v>
      </c>
      <c r="Q271" s="285">
        <v>31.6</v>
      </c>
      <c r="R271" s="285"/>
      <c r="S271" s="285"/>
      <c r="T271" s="285"/>
      <c r="U271" s="285"/>
      <c r="V271" s="298">
        <f t="shared" si="183"/>
        <v>0</v>
      </c>
      <c r="W271" s="298"/>
      <c r="X271" s="298"/>
      <c r="Y271" s="298"/>
      <c r="Z271" s="298"/>
      <c r="AA271" s="298"/>
      <c r="AB271" s="298"/>
      <c r="AC271" s="298"/>
      <c r="AD271" s="298"/>
      <c r="AE271" s="285"/>
      <c r="AF271" s="299">
        <f t="shared" si="184"/>
        <v>0</v>
      </c>
      <c r="AG271" s="299">
        <f t="shared" si="185"/>
        <v>0</v>
      </c>
      <c r="AH271" s="299">
        <f t="shared" si="186"/>
        <v>0</v>
      </c>
      <c r="AI271" s="299">
        <f t="shared" si="187"/>
        <v>0</v>
      </c>
      <c r="AJ271" s="299">
        <f t="shared" si="188"/>
        <v>0</v>
      </c>
      <c r="AK271" s="299">
        <f t="shared" si="189"/>
        <v>0</v>
      </c>
      <c r="AL271" s="298">
        <f t="shared" si="190"/>
        <v>31.6</v>
      </c>
      <c r="AM271" s="298">
        <f t="shared" si="191"/>
        <v>6.6</v>
      </c>
      <c r="AN271" s="298">
        <f t="shared" si="192"/>
        <v>0</v>
      </c>
      <c r="AO271" s="298">
        <f t="shared" si="193"/>
        <v>0</v>
      </c>
      <c r="AP271" s="298">
        <f t="shared" si="194"/>
        <v>0</v>
      </c>
      <c r="AQ271" s="298">
        <f t="shared" si="195"/>
        <v>0</v>
      </c>
      <c r="AR271" s="298">
        <f t="shared" si="196"/>
        <v>0</v>
      </c>
      <c r="AS271" s="298">
        <f t="shared" si="174"/>
        <v>0</v>
      </c>
      <c r="AT271" s="298">
        <f t="shared" si="197"/>
        <v>25</v>
      </c>
      <c r="AU271" s="285">
        <f t="shared" si="198"/>
        <v>31.6</v>
      </c>
      <c r="AV271" s="285">
        <v>31.6</v>
      </c>
      <c r="AW271" s="285"/>
      <c r="AX271" s="285"/>
      <c r="AY271" s="285"/>
      <c r="AZ271" s="285"/>
      <c r="BA271" s="285"/>
    </row>
    <row r="272" s="258" customFormat="1" ht="33" customHeight="1" spans="1:53">
      <c r="A272" s="283">
        <v>265</v>
      </c>
      <c r="B272" s="284" t="s">
        <v>540</v>
      </c>
      <c r="C272" s="284" t="s">
        <v>199</v>
      </c>
      <c r="D272" s="284" t="s">
        <v>1153</v>
      </c>
      <c r="E272" s="284" t="s">
        <v>549</v>
      </c>
      <c r="F272" s="285">
        <f t="shared" si="181"/>
        <v>8</v>
      </c>
      <c r="G272" s="285"/>
      <c r="H272" s="285"/>
      <c r="I272" s="285"/>
      <c r="J272" s="285"/>
      <c r="K272" s="285"/>
      <c r="L272" s="285"/>
      <c r="M272" s="285"/>
      <c r="N272" s="285">
        <v>8</v>
      </c>
      <c r="O272" s="285" t="s">
        <v>1154</v>
      </c>
      <c r="P272" s="285">
        <f t="shared" si="182"/>
        <v>8</v>
      </c>
      <c r="Q272" s="285">
        <v>8</v>
      </c>
      <c r="R272" s="285"/>
      <c r="S272" s="285"/>
      <c r="T272" s="285"/>
      <c r="U272" s="285"/>
      <c r="V272" s="298">
        <f t="shared" si="183"/>
        <v>0</v>
      </c>
      <c r="W272" s="298"/>
      <c r="X272" s="298"/>
      <c r="Y272" s="298"/>
      <c r="Z272" s="298"/>
      <c r="AA272" s="298"/>
      <c r="AB272" s="298"/>
      <c r="AC272" s="298"/>
      <c r="AD272" s="298"/>
      <c r="AE272" s="285"/>
      <c r="AF272" s="299">
        <f t="shared" si="184"/>
        <v>0</v>
      </c>
      <c r="AG272" s="299">
        <f t="shared" si="185"/>
        <v>0</v>
      </c>
      <c r="AH272" s="299">
        <f t="shared" si="186"/>
        <v>0</v>
      </c>
      <c r="AI272" s="299">
        <f t="shared" si="187"/>
        <v>0</v>
      </c>
      <c r="AJ272" s="299">
        <f t="shared" si="188"/>
        <v>0</v>
      </c>
      <c r="AK272" s="299">
        <f t="shared" si="189"/>
        <v>0</v>
      </c>
      <c r="AL272" s="298">
        <f t="shared" si="190"/>
        <v>8</v>
      </c>
      <c r="AM272" s="298">
        <f t="shared" si="191"/>
        <v>0</v>
      </c>
      <c r="AN272" s="298">
        <f t="shared" si="192"/>
        <v>0</v>
      </c>
      <c r="AO272" s="298">
        <f t="shared" si="193"/>
        <v>0</v>
      </c>
      <c r="AP272" s="298">
        <f t="shared" si="194"/>
        <v>0</v>
      </c>
      <c r="AQ272" s="298">
        <f t="shared" si="195"/>
        <v>0</v>
      </c>
      <c r="AR272" s="298">
        <f t="shared" si="196"/>
        <v>0</v>
      </c>
      <c r="AS272" s="298">
        <f t="shared" si="174"/>
        <v>0</v>
      </c>
      <c r="AT272" s="298">
        <f t="shared" si="197"/>
        <v>8</v>
      </c>
      <c r="AU272" s="285">
        <f t="shared" si="198"/>
        <v>8</v>
      </c>
      <c r="AV272" s="285">
        <v>8</v>
      </c>
      <c r="AW272" s="285"/>
      <c r="AX272" s="285"/>
      <c r="AY272" s="285"/>
      <c r="AZ272" s="285"/>
      <c r="BA272" s="285"/>
    </row>
    <row r="273" s="258" customFormat="1" ht="33" customHeight="1" spans="1:53">
      <c r="A273" s="283">
        <v>266</v>
      </c>
      <c r="B273" s="284" t="s">
        <v>540</v>
      </c>
      <c r="C273" s="284" t="s">
        <v>199</v>
      </c>
      <c r="D273" s="284" t="s">
        <v>1155</v>
      </c>
      <c r="E273" s="284" t="s">
        <v>549</v>
      </c>
      <c r="F273" s="285">
        <f t="shared" si="181"/>
        <v>14.75</v>
      </c>
      <c r="G273" s="285"/>
      <c r="H273" s="285"/>
      <c r="I273" s="285"/>
      <c r="J273" s="285"/>
      <c r="K273" s="285"/>
      <c r="L273" s="285"/>
      <c r="M273" s="285"/>
      <c r="N273" s="285">
        <v>14.75</v>
      </c>
      <c r="O273" s="285" t="s">
        <v>1156</v>
      </c>
      <c r="P273" s="285">
        <f t="shared" si="182"/>
        <v>14.75</v>
      </c>
      <c r="Q273" s="285">
        <v>14.75</v>
      </c>
      <c r="R273" s="285"/>
      <c r="S273" s="285"/>
      <c r="T273" s="285"/>
      <c r="U273" s="285"/>
      <c r="V273" s="298">
        <f t="shared" si="183"/>
        <v>0</v>
      </c>
      <c r="W273" s="298"/>
      <c r="X273" s="298"/>
      <c r="Y273" s="298"/>
      <c r="Z273" s="298"/>
      <c r="AA273" s="298"/>
      <c r="AB273" s="298"/>
      <c r="AC273" s="298"/>
      <c r="AD273" s="298"/>
      <c r="AE273" s="285"/>
      <c r="AF273" s="299">
        <f t="shared" si="184"/>
        <v>0</v>
      </c>
      <c r="AG273" s="299">
        <f t="shared" si="185"/>
        <v>0</v>
      </c>
      <c r="AH273" s="299">
        <f t="shared" si="186"/>
        <v>0</v>
      </c>
      <c r="AI273" s="299">
        <f t="shared" si="187"/>
        <v>0</v>
      </c>
      <c r="AJ273" s="299">
        <f t="shared" si="188"/>
        <v>0</v>
      </c>
      <c r="AK273" s="299">
        <f t="shared" si="189"/>
        <v>0</v>
      </c>
      <c r="AL273" s="298">
        <f t="shared" si="190"/>
        <v>14.75</v>
      </c>
      <c r="AM273" s="298">
        <f t="shared" si="191"/>
        <v>0</v>
      </c>
      <c r="AN273" s="298">
        <f t="shared" si="192"/>
        <v>0</v>
      </c>
      <c r="AO273" s="298">
        <f t="shared" si="193"/>
        <v>0</v>
      </c>
      <c r="AP273" s="298">
        <f t="shared" si="194"/>
        <v>0</v>
      </c>
      <c r="AQ273" s="298">
        <f t="shared" si="195"/>
        <v>0</v>
      </c>
      <c r="AR273" s="298">
        <f t="shared" si="196"/>
        <v>0</v>
      </c>
      <c r="AS273" s="298">
        <f t="shared" si="174"/>
        <v>0</v>
      </c>
      <c r="AT273" s="298">
        <f t="shared" si="197"/>
        <v>14.75</v>
      </c>
      <c r="AU273" s="285">
        <f t="shared" si="198"/>
        <v>14.75</v>
      </c>
      <c r="AV273" s="285">
        <v>14.75</v>
      </c>
      <c r="AW273" s="285"/>
      <c r="AX273" s="285"/>
      <c r="AY273" s="285"/>
      <c r="AZ273" s="285"/>
      <c r="BA273" s="285"/>
    </row>
    <row r="274" s="258" customFormat="1" ht="33" customHeight="1" spans="1:53">
      <c r="A274" s="283">
        <v>267</v>
      </c>
      <c r="B274" s="284" t="s">
        <v>540</v>
      </c>
      <c r="C274" s="284" t="s">
        <v>199</v>
      </c>
      <c r="D274" s="284" t="s">
        <v>551</v>
      </c>
      <c r="E274" s="284" t="s">
        <v>552</v>
      </c>
      <c r="F274" s="285">
        <f t="shared" si="181"/>
        <v>1.2</v>
      </c>
      <c r="G274" s="285">
        <v>1.2</v>
      </c>
      <c r="H274" s="285"/>
      <c r="I274" s="285"/>
      <c r="J274" s="285"/>
      <c r="K274" s="285"/>
      <c r="L274" s="285"/>
      <c r="M274" s="285"/>
      <c r="N274" s="285"/>
      <c r="O274" s="285"/>
      <c r="P274" s="285">
        <f t="shared" si="182"/>
        <v>1.2</v>
      </c>
      <c r="Q274" s="285">
        <v>1.2</v>
      </c>
      <c r="R274" s="285"/>
      <c r="S274" s="285"/>
      <c r="T274" s="285"/>
      <c r="U274" s="285"/>
      <c r="V274" s="298">
        <f t="shared" si="183"/>
        <v>0</v>
      </c>
      <c r="W274" s="298"/>
      <c r="X274" s="298"/>
      <c r="Y274" s="298"/>
      <c r="Z274" s="298"/>
      <c r="AA274" s="298"/>
      <c r="AB274" s="298"/>
      <c r="AC274" s="298"/>
      <c r="AD274" s="298"/>
      <c r="AE274" s="285"/>
      <c r="AF274" s="299">
        <f t="shared" si="184"/>
        <v>0</v>
      </c>
      <c r="AG274" s="299">
        <f t="shared" si="185"/>
        <v>0</v>
      </c>
      <c r="AH274" s="299">
        <f t="shared" si="186"/>
        <v>0</v>
      </c>
      <c r="AI274" s="299">
        <f t="shared" si="187"/>
        <v>0</v>
      </c>
      <c r="AJ274" s="299">
        <f t="shared" si="188"/>
        <v>0</v>
      </c>
      <c r="AK274" s="299">
        <f t="shared" si="189"/>
        <v>0</v>
      </c>
      <c r="AL274" s="298">
        <f t="shared" si="190"/>
        <v>1.2</v>
      </c>
      <c r="AM274" s="298">
        <f t="shared" si="191"/>
        <v>1.2</v>
      </c>
      <c r="AN274" s="298">
        <f t="shared" si="192"/>
        <v>0</v>
      </c>
      <c r="AO274" s="298">
        <f t="shared" si="193"/>
        <v>0</v>
      </c>
      <c r="AP274" s="298">
        <f t="shared" si="194"/>
        <v>0</v>
      </c>
      <c r="AQ274" s="298">
        <f t="shared" si="195"/>
        <v>0</v>
      </c>
      <c r="AR274" s="298">
        <f t="shared" si="196"/>
        <v>0</v>
      </c>
      <c r="AS274" s="298">
        <f t="shared" si="174"/>
        <v>0</v>
      </c>
      <c r="AT274" s="298">
        <f t="shared" si="197"/>
        <v>0</v>
      </c>
      <c r="AU274" s="285">
        <f t="shared" si="198"/>
        <v>1.2</v>
      </c>
      <c r="AV274" s="285">
        <v>1.2</v>
      </c>
      <c r="AW274" s="285"/>
      <c r="AX274" s="285"/>
      <c r="AY274" s="285"/>
      <c r="AZ274" s="285"/>
      <c r="BA274" s="285"/>
    </row>
    <row r="275" s="258" customFormat="1" ht="144" spans="1:53">
      <c r="A275" s="283">
        <v>268</v>
      </c>
      <c r="B275" s="284" t="s">
        <v>540</v>
      </c>
      <c r="C275" s="284" t="s">
        <v>196</v>
      </c>
      <c r="D275" s="284" t="s">
        <v>553</v>
      </c>
      <c r="E275" s="284" t="s">
        <v>554</v>
      </c>
      <c r="F275" s="285">
        <f t="shared" si="181"/>
        <v>226.77</v>
      </c>
      <c r="G275" s="285">
        <v>5.4</v>
      </c>
      <c r="H275" s="285"/>
      <c r="I275" s="285">
        <v>7.07</v>
      </c>
      <c r="J275" s="285"/>
      <c r="K275" s="285"/>
      <c r="L275" s="285"/>
      <c r="M275" s="285">
        <v>16</v>
      </c>
      <c r="N275" s="285">
        <f>153.3+20+10+10+5</f>
        <v>198.3</v>
      </c>
      <c r="O275" s="285" t="s">
        <v>1157</v>
      </c>
      <c r="P275" s="285">
        <f t="shared" si="182"/>
        <v>226.77</v>
      </c>
      <c r="Q275" s="285">
        <v>210.77</v>
      </c>
      <c r="R275" s="285"/>
      <c r="S275" s="285">
        <v>16</v>
      </c>
      <c r="T275" s="285"/>
      <c r="U275" s="285"/>
      <c r="V275" s="298">
        <f t="shared" si="183"/>
        <v>36.43</v>
      </c>
      <c r="W275" s="298"/>
      <c r="X275" s="298"/>
      <c r="Y275" s="298">
        <v>-0.52</v>
      </c>
      <c r="Z275" s="298"/>
      <c r="AA275" s="298"/>
      <c r="AB275" s="298">
        <f>-16+52.95</f>
        <v>36.95</v>
      </c>
      <c r="AC275" s="298"/>
      <c r="AD275" s="298"/>
      <c r="AE275" s="285" t="s">
        <v>1158</v>
      </c>
      <c r="AF275" s="299">
        <f t="shared" si="184"/>
        <v>36.43</v>
      </c>
      <c r="AG275" s="299">
        <f t="shared" si="185"/>
        <v>-0.519999999999953</v>
      </c>
      <c r="AH275" s="299">
        <f t="shared" si="186"/>
        <v>0</v>
      </c>
      <c r="AI275" s="299">
        <f t="shared" si="187"/>
        <v>36.95</v>
      </c>
      <c r="AJ275" s="299">
        <f t="shared" si="188"/>
        <v>0</v>
      </c>
      <c r="AK275" s="299">
        <f t="shared" si="189"/>
        <v>0</v>
      </c>
      <c r="AL275" s="298">
        <f t="shared" si="190"/>
        <v>263.2</v>
      </c>
      <c r="AM275" s="298">
        <f t="shared" si="191"/>
        <v>5.4</v>
      </c>
      <c r="AN275" s="298">
        <f t="shared" si="192"/>
        <v>0</v>
      </c>
      <c r="AO275" s="298">
        <f t="shared" si="193"/>
        <v>6.55</v>
      </c>
      <c r="AP275" s="298">
        <f t="shared" si="194"/>
        <v>0</v>
      </c>
      <c r="AQ275" s="298">
        <f t="shared" si="195"/>
        <v>0</v>
      </c>
      <c r="AR275" s="298">
        <f t="shared" si="196"/>
        <v>52.95</v>
      </c>
      <c r="AS275" s="298">
        <f t="shared" si="174"/>
        <v>0</v>
      </c>
      <c r="AT275" s="298">
        <f t="shared" si="197"/>
        <v>198.3</v>
      </c>
      <c r="AU275" s="298">
        <f t="shared" si="198"/>
        <v>263.2</v>
      </c>
      <c r="AV275" s="298">
        <v>210.25</v>
      </c>
      <c r="AW275" s="298"/>
      <c r="AX275" s="298">
        <v>52.95</v>
      </c>
      <c r="AY275" s="298"/>
      <c r="AZ275" s="298"/>
      <c r="BA275" s="285">
        <v>161.7</v>
      </c>
    </row>
    <row r="276" s="258" customFormat="1" ht="36" spans="1:53">
      <c r="A276" s="283">
        <v>269</v>
      </c>
      <c r="B276" s="284" t="s">
        <v>540</v>
      </c>
      <c r="C276" s="284" t="s">
        <v>199</v>
      </c>
      <c r="D276" s="284" t="s">
        <v>555</v>
      </c>
      <c r="E276" s="284" t="s">
        <v>556</v>
      </c>
      <c r="F276" s="285">
        <f t="shared" si="181"/>
        <v>1.8</v>
      </c>
      <c r="G276" s="285">
        <v>1.8</v>
      </c>
      <c r="H276" s="285"/>
      <c r="I276" s="285"/>
      <c r="J276" s="285"/>
      <c r="K276" s="285"/>
      <c r="L276" s="285"/>
      <c r="M276" s="285"/>
      <c r="N276" s="285"/>
      <c r="O276" s="285"/>
      <c r="P276" s="285">
        <f t="shared" si="182"/>
        <v>1.8</v>
      </c>
      <c r="Q276" s="285">
        <v>1.8</v>
      </c>
      <c r="R276" s="285"/>
      <c r="S276" s="285"/>
      <c r="T276" s="285"/>
      <c r="U276" s="285"/>
      <c r="V276" s="298">
        <f t="shared" si="183"/>
        <v>0</v>
      </c>
      <c r="W276" s="298"/>
      <c r="X276" s="298"/>
      <c r="Y276" s="298"/>
      <c r="Z276" s="298"/>
      <c r="AA276" s="298"/>
      <c r="AB276" s="298"/>
      <c r="AC276" s="298"/>
      <c r="AD276" s="298"/>
      <c r="AE276" s="285"/>
      <c r="AF276" s="299">
        <f t="shared" si="184"/>
        <v>0</v>
      </c>
      <c r="AG276" s="299">
        <f t="shared" si="185"/>
        <v>0</v>
      </c>
      <c r="AH276" s="299">
        <f t="shared" si="186"/>
        <v>0</v>
      </c>
      <c r="AI276" s="299">
        <f t="shared" si="187"/>
        <v>0</v>
      </c>
      <c r="AJ276" s="299">
        <f t="shared" si="188"/>
        <v>0</v>
      </c>
      <c r="AK276" s="299">
        <f t="shared" si="189"/>
        <v>0</v>
      </c>
      <c r="AL276" s="298">
        <f t="shared" si="190"/>
        <v>1.8</v>
      </c>
      <c r="AM276" s="298">
        <f t="shared" si="191"/>
        <v>1.8</v>
      </c>
      <c r="AN276" s="298">
        <f t="shared" si="192"/>
        <v>0</v>
      </c>
      <c r="AO276" s="298">
        <f t="shared" si="193"/>
        <v>0</v>
      </c>
      <c r="AP276" s="298">
        <f t="shared" si="194"/>
        <v>0</v>
      </c>
      <c r="AQ276" s="298">
        <f t="shared" si="195"/>
        <v>0</v>
      </c>
      <c r="AR276" s="298">
        <f t="shared" si="196"/>
        <v>0</v>
      </c>
      <c r="AS276" s="298">
        <f t="shared" si="174"/>
        <v>0</v>
      </c>
      <c r="AT276" s="298">
        <f t="shared" si="197"/>
        <v>0</v>
      </c>
      <c r="AU276" s="285">
        <f t="shared" si="198"/>
        <v>1.8</v>
      </c>
      <c r="AV276" s="285">
        <v>1.8</v>
      </c>
      <c r="AW276" s="285"/>
      <c r="AX276" s="285"/>
      <c r="AY276" s="285"/>
      <c r="AZ276" s="285"/>
      <c r="BA276" s="285"/>
    </row>
    <row r="277" s="258" customFormat="1" ht="36" spans="1:53">
      <c r="A277" s="283">
        <v>270</v>
      </c>
      <c r="B277" s="284" t="s">
        <v>540</v>
      </c>
      <c r="C277" s="284" t="s">
        <v>199</v>
      </c>
      <c r="D277" s="284" t="s">
        <v>557</v>
      </c>
      <c r="E277" s="284" t="s">
        <v>556</v>
      </c>
      <c r="F277" s="285">
        <f t="shared" si="181"/>
        <v>1.2</v>
      </c>
      <c r="G277" s="285">
        <v>1.2</v>
      </c>
      <c r="H277" s="285"/>
      <c r="I277" s="285"/>
      <c r="J277" s="285"/>
      <c r="K277" s="285"/>
      <c r="L277" s="285"/>
      <c r="M277" s="285"/>
      <c r="N277" s="285"/>
      <c r="O277" s="285"/>
      <c r="P277" s="285">
        <f t="shared" si="182"/>
        <v>1.2</v>
      </c>
      <c r="Q277" s="285">
        <v>1.2</v>
      </c>
      <c r="R277" s="285"/>
      <c r="S277" s="285"/>
      <c r="T277" s="285"/>
      <c r="U277" s="285"/>
      <c r="V277" s="298">
        <f t="shared" si="183"/>
        <v>0</v>
      </c>
      <c r="W277" s="298"/>
      <c r="X277" s="298"/>
      <c r="Y277" s="298"/>
      <c r="Z277" s="298"/>
      <c r="AA277" s="298"/>
      <c r="AB277" s="298"/>
      <c r="AC277" s="298"/>
      <c r="AD277" s="298"/>
      <c r="AE277" s="285"/>
      <c r="AF277" s="299">
        <f t="shared" si="184"/>
        <v>0</v>
      </c>
      <c r="AG277" s="299">
        <f t="shared" si="185"/>
        <v>0</v>
      </c>
      <c r="AH277" s="299">
        <f t="shared" si="186"/>
        <v>0</v>
      </c>
      <c r="AI277" s="299">
        <f t="shared" si="187"/>
        <v>0</v>
      </c>
      <c r="AJ277" s="299">
        <f t="shared" si="188"/>
        <v>0</v>
      </c>
      <c r="AK277" s="299">
        <f t="shared" si="189"/>
        <v>0</v>
      </c>
      <c r="AL277" s="298">
        <f t="shared" si="190"/>
        <v>1.2</v>
      </c>
      <c r="AM277" s="298">
        <f t="shared" si="191"/>
        <v>1.2</v>
      </c>
      <c r="AN277" s="298">
        <f t="shared" si="192"/>
        <v>0</v>
      </c>
      <c r="AO277" s="298">
        <f t="shared" si="193"/>
        <v>0</v>
      </c>
      <c r="AP277" s="298">
        <f t="shared" si="194"/>
        <v>0</v>
      </c>
      <c r="AQ277" s="298">
        <f t="shared" si="195"/>
        <v>0</v>
      </c>
      <c r="AR277" s="298">
        <f t="shared" si="196"/>
        <v>0</v>
      </c>
      <c r="AS277" s="298">
        <f t="shared" si="174"/>
        <v>0</v>
      </c>
      <c r="AT277" s="298">
        <f t="shared" si="197"/>
        <v>0</v>
      </c>
      <c r="AU277" s="285">
        <f t="shared" si="198"/>
        <v>1.2</v>
      </c>
      <c r="AV277" s="285">
        <v>1.2</v>
      </c>
      <c r="AW277" s="285"/>
      <c r="AX277" s="285"/>
      <c r="AY277" s="285"/>
      <c r="AZ277" s="285"/>
      <c r="BA277" s="285"/>
    </row>
    <row r="278" s="258" customFormat="1" ht="36" spans="1:53">
      <c r="A278" s="283">
        <v>271</v>
      </c>
      <c r="B278" s="284" t="s">
        <v>540</v>
      </c>
      <c r="C278" s="284" t="s">
        <v>199</v>
      </c>
      <c r="D278" s="284" t="s">
        <v>558</v>
      </c>
      <c r="E278" s="284" t="s">
        <v>556</v>
      </c>
      <c r="F278" s="285">
        <f t="shared" si="181"/>
        <v>10</v>
      </c>
      <c r="G278" s="285">
        <v>3.6</v>
      </c>
      <c r="H278" s="285"/>
      <c r="I278" s="285"/>
      <c r="J278" s="285"/>
      <c r="K278" s="285"/>
      <c r="L278" s="285"/>
      <c r="M278" s="285"/>
      <c r="N278" s="285">
        <v>6.4</v>
      </c>
      <c r="O278" s="285" t="s">
        <v>1159</v>
      </c>
      <c r="P278" s="285">
        <f t="shared" si="182"/>
        <v>10</v>
      </c>
      <c r="Q278" s="285">
        <v>10</v>
      </c>
      <c r="R278" s="285"/>
      <c r="S278" s="285"/>
      <c r="T278" s="285"/>
      <c r="U278" s="285"/>
      <c r="V278" s="298">
        <f t="shared" si="183"/>
        <v>0</v>
      </c>
      <c r="W278" s="298"/>
      <c r="X278" s="298"/>
      <c r="Y278" s="298"/>
      <c r="Z278" s="298"/>
      <c r="AA278" s="298"/>
      <c r="AB278" s="298"/>
      <c r="AC278" s="298"/>
      <c r="AD278" s="298"/>
      <c r="AE278" s="285"/>
      <c r="AF278" s="299">
        <f t="shared" si="184"/>
        <v>0</v>
      </c>
      <c r="AG278" s="299">
        <f t="shared" si="185"/>
        <v>0</v>
      </c>
      <c r="AH278" s="299">
        <f t="shared" si="186"/>
        <v>0</v>
      </c>
      <c r="AI278" s="299">
        <f t="shared" si="187"/>
        <v>0</v>
      </c>
      <c r="AJ278" s="299">
        <f t="shared" si="188"/>
        <v>0</v>
      </c>
      <c r="AK278" s="299">
        <f t="shared" si="189"/>
        <v>0</v>
      </c>
      <c r="AL278" s="298">
        <f t="shared" si="190"/>
        <v>10</v>
      </c>
      <c r="AM278" s="298">
        <f t="shared" si="191"/>
        <v>3.6</v>
      </c>
      <c r="AN278" s="298">
        <f t="shared" si="192"/>
        <v>0</v>
      </c>
      <c r="AO278" s="298">
        <f t="shared" si="193"/>
        <v>0</v>
      </c>
      <c r="AP278" s="298">
        <f t="shared" si="194"/>
        <v>0</v>
      </c>
      <c r="AQ278" s="298">
        <f t="shared" si="195"/>
        <v>0</v>
      </c>
      <c r="AR278" s="298">
        <f t="shared" si="196"/>
        <v>0</v>
      </c>
      <c r="AS278" s="298">
        <f t="shared" si="174"/>
        <v>0</v>
      </c>
      <c r="AT278" s="298">
        <f t="shared" si="197"/>
        <v>6.4</v>
      </c>
      <c r="AU278" s="285">
        <f t="shared" si="198"/>
        <v>10</v>
      </c>
      <c r="AV278" s="285">
        <v>10</v>
      </c>
      <c r="AW278" s="285"/>
      <c r="AX278" s="285"/>
      <c r="AY278" s="285"/>
      <c r="AZ278" s="285"/>
      <c r="BA278" s="285"/>
    </row>
    <row r="279" s="258" customFormat="1" ht="36" spans="1:53">
      <c r="A279" s="283">
        <v>272</v>
      </c>
      <c r="B279" s="284" t="s">
        <v>540</v>
      </c>
      <c r="C279" s="284" t="s">
        <v>199</v>
      </c>
      <c r="D279" s="284" t="s">
        <v>559</v>
      </c>
      <c r="E279" s="284" t="s">
        <v>556</v>
      </c>
      <c r="F279" s="285">
        <f t="shared" si="181"/>
        <v>3.8</v>
      </c>
      <c r="G279" s="285">
        <v>1.8</v>
      </c>
      <c r="H279" s="285">
        <v>2</v>
      </c>
      <c r="I279" s="285"/>
      <c r="J279" s="285"/>
      <c r="K279" s="285"/>
      <c r="L279" s="285"/>
      <c r="M279" s="285"/>
      <c r="N279" s="285"/>
      <c r="O279" s="285"/>
      <c r="P279" s="285">
        <f t="shared" si="182"/>
        <v>3.8</v>
      </c>
      <c r="Q279" s="285">
        <v>3.8</v>
      </c>
      <c r="R279" s="285"/>
      <c r="S279" s="285"/>
      <c r="T279" s="285"/>
      <c r="U279" s="285"/>
      <c r="V279" s="298">
        <f t="shared" si="183"/>
        <v>0</v>
      </c>
      <c r="W279" s="298"/>
      <c r="X279" s="298"/>
      <c r="Y279" s="298"/>
      <c r="Z279" s="298"/>
      <c r="AA279" s="298"/>
      <c r="AB279" s="298"/>
      <c r="AC279" s="298"/>
      <c r="AD279" s="298"/>
      <c r="AE279" s="285"/>
      <c r="AF279" s="299">
        <f t="shared" si="184"/>
        <v>0</v>
      </c>
      <c r="AG279" s="299">
        <f t="shared" si="185"/>
        <v>0</v>
      </c>
      <c r="AH279" s="299">
        <f t="shared" si="186"/>
        <v>0</v>
      </c>
      <c r="AI279" s="299">
        <f t="shared" si="187"/>
        <v>0</v>
      </c>
      <c r="AJ279" s="299">
        <f t="shared" si="188"/>
        <v>0</v>
      </c>
      <c r="AK279" s="299">
        <f t="shared" si="189"/>
        <v>0</v>
      </c>
      <c r="AL279" s="298">
        <f t="shared" si="190"/>
        <v>3.8</v>
      </c>
      <c r="AM279" s="298">
        <f t="shared" si="191"/>
        <v>1.8</v>
      </c>
      <c r="AN279" s="298">
        <f t="shared" si="192"/>
        <v>2</v>
      </c>
      <c r="AO279" s="298">
        <f t="shared" si="193"/>
        <v>0</v>
      </c>
      <c r="AP279" s="298">
        <f t="shared" si="194"/>
        <v>0</v>
      </c>
      <c r="AQ279" s="298">
        <f t="shared" si="195"/>
        <v>0</v>
      </c>
      <c r="AR279" s="298">
        <f t="shared" si="196"/>
        <v>0</v>
      </c>
      <c r="AS279" s="298">
        <f t="shared" si="174"/>
        <v>0</v>
      </c>
      <c r="AT279" s="298">
        <f t="shared" si="197"/>
        <v>0</v>
      </c>
      <c r="AU279" s="285">
        <f t="shared" si="198"/>
        <v>3.8</v>
      </c>
      <c r="AV279" s="285">
        <v>3.8</v>
      </c>
      <c r="AW279" s="285"/>
      <c r="AX279" s="285"/>
      <c r="AY279" s="285"/>
      <c r="AZ279" s="285"/>
      <c r="BA279" s="285"/>
    </row>
    <row r="280" s="258" customFormat="1" ht="36" spans="1:53">
      <c r="A280" s="283">
        <v>273</v>
      </c>
      <c r="B280" s="284" t="s">
        <v>540</v>
      </c>
      <c r="C280" s="284" t="s">
        <v>199</v>
      </c>
      <c r="D280" s="284" t="s">
        <v>560</v>
      </c>
      <c r="E280" s="284" t="s">
        <v>556</v>
      </c>
      <c r="F280" s="285">
        <f t="shared" si="181"/>
        <v>1.8</v>
      </c>
      <c r="G280" s="285">
        <v>1.8</v>
      </c>
      <c r="H280" s="285"/>
      <c r="I280" s="285"/>
      <c r="J280" s="285"/>
      <c r="K280" s="285"/>
      <c r="L280" s="285"/>
      <c r="M280" s="285"/>
      <c r="N280" s="285"/>
      <c r="O280" s="285"/>
      <c r="P280" s="285">
        <f t="shared" si="182"/>
        <v>1.8</v>
      </c>
      <c r="Q280" s="285">
        <v>1.8</v>
      </c>
      <c r="R280" s="285"/>
      <c r="S280" s="285"/>
      <c r="T280" s="285"/>
      <c r="U280" s="285"/>
      <c r="V280" s="298">
        <f t="shared" si="183"/>
        <v>0</v>
      </c>
      <c r="W280" s="298"/>
      <c r="X280" s="298"/>
      <c r="Y280" s="298"/>
      <c r="Z280" s="298"/>
      <c r="AA280" s="298"/>
      <c r="AB280" s="298"/>
      <c r="AC280" s="298"/>
      <c r="AD280" s="298"/>
      <c r="AE280" s="285"/>
      <c r="AF280" s="299">
        <f t="shared" si="184"/>
        <v>0</v>
      </c>
      <c r="AG280" s="299">
        <f t="shared" si="185"/>
        <v>0</v>
      </c>
      <c r="AH280" s="299">
        <f t="shared" si="186"/>
        <v>0</v>
      </c>
      <c r="AI280" s="299">
        <f t="shared" si="187"/>
        <v>0</v>
      </c>
      <c r="AJ280" s="299">
        <f t="shared" si="188"/>
        <v>0</v>
      </c>
      <c r="AK280" s="299">
        <f t="shared" si="189"/>
        <v>0</v>
      </c>
      <c r="AL280" s="298">
        <f t="shared" si="190"/>
        <v>1.8</v>
      </c>
      <c r="AM280" s="298">
        <f t="shared" si="191"/>
        <v>1.8</v>
      </c>
      <c r="AN280" s="298">
        <f t="shared" si="192"/>
        <v>0</v>
      </c>
      <c r="AO280" s="298">
        <f t="shared" si="193"/>
        <v>0</v>
      </c>
      <c r="AP280" s="298">
        <f t="shared" si="194"/>
        <v>0</v>
      </c>
      <c r="AQ280" s="298">
        <f t="shared" si="195"/>
        <v>0</v>
      </c>
      <c r="AR280" s="298">
        <f t="shared" si="196"/>
        <v>0</v>
      </c>
      <c r="AS280" s="298">
        <f t="shared" ref="AS280:AS311" si="199">AC280</f>
        <v>0</v>
      </c>
      <c r="AT280" s="298">
        <f t="shared" si="197"/>
        <v>0</v>
      </c>
      <c r="AU280" s="285">
        <f t="shared" si="198"/>
        <v>1.8</v>
      </c>
      <c r="AV280" s="285">
        <v>1.8</v>
      </c>
      <c r="AW280" s="285"/>
      <c r="AX280" s="285"/>
      <c r="AY280" s="285"/>
      <c r="AZ280" s="285"/>
      <c r="BA280" s="285"/>
    </row>
    <row r="281" s="258" customFormat="1" ht="24" spans="1:53">
      <c r="A281" s="283">
        <v>274</v>
      </c>
      <c r="B281" s="284" t="s">
        <v>540</v>
      </c>
      <c r="C281" s="284" t="s">
        <v>199</v>
      </c>
      <c r="D281" s="284" t="s">
        <v>561</v>
      </c>
      <c r="E281" s="284" t="s">
        <v>562</v>
      </c>
      <c r="F281" s="285">
        <f t="shared" si="181"/>
        <v>1.2</v>
      </c>
      <c r="G281" s="285">
        <v>1.2</v>
      </c>
      <c r="H281" s="285"/>
      <c r="I281" s="285"/>
      <c r="J281" s="285"/>
      <c r="K281" s="285"/>
      <c r="L281" s="285"/>
      <c r="M281" s="285"/>
      <c r="N281" s="285"/>
      <c r="O281" s="285"/>
      <c r="P281" s="285">
        <f t="shared" si="182"/>
        <v>1.2</v>
      </c>
      <c r="Q281" s="285">
        <v>1.2</v>
      </c>
      <c r="R281" s="285"/>
      <c r="S281" s="285"/>
      <c r="T281" s="285"/>
      <c r="U281" s="285"/>
      <c r="V281" s="298">
        <f t="shared" si="183"/>
        <v>0</v>
      </c>
      <c r="W281" s="298"/>
      <c r="X281" s="298"/>
      <c r="Y281" s="298"/>
      <c r="Z281" s="298"/>
      <c r="AA281" s="298"/>
      <c r="AB281" s="298"/>
      <c r="AC281" s="298"/>
      <c r="AD281" s="298"/>
      <c r="AE281" s="285"/>
      <c r="AF281" s="299">
        <f t="shared" si="184"/>
        <v>0</v>
      </c>
      <c r="AG281" s="299">
        <f t="shared" si="185"/>
        <v>0</v>
      </c>
      <c r="AH281" s="299">
        <f t="shared" si="186"/>
        <v>0</v>
      </c>
      <c r="AI281" s="299">
        <f t="shared" si="187"/>
        <v>0</v>
      </c>
      <c r="AJ281" s="299">
        <f t="shared" si="188"/>
        <v>0</v>
      </c>
      <c r="AK281" s="299">
        <f t="shared" si="189"/>
        <v>0</v>
      </c>
      <c r="AL281" s="298">
        <f t="shared" si="190"/>
        <v>1.2</v>
      </c>
      <c r="AM281" s="298">
        <f t="shared" si="191"/>
        <v>1.2</v>
      </c>
      <c r="AN281" s="298">
        <f t="shared" si="192"/>
        <v>0</v>
      </c>
      <c r="AO281" s="298">
        <f t="shared" si="193"/>
        <v>0</v>
      </c>
      <c r="AP281" s="298">
        <f t="shared" si="194"/>
        <v>0</v>
      </c>
      <c r="AQ281" s="298">
        <f t="shared" si="195"/>
        <v>0</v>
      </c>
      <c r="AR281" s="298">
        <f t="shared" si="196"/>
        <v>0</v>
      </c>
      <c r="AS281" s="298">
        <f t="shared" si="199"/>
        <v>0</v>
      </c>
      <c r="AT281" s="298">
        <f t="shared" si="197"/>
        <v>0</v>
      </c>
      <c r="AU281" s="285">
        <f t="shared" si="198"/>
        <v>1.2</v>
      </c>
      <c r="AV281" s="285">
        <v>1.2</v>
      </c>
      <c r="AW281" s="285"/>
      <c r="AX281" s="285"/>
      <c r="AY281" s="285"/>
      <c r="AZ281" s="285"/>
      <c r="BA281" s="285"/>
    </row>
    <row r="282" s="258" customFormat="1" ht="36" spans="1:53">
      <c r="A282" s="283">
        <v>275</v>
      </c>
      <c r="B282" s="284" t="s">
        <v>540</v>
      </c>
      <c r="C282" s="284" t="s">
        <v>199</v>
      </c>
      <c r="D282" s="284" t="s">
        <v>563</v>
      </c>
      <c r="E282" s="284" t="s">
        <v>564</v>
      </c>
      <c r="F282" s="285">
        <f t="shared" si="181"/>
        <v>0.6</v>
      </c>
      <c r="G282" s="285">
        <v>0.6</v>
      </c>
      <c r="H282" s="285"/>
      <c r="I282" s="285"/>
      <c r="J282" s="285"/>
      <c r="K282" s="285"/>
      <c r="L282" s="285"/>
      <c r="M282" s="285"/>
      <c r="N282" s="285"/>
      <c r="O282" s="285"/>
      <c r="P282" s="285">
        <f t="shared" si="182"/>
        <v>0.6</v>
      </c>
      <c r="Q282" s="285">
        <v>0.6</v>
      </c>
      <c r="R282" s="285"/>
      <c r="S282" s="285"/>
      <c r="T282" s="285"/>
      <c r="U282" s="285"/>
      <c r="V282" s="298">
        <f t="shared" si="183"/>
        <v>0</v>
      </c>
      <c r="W282" s="298"/>
      <c r="X282" s="298"/>
      <c r="Y282" s="298"/>
      <c r="Z282" s="298"/>
      <c r="AA282" s="298"/>
      <c r="AB282" s="298"/>
      <c r="AC282" s="298"/>
      <c r="AD282" s="298"/>
      <c r="AE282" s="285"/>
      <c r="AF282" s="299">
        <f t="shared" si="184"/>
        <v>0</v>
      </c>
      <c r="AG282" s="299">
        <f t="shared" si="185"/>
        <v>0</v>
      </c>
      <c r="AH282" s="299">
        <f t="shared" si="186"/>
        <v>0</v>
      </c>
      <c r="AI282" s="299">
        <f t="shared" si="187"/>
        <v>0</v>
      </c>
      <c r="AJ282" s="299">
        <f t="shared" si="188"/>
        <v>0</v>
      </c>
      <c r="AK282" s="299">
        <f t="shared" si="189"/>
        <v>0</v>
      </c>
      <c r="AL282" s="298">
        <f t="shared" si="190"/>
        <v>0.6</v>
      </c>
      <c r="AM282" s="298">
        <f t="shared" si="191"/>
        <v>0.6</v>
      </c>
      <c r="AN282" s="298">
        <f t="shared" si="192"/>
        <v>0</v>
      </c>
      <c r="AO282" s="298">
        <f t="shared" si="193"/>
        <v>0</v>
      </c>
      <c r="AP282" s="298">
        <f t="shared" si="194"/>
        <v>0</v>
      </c>
      <c r="AQ282" s="298">
        <f t="shared" si="195"/>
        <v>0</v>
      </c>
      <c r="AR282" s="298">
        <f t="shared" si="196"/>
        <v>0</v>
      </c>
      <c r="AS282" s="298">
        <f t="shared" si="199"/>
        <v>0</v>
      </c>
      <c r="AT282" s="298">
        <f t="shared" si="197"/>
        <v>0</v>
      </c>
      <c r="AU282" s="285">
        <f t="shared" si="198"/>
        <v>0.6</v>
      </c>
      <c r="AV282" s="285">
        <v>0.6</v>
      </c>
      <c r="AW282" s="285"/>
      <c r="AX282" s="285"/>
      <c r="AY282" s="285"/>
      <c r="AZ282" s="285"/>
      <c r="BA282" s="285"/>
    </row>
    <row r="283" s="258" customFormat="1" ht="36" spans="1:53">
      <c r="A283" s="283">
        <v>276</v>
      </c>
      <c r="B283" s="284" t="s">
        <v>540</v>
      </c>
      <c r="C283" s="284" t="s">
        <v>199</v>
      </c>
      <c r="D283" s="284" t="s">
        <v>565</v>
      </c>
      <c r="E283" s="284" t="s">
        <v>566</v>
      </c>
      <c r="F283" s="285">
        <f t="shared" si="181"/>
        <v>3.6</v>
      </c>
      <c r="G283" s="285">
        <v>3.6</v>
      </c>
      <c r="H283" s="285"/>
      <c r="I283" s="285"/>
      <c r="J283" s="285"/>
      <c r="K283" s="285"/>
      <c r="L283" s="285"/>
      <c r="M283" s="285"/>
      <c r="N283" s="285"/>
      <c r="O283" s="285"/>
      <c r="P283" s="285">
        <f t="shared" si="182"/>
        <v>3.6</v>
      </c>
      <c r="Q283" s="285">
        <v>3.6</v>
      </c>
      <c r="R283" s="285"/>
      <c r="S283" s="285"/>
      <c r="T283" s="285"/>
      <c r="U283" s="285"/>
      <c r="V283" s="298">
        <f t="shared" si="183"/>
        <v>0</v>
      </c>
      <c r="W283" s="298"/>
      <c r="X283" s="298"/>
      <c r="Y283" s="298"/>
      <c r="Z283" s="298"/>
      <c r="AA283" s="298"/>
      <c r="AB283" s="298"/>
      <c r="AC283" s="298"/>
      <c r="AD283" s="298"/>
      <c r="AE283" s="285"/>
      <c r="AF283" s="299">
        <f t="shared" si="184"/>
        <v>0</v>
      </c>
      <c r="AG283" s="299">
        <f t="shared" si="185"/>
        <v>0</v>
      </c>
      <c r="AH283" s="299">
        <f t="shared" si="186"/>
        <v>0</v>
      </c>
      <c r="AI283" s="299">
        <f t="shared" si="187"/>
        <v>0</v>
      </c>
      <c r="AJ283" s="299">
        <f t="shared" si="188"/>
        <v>0</v>
      </c>
      <c r="AK283" s="299">
        <f t="shared" si="189"/>
        <v>0</v>
      </c>
      <c r="AL283" s="298">
        <f t="shared" si="190"/>
        <v>3.6</v>
      </c>
      <c r="AM283" s="298">
        <f t="shared" si="191"/>
        <v>3.6</v>
      </c>
      <c r="AN283" s="298">
        <f t="shared" si="192"/>
        <v>0</v>
      </c>
      <c r="AO283" s="298">
        <f t="shared" si="193"/>
        <v>0</v>
      </c>
      <c r="AP283" s="298">
        <f t="shared" si="194"/>
        <v>0</v>
      </c>
      <c r="AQ283" s="298">
        <f t="shared" si="195"/>
        <v>0</v>
      </c>
      <c r="AR283" s="298">
        <f t="shared" si="196"/>
        <v>0</v>
      </c>
      <c r="AS283" s="298">
        <f t="shared" si="199"/>
        <v>0</v>
      </c>
      <c r="AT283" s="298">
        <f t="shared" si="197"/>
        <v>0</v>
      </c>
      <c r="AU283" s="285">
        <f t="shared" si="198"/>
        <v>3.6</v>
      </c>
      <c r="AV283" s="285">
        <v>3.6</v>
      </c>
      <c r="AW283" s="285"/>
      <c r="AX283" s="285"/>
      <c r="AY283" s="285"/>
      <c r="AZ283" s="285"/>
      <c r="BA283" s="285"/>
    </row>
    <row r="284" s="258" customFormat="1" ht="84" customHeight="1" spans="1:53">
      <c r="A284" s="283">
        <v>277</v>
      </c>
      <c r="B284" s="284" t="s">
        <v>540</v>
      </c>
      <c r="C284" s="284" t="s">
        <v>196</v>
      </c>
      <c r="D284" s="284" t="s">
        <v>567</v>
      </c>
      <c r="E284" s="284" t="s">
        <v>568</v>
      </c>
      <c r="F284" s="285">
        <f t="shared" si="181"/>
        <v>153.58</v>
      </c>
      <c r="G284" s="285">
        <v>3</v>
      </c>
      <c r="H284" s="285"/>
      <c r="I284" s="285">
        <v>3.78</v>
      </c>
      <c r="J284" s="285"/>
      <c r="K284" s="285"/>
      <c r="L284" s="285"/>
      <c r="M284" s="285">
        <v>7</v>
      </c>
      <c r="N284" s="285">
        <v>139.8</v>
      </c>
      <c r="O284" s="285" t="s">
        <v>1160</v>
      </c>
      <c r="P284" s="285">
        <f t="shared" si="182"/>
        <v>153.58</v>
      </c>
      <c r="Q284" s="285">
        <v>146.58</v>
      </c>
      <c r="R284" s="285"/>
      <c r="S284" s="285">
        <v>7</v>
      </c>
      <c r="T284" s="285"/>
      <c r="U284" s="285"/>
      <c r="V284" s="298">
        <f t="shared" si="183"/>
        <v>13.72</v>
      </c>
      <c r="W284" s="298"/>
      <c r="X284" s="298"/>
      <c r="Y284" s="298"/>
      <c r="Z284" s="298"/>
      <c r="AA284" s="298"/>
      <c r="AB284" s="298">
        <f>-7+9.02</f>
        <v>2.02</v>
      </c>
      <c r="AC284" s="298"/>
      <c r="AD284" s="298">
        <v>11.7</v>
      </c>
      <c r="AE284" s="285" t="s">
        <v>1161</v>
      </c>
      <c r="AF284" s="299">
        <f t="shared" si="184"/>
        <v>13.72</v>
      </c>
      <c r="AG284" s="299">
        <f t="shared" si="185"/>
        <v>11.7</v>
      </c>
      <c r="AH284" s="299">
        <f t="shared" si="186"/>
        <v>0</v>
      </c>
      <c r="AI284" s="299">
        <f t="shared" si="187"/>
        <v>2.02</v>
      </c>
      <c r="AJ284" s="299">
        <f t="shared" si="188"/>
        <v>0</v>
      </c>
      <c r="AK284" s="299">
        <f t="shared" si="189"/>
        <v>0</v>
      </c>
      <c r="AL284" s="298">
        <f t="shared" si="190"/>
        <v>167.3</v>
      </c>
      <c r="AM284" s="298">
        <f t="shared" si="191"/>
        <v>3</v>
      </c>
      <c r="AN284" s="298">
        <f t="shared" si="192"/>
        <v>0</v>
      </c>
      <c r="AO284" s="298">
        <f t="shared" si="193"/>
        <v>3.78</v>
      </c>
      <c r="AP284" s="298">
        <f t="shared" si="194"/>
        <v>0</v>
      </c>
      <c r="AQ284" s="298">
        <f t="shared" si="195"/>
        <v>0</v>
      </c>
      <c r="AR284" s="298">
        <f t="shared" si="196"/>
        <v>9.02</v>
      </c>
      <c r="AS284" s="298">
        <f t="shared" si="199"/>
        <v>0</v>
      </c>
      <c r="AT284" s="298">
        <f t="shared" si="197"/>
        <v>151.5</v>
      </c>
      <c r="AU284" s="285">
        <f t="shared" si="198"/>
        <v>167.3</v>
      </c>
      <c r="AV284" s="285">
        <v>158.28</v>
      </c>
      <c r="AW284" s="285"/>
      <c r="AX284" s="285">
        <v>9.02</v>
      </c>
      <c r="AY284" s="285"/>
      <c r="AZ284" s="285"/>
      <c r="BA284" s="285"/>
    </row>
    <row r="285" s="258" customFormat="1" ht="24" spans="1:53">
      <c r="A285" s="283">
        <v>278</v>
      </c>
      <c r="B285" s="284" t="s">
        <v>540</v>
      </c>
      <c r="C285" s="284" t="s">
        <v>199</v>
      </c>
      <c r="D285" s="284" t="s">
        <v>569</v>
      </c>
      <c r="E285" s="284" t="s">
        <v>570</v>
      </c>
      <c r="F285" s="285">
        <f t="shared" si="181"/>
        <v>3.2</v>
      </c>
      <c r="G285" s="285">
        <v>1.2</v>
      </c>
      <c r="H285" s="285">
        <v>2</v>
      </c>
      <c r="I285" s="285"/>
      <c r="J285" s="285"/>
      <c r="K285" s="285"/>
      <c r="L285" s="285"/>
      <c r="M285" s="285"/>
      <c r="N285" s="285"/>
      <c r="O285" s="310"/>
      <c r="P285" s="285">
        <f t="shared" si="182"/>
        <v>3.2</v>
      </c>
      <c r="Q285" s="285">
        <v>3.2</v>
      </c>
      <c r="R285" s="285"/>
      <c r="S285" s="285"/>
      <c r="T285" s="285"/>
      <c r="U285" s="285"/>
      <c r="V285" s="298">
        <f t="shared" si="183"/>
        <v>0</v>
      </c>
      <c r="W285" s="298"/>
      <c r="X285" s="298"/>
      <c r="Y285" s="298"/>
      <c r="Z285" s="298"/>
      <c r="AA285" s="298"/>
      <c r="AB285" s="298"/>
      <c r="AC285" s="298"/>
      <c r="AD285" s="298"/>
      <c r="AE285" s="285"/>
      <c r="AF285" s="299">
        <f t="shared" si="184"/>
        <v>0</v>
      </c>
      <c r="AG285" s="299">
        <f t="shared" si="185"/>
        <v>0</v>
      </c>
      <c r="AH285" s="299">
        <f t="shared" si="186"/>
        <v>0</v>
      </c>
      <c r="AI285" s="299">
        <f t="shared" si="187"/>
        <v>0</v>
      </c>
      <c r="AJ285" s="299">
        <f t="shared" si="188"/>
        <v>0</v>
      </c>
      <c r="AK285" s="299">
        <f t="shared" si="189"/>
        <v>0</v>
      </c>
      <c r="AL285" s="298">
        <f t="shared" si="190"/>
        <v>3.2</v>
      </c>
      <c r="AM285" s="298">
        <f t="shared" si="191"/>
        <v>1.2</v>
      </c>
      <c r="AN285" s="298">
        <f t="shared" si="192"/>
        <v>2</v>
      </c>
      <c r="AO285" s="298">
        <f t="shared" si="193"/>
        <v>0</v>
      </c>
      <c r="AP285" s="298">
        <f t="shared" si="194"/>
        <v>0</v>
      </c>
      <c r="AQ285" s="298">
        <f t="shared" si="195"/>
        <v>0</v>
      </c>
      <c r="AR285" s="298">
        <f t="shared" si="196"/>
        <v>0</v>
      </c>
      <c r="AS285" s="298">
        <f t="shared" si="199"/>
        <v>0</v>
      </c>
      <c r="AT285" s="298">
        <f t="shared" si="197"/>
        <v>0</v>
      </c>
      <c r="AU285" s="285">
        <f t="shared" si="198"/>
        <v>3.2</v>
      </c>
      <c r="AV285" s="285">
        <v>3.2</v>
      </c>
      <c r="AW285" s="285"/>
      <c r="AX285" s="285"/>
      <c r="AY285" s="285"/>
      <c r="AZ285" s="285"/>
      <c r="BA285" s="285"/>
    </row>
    <row r="286" s="258" customFormat="1" ht="36" spans="1:53">
      <c r="A286" s="283">
        <v>279</v>
      </c>
      <c r="B286" s="284" t="s">
        <v>540</v>
      </c>
      <c r="C286" s="284" t="s">
        <v>196</v>
      </c>
      <c r="D286" s="284" t="s">
        <v>571</v>
      </c>
      <c r="E286" s="284" t="s">
        <v>572</v>
      </c>
      <c r="F286" s="285">
        <f t="shared" si="181"/>
        <v>8.72</v>
      </c>
      <c r="G286" s="285">
        <v>1.8</v>
      </c>
      <c r="H286" s="285"/>
      <c r="I286" s="285">
        <v>1.92</v>
      </c>
      <c r="J286" s="285"/>
      <c r="K286" s="285"/>
      <c r="L286" s="285"/>
      <c r="M286" s="285"/>
      <c r="N286" s="285">
        <v>5</v>
      </c>
      <c r="O286" s="285" t="s">
        <v>1162</v>
      </c>
      <c r="P286" s="285">
        <f t="shared" si="182"/>
        <v>8.72</v>
      </c>
      <c r="Q286" s="285">
        <v>8.72</v>
      </c>
      <c r="R286" s="285"/>
      <c r="S286" s="285"/>
      <c r="T286" s="285"/>
      <c r="U286" s="285"/>
      <c r="V286" s="298">
        <f t="shared" si="183"/>
        <v>0</v>
      </c>
      <c r="W286" s="298"/>
      <c r="X286" s="298"/>
      <c r="Y286" s="298"/>
      <c r="Z286" s="298"/>
      <c r="AA286" s="298"/>
      <c r="AB286" s="298"/>
      <c r="AC286" s="298"/>
      <c r="AD286" s="298"/>
      <c r="AE286" s="285"/>
      <c r="AF286" s="299">
        <f t="shared" si="184"/>
        <v>0</v>
      </c>
      <c r="AG286" s="299">
        <f t="shared" si="185"/>
        <v>0</v>
      </c>
      <c r="AH286" s="299">
        <f t="shared" si="186"/>
        <v>0</v>
      </c>
      <c r="AI286" s="299">
        <f t="shared" si="187"/>
        <v>0</v>
      </c>
      <c r="AJ286" s="299">
        <f t="shared" si="188"/>
        <v>0</v>
      </c>
      <c r="AK286" s="299">
        <f t="shared" si="189"/>
        <v>0</v>
      </c>
      <c r="AL286" s="298">
        <f t="shared" si="190"/>
        <v>8.72</v>
      </c>
      <c r="AM286" s="298">
        <f t="shared" si="191"/>
        <v>1.8</v>
      </c>
      <c r="AN286" s="298">
        <f t="shared" si="192"/>
        <v>0</v>
      </c>
      <c r="AO286" s="298">
        <f t="shared" si="193"/>
        <v>1.92</v>
      </c>
      <c r="AP286" s="298">
        <f t="shared" si="194"/>
        <v>0</v>
      </c>
      <c r="AQ286" s="298">
        <f t="shared" si="195"/>
        <v>0</v>
      </c>
      <c r="AR286" s="298">
        <f t="shared" si="196"/>
        <v>0</v>
      </c>
      <c r="AS286" s="298">
        <f t="shared" si="199"/>
        <v>0</v>
      </c>
      <c r="AT286" s="298">
        <f t="shared" si="197"/>
        <v>5</v>
      </c>
      <c r="AU286" s="285">
        <f t="shared" si="198"/>
        <v>8.72</v>
      </c>
      <c r="AV286" s="285">
        <v>8.72</v>
      </c>
      <c r="AW286" s="285"/>
      <c r="AX286" s="285"/>
      <c r="AY286" s="285"/>
      <c r="AZ286" s="285"/>
      <c r="BA286" s="285"/>
    </row>
    <row r="287" s="258" customFormat="1" ht="60" spans="1:53">
      <c r="A287" s="283">
        <v>280</v>
      </c>
      <c r="B287" s="284" t="s">
        <v>540</v>
      </c>
      <c r="C287" s="284" t="s">
        <v>196</v>
      </c>
      <c r="D287" s="284" t="s">
        <v>573</v>
      </c>
      <c r="E287" s="284" t="s">
        <v>574</v>
      </c>
      <c r="F287" s="285">
        <f t="shared" si="181"/>
        <v>69.07</v>
      </c>
      <c r="G287" s="285">
        <v>3</v>
      </c>
      <c r="H287" s="285"/>
      <c r="I287" s="285">
        <v>4.07</v>
      </c>
      <c r="J287" s="285"/>
      <c r="K287" s="285"/>
      <c r="L287" s="285"/>
      <c r="M287" s="285">
        <v>2</v>
      </c>
      <c r="N287" s="285">
        <v>60</v>
      </c>
      <c r="O287" s="285" t="s">
        <v>1163</v>
      </c>
      <c r="P287" s="285">
        <f t="shared" si="182"/>
        <v>69.07</v>
      </c>
      <c r="Q287" s="285">
        <v>67.07</v>
      </c>
      <c r="R287" s="285"/>
      <c r="S287" s="285">
        <v>2</v>
      </c>
      <c r="T287" s="285"/>
      <c r="U287" s="285"/>
      <c r="V287" s="298">
        <f t="shared" si="183"/>
        <v>19.22</v>
      </c>
      <c r="W287" s="298"/>
      <c r="X287" s="298"/>
      <c r="Y287" s="298"/>
      <c r="Z287" s="298"/>
      <c r="AA287" s="298"/>
      <c r="AB287" s="298">
        <f>-2+15.57</f>
        <v>13.57</v>
      </c>
      <c r="AC287" s="298"/>
      <c r="AD287" s="298">
        <v>5.65</v>
      </c>
      <c r="AE287" s="285" t="s">
        <v>1164</v>
      </c>
      <c r="AF287" s="299">
        <f t="shared" si="184"/>
        <v>19.22</v>
      </c>
      <c r="AG287" s="299">
        <f t="shared" si="185"/>
        <v>5.65000000000001</v>
      </c>
      <c r="AH287" s="299">
        <f t="shared" si="186"/>
        <v>0</v>
      </c>
      <c r="AI287" s="299">
        <f t="shared" si="187"/>
        <v>13.57</v>
      </c>
      <c r="AJ287" s="299">
        <f t="shared" si="188"/>
        <v>0</v>
      </c>
      <c r="AK287" s="299">
        <f t="shared" si="189"/>
        <v>0</v>
      </c>
      <c r="AL287" s="298">
        <f t="shared" si="190"/>
        <v>88.29</v>
      </c>
      <c r="AM287" s="298">
        <f t="shared" si="191"/>
        <v>3</v>
      </c>
      <c r="AN287" s="298">
        <f t="shared" si="192"/>
        <v>0</v>
      </c>
      <c r="AO287" s="298">
        <f t="shared" si="193"/>
        <v>4.07</v>
      </c>
      <c r="AP287" s="298">
        <f t="shared" si="194"/>
        <v>0</v>
      </c>
      <c r="AQ287" s="298">
        <f t="shared" si="195"/>
        <v>0</v>
      </c>
      <c r="AR287" s="298">
        <f t="shared" si="196"/>
        <v>15.57</v>
      </c>
      <c r="AS287" s="298">
        <f t="shared" si="199"/>
        <v>0</v>
      </c>
      <c r="AT287" s="298">
        <f t="shared" si="197"/>
        <v>65.65</v>
      </c>
      <c r="AU287" s="285">
        <f t="shared" si="198"/>
        <v>88.29</v>
      </c>
      <c r="AV287" s="285">
        <v>72.72</v>
      </c>
      <c r="AW287" s="285"/>
      <c r="AX287" s="285">
        <v>15.57</v>
      </c>
      <c r="AY287" s="285"/>
      <c r="AZ287" s="285"/>
      <c r="BA287" s="285"/>
    </row>
    <row r="288" s="258" customFormat="1" ht="24" spans="1:53">
      <c r="A288" s="283">
        <v>281</v>
      </c>
      <c r="B288" s="284" t="s">
        <v>540</v>
      </c>
      <c r="C288" s="284" t="s">
        <v>199</v>
      </c>
      <c r="D288" s="284" t="s">
        <v>575</v>
      </c>
      <c r="E288" s="284" t="s">
        <v>576</v>
      </c>
      <c r="F288" s="285">
        <f t="shared" si="181"/>
        <v>33</v>
      </c>
      <c r="G288" s="285">
        <v>3</v>
      </c>
      <c r="H288" s="285"/>
      <c r="I288" s="285"/>
      <c r="J288" s="285"/>
      <c r="K288" s="285"/>
      <c r="L288" s="285"/>
      <c r="M288" s="285"/>
      <c r="N288" s="285">
        <v>30</v>
      </c>
      <c r="O288" s="285" t="s">
        <v>1165</v>
      </c>
      <c r="P288" s="285">
        <f t="shared" si="182"/>
        <v>33</v>
      </c>
      <c r="Q288" s="285">
        <v>33</v>
      </c>
      <c r="R288" s="285"/>
      <c r="S288" s="285"/>
      <c r="T288" s="285"/>
      <c r="U288" s="285"/>
      <c r="V288" s="298">
        <f t="shared" si="183"/>
        <v>0</v>
      </c>
      <c r="W288" s="298"/>
      <c r="X288" s="298"/>
      <c r="Y288" s="298"/>
      <c r="Z288" s="298"/>
      <c r="AA288" s="298"/>
      <c r="AB288" s="298"/>
      <c r="AC288" s="298"/>
      <c r="AD288" s="298"/>
      <c r="AE288" s="285"/>
      <c r="AF288" s="299">
        <f t="shared" si="184"/>
        <v>0</v>
      </c>
      <c r="AG288" s="299">
        <f t="shared" si="185"/>
        <v>0</v>
      </c>
      <c r="AH288" s="299">
        <f t="shared" si="186"/>
        <v>0</v>
      </c>
      <c r="AI288" s="299">
        <f t="shared" si="187"/>
        <v>0</v>
      </c>
      <c r="AJ288" s="299">
        <f t="shared" si="188"/>
        <v>0</v>
      </c>
      <c r="AK288" s="299">
        <f t="shared" si="189"/>
        <v>0</v>
      </c>
      <c r="AL288" s="298">
        <f t="shared" si="190"/>
        <v>33</v>
      </c>
      <c r="AM288" s="298">
        <f t="shared" si="191"/>
        <v>3</v>
      </c>
      <c r="AN288" s="298">
        <f t="shared" si="192"/>
        <v>0</v>
      </c>
      <c r="AO288" s="298">
        <f t="shared" si="193"/>
        <v>0</v>
      </c>
      <c r="AP288" s="298">
        <f t="shared" si="194"/>
        <v>0</v>
      </c>
      <c r="AQ288" s="298">
        <f t="shared" si="195"/>
        <v>0</v>
      </c>
      <c r="AR288" s="298">
        <f t="shared" si="196"/>
        <v>0</v>
      </c>
      <c r="AS288" s="298">
        <f t="shared" si="199"/>
        <v>0</v>
      </c>
      <c r="AT288" s="298">
        <f t="shared" si="197"/>
        <v>30</v>
      </c>
      <c r="AU288" s="285">
        <f t="shared" si="198"/>
        <v>33</v>
      </c>
      <c r="AV288" s="285">
        <v>33</v>
      </c>
      <c r="AW288" s="285"/>
      <c r="AX288" s="285"/>
      <c r="AY288" s="285"/>
      <c r="AZ288" s="285"/>
      <c r="BA288" s="285"/>
    </row>
    <row r="289" s="260" customFormat="1" ht="27" customHeight="1" spans="1:53">
      <c r="A289" s="283">
        <v>282</v>
      </c>
      <c r="B289" s="305"/>
      <c r="C289" s="306" t="s">
        <v>750</v>
      </c>
      <c r="D289" s="305" t="s">
        <v>138</v>
      </c>
      <c r="E289" s="306">
        <v>210</v>
      </c>
      <c r="F289" s="281">
        <f t="shared" ref="F289:K289" si="200">SUM(F290:F301)</f>
        <v>570.36</v>
      </c>
      <c r="G289" s="281">
        <f t="shared" si="200"/>
        <v>89.4</v>
      </c>
      <c r="H289" s="281">
        <f t="shared" si="200"/>
        <v>6</v>
      </c>
      <c r="I289" s="281">
        <f t="shared" si="200"/>
        <v>22.96</v>
      </c>
      <c r="J289" s="281">
        <f t="shared" si="200"/>
        <v>0</v>
      </c>
      <c r="K289" s="281">
        <f t="shared" si="200"/>
        <v>0</v>
      </c>
      <c r="L289" s="281"/>
      <c r="M289" s="281">
        <f>SUM(M290:M301)</f>
        <v>53</v>
      </c>
      <c r="N289" s="281">
        <f>SUM(N290:N301)</f>
        <v>399</v>
      </c>
      <c r="O289" s="281"/>
      <c r="P289" s="307">
        <f t="shared" ref="P289:U289" si="201">SUM(P290:P301)</f>
        <v>570.36</v>
      </c>
      <c r="Q289" s="307">
        <f t="shared" si="201"/>
        <v>517.36</v>
      </c>
      <c r="R289" s="307">
        <f t="shared" si="201"/>
        <v>19</v>
      </c>
      <c r="S289" s="307">
        <f t="shared" si="201"/>
        <v>34</v>
      </c>
      <c r="T289" s="307">
        <f t="shared" si="201"/>
        <v>0</v>
      </c>
      <c r="U289" s="307">
        <f t="shared" si="201"/>
        <v>0</v>
      </c>
      <c r="V289" s="281">
        <f t="shared" ref="R289:AC289" si="202">SUM(V290:V301)</f>
        <v>-11.63</v>
      </c>
      <c r="W289" s="281">
        <f t="shared" si="202"/>
        <v>0</v>
      </c>
      <c r="X289" s="281">
        <f t="shared" si="202"/>
        <v>0</v>
      </c>
      <c r="Y289" s="281">
        <f t="shared" si="202"/>
        <v>-0.91</v>
      </c>
      <c r="Z289" s="281">
        <f t="shared" si="202"/>
        <v>0</v>
      </c>
      <c r="AA289" s="281">
        <f t="shared" si="202"/>
        <v>0</v>
      </c>
      <c r="AB289" s="281">
        <f t="shared" si="202"/>
        <v>-12.57</v>
      </c>
      <c r="AC289" s="281">
        <f t="shared" si="202"/>
        <v>0</v>
      </c>
      <c r="AD289" s="281">
        <f t="shared" ref="AD289" si="203">SUM(AD290:AD301)</f>
        <v>1.85</v>
      </c>
      <c r="AE289" s="281"/>
      <c r="AF289" s="281">
        <f t="shared" ref="AF289:AL289" si="204">SUM(AF290:AF301)</f>
        <v>-11.63</v>
      </c>
      <c r="AG289" s="281">
        <f t="shared" si="204"/>
        <v>12.94</v>
      </c>
      <c r="AH289" s="281">
        <f t="shared" si="204"/>
        <v>-12.76</v>
      </c>
      <c r="AI289" s="281">
        <f t="shared" si="204"/>
        <v>-11.81</v>
      </c>
      <c r="AJ289" s="281">
        <f t="shared" si="204"/>
        <v>0</v>
      </c>
      <c r="AK289" s="281">
        <f t="shared" si="204"/>
        <v>0</v>
      </c>
      <c r="AL289" s="308">
        <f t="shared" si="204"/>
        <v>558.73</v>
      </c>
      <c r="AM289" s="308">
        <f t="shared" ref="AM289:AZ289" si="205">SUM(AM290:AM301)</f>
        <v>89.4</v>
      </c>
      <c r="AN289" s="308">
        <f t="shared" si="205"/>
        <v>6</v>
      </c>
      <c r="AO289" s="308">
        <f t="shared" si="205"/>
        <v>22.05</v>
      </c>
      <c r="AP289" s="308">
        <f t="shared" si="205"/>
        <v>0</v>
      </c>
      <c r="AQ289" s="308">
        <f t="shared" si="205"/>
        <v>0</v>
      </c>
      <c r="AR289" s="308">
        <f t="shared" si="205"/>
        <v>40.43</v>
      </c>
      <c r="AS289" s="308">
        <f t="shared" si="205"/>
        <v>0</v>
      </c>
      <c r="AT289" s="308">
        <f t="shared" si="205"/>
        <v>400.85</v>
      </c>
      <c r="AU289" s="308">
        <f t="shared" si="205"/>
        <v>558.73</v>
      </c>
      <c r="AV289" s="308">
        <f t="shared" si="205"/>
        <v>530.3</v>
      </c>
      <c r="AW289" s="308">
        <f t="shared" si="205"/>
        <v>6.24</v>
      </c>
      <c r="AX289" s="308">
        <f t="shared" si="205"/>
        <v>22.19</v>
      </c>
      <c r="AY289" s="308">
        <f t="shared" si="205"/>
        <v>0</v>
      </c>
      <c r="AZ289" s="308">
        <f t="shared" si="205"/>
        <v>0</v>
      </c>
      <c r="BA289" s="309"/>
    </row>
    <row r="290" s="258" customFormat="1" ht="120" spans="1:53">
      <c r="A290" s="283">
        <v>283</v>
      </c>
      <c r="B290" s="284" t="s">
        <v>540</v>
      </c>
      <c r="C290" s="284" t="s">
        <v>196</v>
      </c>
      <c r="D290" s="284" t="s">
        <v>577</v>
      </c>
      <c r="E290" s="284" t="s">
        <v>578</v>
      </c>
      <c r="F290" s="285">
        <f t="shared" ref="F290:F301" si="206">SUM(G290:N290)</f>
        <v>209.4</v>
      </c>
      <c r="G290" s="285">
        <v>7.8</v>
      </c>
      <c r="H290" s="285"/>
      <c r="I290" s="285">
        <v>10.6</v>
      </c>
      <c r="J290" s="285"/>
      <c r="K290" s="285"/>
      <c r="L290" s="285"/>
      <c r="M290" s="285">
        <v>34</v>
      </c>
      <c r="N290" s="285">
        <v>157</v>
      </c>
      <c r="O290" s="285" t="s">
        <v>1166</v>
      </c>
      <c r="P290" s="285">
        <f t="shared" ref="P290:P301" si="207">SUM(Q290:S290)</f>
        <v>209.4</v>
      </c>
      <c r="Q290" s="285">
        <v>175.4</v>
      </c>
      <c r="R290" s="285"/>
      <c r="S290" s="285">
        <v>34</v>
      </c>
      <c r="T290" s="285"/>
      <c r="U290" s="285"/>
      <c r="V290" s="298">
        <f t="shared" ref="V290:V301" si="208">SUM(W290:AD290)</f>
        <v>-2.49</v>
      </c>
      <c r="W290" s="298"/>
      <c r="X290" s="298"/>
      <c r="Y290" s="298">
        <v>-0.45</v>
      </c>
      <c r="Z290" s="298"/>
      <c r="AA290" s="298"/>
      <c r="AB290" s="298">
        <f>-34+19.96+12</f>
        <v>-2.04</v>
      </c>
      <c r="AC290" s="298"/>
      <c r="AD290" s="298"/>
      <c r="AE290" s="285" t="s">
        <v>1167</v>
      </c>
      <c r="AF290" s="299">
        <f t="shared" ref="AF290:AF301" si="209">SUM(AG290:AI290)</f>
        <v>-2.49000000000002</v>
      </c>
      <c r="AG290" s="299">
        <f t="shared" ref="AG290:AG301" si="210">AV290-Q290</f>
        <v>11.55</v>
      </c>
      <c r="AH290" s="299">
        <f t="shared" ref="AH290:AH301" si="211">AW290-R290</f>
        <v>0</v>
      </c>
      <c r="AI290" s="299">
        <f t="shared" ref="AI290:AI301" si="212">AX290-S290</f>
        <v>-14.04</v>
      </c>
      <c r="AJ290" s="299">
        <f t="shared" ref="AJ290:AJ301" si="213">AY290-T290</f>
        <v>0</v>
      </c>
      <c r="AK290" s="299">
        <f t="shared" ref="AK290:AK301" si="214">AZ290-U290</f>
        <v>0</v>
      </c>
      <c r="AL290" s="298">
        <f t="shared" ref="AL290:AL301" si="215">SUM(AM290:AT290)</f>
        <v>206.91</v>
      </c>
      <c r="AM290" s="298">
        <f t="shared" ref="AM290:AM301" si="216">G290+W290</f>
        <v>7.8</v>
      </c>
      <c r="AN290" s="298">
        <f t="shared" ref="AN290:AN301" si="217">H290+X290</f>
        <v>0</v>
      </c>
      <c r="AO290" s="298">
        <f t="shared" ref="AO290:AO301" si="218">I290+Y290</f>
        <v>10.15</v>
      </c>
      <c r="AP290" s="298">
        <f t="shared" ref="AP290:AP301" si="219">J290+Z290</f>
        <v>0</v>
      </c>
      <c r="AQ290" s="298">
        <f t="shared" ref="AQ290:AQ301" si="220">K290+AA290</f>
        <v>0</v>
      </c>
      <c r="AR290" s="298">
        <f t="shared" ref="AR290:AR301" si="221">M290+AB290</f>
        <v>31.96</v>
      </c>
      <c r="AS290" s="298">
        <f t="shared" si="199"/>
        <v>0</v>
      </c>
      <c r="AT290" s="298">
        <f t="shared" ref="AT290:AT301" si="222">N290+AD290</f>
        <v>157</v>
      </c>
      <c r="AU290" s="285">
        <f t="shared" ref="AU290:AU301" si="223">SUM(AV290:AX290)</f>
        <v>206.91</v>
      </c>
      <c r="AV290" s="285">
        <v>186.95</v>
      </c>
      <c r="AW290" s="285"/>
      <c r="AX290" s="285">
        <v>19.96</v>
      </c>
      <c r="AY290" s="285"/>
      <c r="AZ290" s="285"/>
      <c r="BA290" s="285"/>
    </row>
    <row r="291" s="258" customFormat="1" ht="24" spans="1:53">
      <c r="A291" s="283">
        <v>284</v>
      </c>
      <c r="B291" s="284" t="s">
        <v>540</v>
      </c>
      <c r="C291" s="284" t="s">
        <v>196</v>
      </c>
      <c r="D291" s="284" t="s">
        <v>579</v>
      </c>
      <c r="E291" s="284" t="s">
        <v>578</v>
      </c>
      <c r="F291" s="285">
        <f t="shared" si="206"/>
        <v>3.96</v>
      </c>
      <c r="G291" s="285">
        <v>1.8</v>
      </c>
      <c r="H291" s="285"/>
      <c r="I291" s="285">
        <v>2.16</v>
      </c>
      <c r="J291" s="285"/>
      <c r="K291" s="285"/>
      <c r="L291" s="285"/>
      <c r="M291" s="285"/>
      <c r="N291" s="285"/>
      <c r="O291" s="285"/>
      <c r="P291" s="285">
        <f t="shared" si="207"/>
        <v>3.96</v>
      </c>
      <c r="Q291" s="285">
        <v>3.96</v>
      </c>
      <c r="R291" s="285"/>
      <c r="S291" s="285"/>
      <c r="T291" s="285"/>
      <c r="U291" s="285"/>
      <c r="V291" s="298">
        <f t="shared" si="208"/>
        <v>0</v>
      </c>
      <c r="W291" s="298"/>
      <c r="X291" s="298"/>
      <c r="Y291" s="298"/>
      <c r="Z291" s="298"/>
      <c r="AA291" s="298"/>
      <c r="AB291" s="298"/>
      <c r="AC291" s="298"/>
      <c r="AD291" s="298"/>
      <c r="AE291" s="285"/>
      <c r="AF291" s="299">
        <f t="shared" si="209"/>
        <v>0</v>
      </c>
      <c r="AG291" s="299">
        <f t="shared" si="210"/>
        <v>0</v>
      </c>
      <c r="AH291" s="299">
        <f t="shared" si="211"/>
        <v>0</v>
      </c>
      <c r="AI291" s="299">
        <f t="shared" si="212"/>
        <v>0</v>
      </c>
      <c r="AJ291" s="299">
        <f t="shared" si="213"/>
        <v>0</v>
      </c>
      <c r="AK291" s="299">
        <f t="shared" si="214"/>
        <v>0</v>
      </c>
      <c r="AL291" s="298">
        <f t="shared" si="215"/>
        <v>3.96</v>
      </c>
      <c r="AM291" s="298">
        <f t="shared" si="216"/>
        <v>1.8</v>
      </c>
      <c r="AN291" s="298">
        <f t="shared" si="217"/>
        <v>0</v>
      </c>
      <c r="AO291" s="298">
        <f t="shared" si="218"/>
        <v>2.16</v>
      </c>
      <c r="AP291" s="298">
        <f t="shared" si="219"/>
        <v>0</v>
      </c>
      <c r="AQ291" s="298">
        <f t="shared" si="220"/>
        <v>0</v>
      </c>
      <c r="AR291" s="298">
        <f t="shared" si="221"/>
        <v>0</v>
      </c>
      <c r="AS291" s="298">
        <f t="shared" si="199"/>
        <v>0</v>
      </c>
      <c r="AT291" s="298">
        <f t="shared" si="222"/>
        <v>0</v>
      </c>
      <c r="AU291" s="285">
        <f t="shared" si="223"/>
        <v>3.96</v>
      </c>
      <c r="AV291" s="285">
        <v>3.96</v>
      </c>
      <c r="AW291" s="285"/>
      <c r="AX291" s="285"/>
      <c r="AY291" s="285"/>
      <c r="AZ291" s="285"/>
      <c r="BA291" s="285"/>
    </row>
    <row r="292" s="258" customFormat="1" ht="24" spans="1:53">
      <c r="A292" s="283">
        <v>285</v>
      </c>
      <c r="B292" s="284" t="s">
        <v>540</v>
      </c>
      <c r="C292" s="284" t="s">
        <v>199</v>
      </c>
      <c r="D292" s="284" t="s">
        <v>580</v>
      </c>
      <c r="E292" s="284" t="s">
        <v>581</v>
      </c>
      <c r="F292" s="285">
        <f t="shared" si="206"/>
        <v>4.8</v>
      </c>
      <c r="G292" s="285">
        <v>4.8</v>
      </c>
      <c r="H292" s="285"/>
      <c r="I292" s="285"/>
      <c r="J292" s="285"/>
      <c r="K292" s="285"/>
      <c r="L292" s="285"/>
      <c r="M292" s="285"/>
      <c r="N292" s="285"/>
      <c r="O292" s="285"/>
      <c r="P292" s="285">
        <f t="shared" si="207"/>
        <v>4.8</v>
      </c>
      <c r="Q292" s="285">
        <v>4.8</v>
      </c>
      <c r="R292" s="285"/>
      <c r="S292" s="285"/>
      <c r="T292" s="285"/>
      <c r="U292" s="285"/>
      <c r="V292" s="298">
        <f t="shared" si="208"/>
        <v>0</v>
      </c>
      <c r="W292" s="298"/>
      <c r="X292" s="298"/>
      <c r="Y292" s="298"/>
      <c r="Z292" s="298"/>
      <c r="AA292" s="298"/>
      <c r="AB292" s="298"/>
      <c r="AC292" s="298"/>
      <c r="AD292" s="298"/>
      <c r="AE292" s="285"/>
      <c r="AF292" s="299">
        <f t="shared" si="209"/>
        <v>0</v>
      </c>
      <c r="AG292" s="299">
        <f t="shared" si="210"/>
        <v>0</v>
      </c>
      <c r="AH292" s="299">
        <f t="shared" si="211"/>
        <v>0</v>
      </c>
      <c r="AI292" s="299">
        <f t="shared" si="212"/>
        <v>0</v>
      </c>
      <c r="AJ292" s="299">
        <f t="shared" si="213"/>
        <v>0</v>
      </c>
      <c r="AK292" s="299">
        <f t="shared" si="214"/>
        <v>0</v>
      </c>
      <c r="AL292" s="298">
        <f t="shared" si="215"/>
        <v>4.8</v>
      </c>
      <c r="AM292" s="298">
        <f t="shared" si="216"/>
        <v>4.8</v>
      </c>
      <c r="AN292" s="298">
        <f t="shared" si="217"/>
        <v>0</v>
      </c>
      <c r="AO292" s="298">
        <f t="shared" si="218"/>
        <v>0</v>
      </c>
      <c r="AP292" s="298">
        <f t="shared" si="219"/>
        <v>0</v>
      </c>
      <c r="AQ292" s="298">
        <f t="shared" si="220"/>
        <v>0</v>
      </c>
      <c r="AR292" s="298">
        <f t="shared" si="221"/>
        <v>0</v>
      </c>
      <c r="AS292" s="298">
        <f t="shared" si="199"/>
        <v>0</v>
      </c>
      <c r="AT292" s="298">
        <f t="shared" si="222"/>
        <v>0</v>
      </c>
      <c r="AU292" s="285">
        <f t="shared" si="223"/>
        <v>4.8</v>
      </c>
      <c r="AV292" s="285">
        <v>4.8</v>
      </c>
      <c r="AW292" s="285"/>
      <c r="AX292" s="285"/>
      <c r="AY292" s="285"/>
      <c r="AZ292" s="285"/>
      <c r="BA292" s="285"/>
    </row>
    <row r="293" s="258" customFormat="1" ht="24" spans="1:53">
      <c r="A293" s="283">
        <v>286</v>
      </c>
      <c r="B293" s="284" t="s">
        <v>540</v>
      </c>
      <c r="C293" s="284" t="s">
        <v>199</v>
      </c>
      <c r="D293" s="284" t="s">
        <v>582</v>
      </c>
      <c r="E293" s="284" t="s">
        <v>581</v>
      </c>
      <c r="F293" s="285">
        <f t="shared" si="206"/>
        <v>3.6</v>
      </c>
      <c r="G293" s="285">
        <v>3.6</v>
      </c>
      <c r="H293" s="285"/>
      <c r="I293" s="285"/>
      <c r="J293" s="285"/>
      <c r="K293" s="285"/>
      <c r="L293" s="285"/>
      <c r="M293" s="285"/>
      <c r="N293" s="285"/>
      <c r="O293" s="285"/>
      <c r="P293" s="285">
        <f t="shared" si="207"/>
        <v>3.6</v>
      </c>
      <c r="Q293" s="285">
        <v>3.6</v>
      </c>
      <c r="R293" s="285"/>
      <c r="S293" s="285"/>
      <c r="T293" s="285"/>
      <c r="U293" s="285"/>
      <c r="V293" s="298">
        <f t="shared" si="208"/>
        <v>0</v>
      </c>
      <c r="W293" s="298"/>
      <c r="X293" s="298"/>
      <c r="Y293" s="298"/>
      <c r="Z293" s="298"/>
      <c r="AA293" s="298"/>
      <c r="AB293" s="298"/>
      <c r="AC293" s="298"/>
      <c r="AD293" s="298"/>
      <c r="AE293" s="285"/>
      <c r="AF293" s="299">
        <f t="shared" si="209"/>
        <v>0</v>
      </c>
      <c r="AG293" s="299">
        <f t="shared" si="210"/>
        <v>0</v>
      </c>
      <c r="AH293" s="299">
        <f t="shared" si="211"/>
        <v>0</v>
      </c>
      <c r="AI293" s="299">
        <f t="shared" si="212"/>
        <v>0</v>
      </c>
      <c r="AJ293" s="299">
        <f t="shared" si="213"/>
        <v>0</v>
      </c>
      <c r="AK293" s="299">
        <f t="shared" si="214"/>
        <v>0</v>
      </c>
      <c r="AL293" s="298">
        <f t="shared" si="215"/>
        <v>3.6</v>
      </c>
      <c r="AM293" s="298">
        <f t="shared" si="216"/>
        <v>3.6</v>
      </c>
      <c r="AN293" s="298">
        <f t="shared" si="217"/>
        <v>0</v>
      </c>
      <c r="AO293" s="298">
        <f t="shared" si="218"/>
        <v>0</v>
      </c>
      <c r="AP293" s="298">
        <f t="shared" si="219"/>
        <v>0</v>
      </c>
      <c r="AQ293" s="298">
        <f t="shared" si="220"/>
        <v>0</v>
      </c>
      <c r="AR293" s="298">
        <f t="shared" si="221"/>
        <v>0</v>
      </c>
      <c r="AS293" s="298">
        <f t="shared" si="199"/>
        <v>0</v>
      </c>
      <c r="AT293" s="298">
        <f t="shared" si="222"/>
        <v>0</v>
      </c>
      <c r="AU293" s="285">
        <f t="shared" si="223"/>
        <v>3.6</v>
      </c>
      <c r="AV293" s="285">
        <v>3.6</v>
      </c>
      <c r="AW293" s="285"/>
      <c r="AX293" s="285"/>
      <c r="AY293" s="285"/>
      <c r="AZ293" s="285"/>
      <c r="BA293" s="285"/>
    </row>
    <row r="294" s="258" customFormat="1" ht="24" spans="1:53">
      <c r="A294" s="283">
        <v>287</v>
      </c>
      <c r="B294" s="284" t="s">
        <v>540</v>
      </c>
      <c r="C294" s="284" t="s">
        <v>199</v>
      </c>
      <c r="D294" s="284" t="s">
        <v>583</v>
      </c>
      <c r="E294" s="284" t="s">
        <v>581</v>
      </c>
      <c r="F294" s="285">
        <f t="shared" si="206"/>
        <v>3</v>
      </c>
      <c r="G294" s="285">
        <v>3</v>
      </c>
      <c r="H294" s="285"/>
      <c r="I294" s="285"/>
      <c r="J294" s="285"/>
      <c r="K294" s="285"/>
      <c r="L294" s="285"/>
      <c r="M294" s="285"/>
      <c r="N294" s="285"/>
      <c r="O294" s="285"/>
      <c r="P294" s="285">
        <f t="shared" si="207"/>
        <v>3</v>
      </c>
      <c r="Q294" s="285">
        <v>3</v>
      </c>
      <c r="R294" s="285"/>
      <c r="S294" s="285"/>
      <c r="T294" s="285"/>
      <c r="U294" s="285"/>
      <c r="V294" s="298">
        <f t="shared" si="208"/>
        <v>0</v>
      </c>
      <c r="W294" s="298"/>
      <c r="X294" s="298"/>
      <c r="Y294" s="298"/>
      <c r="Z294" s="298"/>
      <c r="AA294" s="298"/>
      <c r="AB294" s="298"/>
      <c r="AC294" s="298"/>
      <c r="AD294" s="298"/>
      <c r="AE294" s="285"/>
      <c r="AF294" s="299">
        <f t="shared" si="209"/>
        <v>0</v>
      </c>
      <c r="AG294" s="299">
        <f t="shared" si="210"/>
        <v>0</v>
      </c>
      <c r="AH294" s="299">
        <f t="shared" si="211"/>
        <v>0</v>
      </c>
      <c r="AI294" s="299">
        <f t="shared" si="212"/>
        <v>0</v>
      </c>
      <c r="AJ294" s="299">
        <f t="shared" si="213"/>
        <v>0</v>
      </c>
      <c r="AK294" s="299">
        <f t="shared" si="214"/>
        <v>0</v>
      </c>
      <c r="AL294" s="298">
        <f t="shared" si="215"/>
        <v>3</v>
      </c>
      <c r="AM294" s="298">
        <f t="shared" si="216"/>
        <v>3</v>
      </c>
      <c r="AN294" s="298">
        <f t="shared" si="217"/>
        <v>0</v>
      </c>
      <c r="AO294" s="298">
        <f t="shared" si="218"/>
        <v>0</v>
      </c>
      <c r="AP294" s="298">
        <f t="shared" si="219"/>
        <v>0</v>
      </c>
      <c r="AQ294" s="298">
        <f t="shared" si="220"/>
        <v>0</v>
      </c>
      <c r="AR294" s="298">
        <f t="shared" si="221"/>
        <v>0</v>
      </c>
      <c r="AS294" s="298">
        <f t="shared" si="199"/>
        <v>0</v>
      </c>
      <c r="AT294" s="298">
        <f t="shared" si="222"/>
        <v>0</v>
      </c>
      <c r="AU294" s="285">
        <f t="shared" si="223"/>
        <v>3</v>
      </c>
      <c r="AV294" s="285">
        <v>3</v>
      </c>
      <c r="AW294" s="285"/>
      <c r="AX294" s="285"/>
      <c r="AY294" s="285"/>
      <c r="AZ294" s="285"/>
      <c r="BA294" s="285"/>
    </row>
    <row r="295" s="258" customFormat="1" ht="24" spans="1:53">
      <c r="A295" s="283">
        <v>288</v>
      </c>
      <c r="B295" s="284" t="s">
        <v>540</v>
      </c>
      <c r="C295" s="284" t="s">
        <v>199</v>
      </c>
      <c r="D295" s="284" t="s">
        <v>584</v>
      </c>
      <c r="E295" s="284" t="s">
        <v>581</v>
      </c>
      <c r="F295" s="285">
        <f t="shared" si="206"/>
        <v>3.6</v>
      </c>
      <c r="G295" s="285">
        <v>3.6</v>
      </c>
      <c r="H295" s="285"/>
      <c r="I295" s="285"/>
      <c r="J295" s="285"/>
      <c r="K295" s="285"/>
      <c r="L295" s="285"/>
      <c r="M295" s="285"/>
      <c r="N295" s="285"/>
      <c r="O295" s="285"/>
      <c r="P295" s="285">
        <f t="shared" si="207"/>
        <v>3.6</v>
      </c>
      <c r="Q295" s="285">
        <v>3.6</v>
      </c>
      <c r="R295" s="285"/>
      <c r="S295" s="285"/>
      <c r="T295" s="285"/>
      <c r="U295" s="285"/>
      <c r="V295" s="298">
        <f t="shared" si="208"/>
        <v>0</v>
      </c>
      <c r="W295" s="298"/>
      <c r="X295" s="298"/>
      <c r="Y295" s="298"/>
      <c r="Z295" s="298"/>
      <c r="AA295" s="298"/>
      <c r="AB295" s="298"/>
      <c r="AC295" s="298"/>
      <c r="AD295" s="298"/>
      <c r="AE295" s="285"/>
      <c r="AF295" s="299">
        <f t="shared" si="209"/>
        <v>0</v>
      </c>
      <c r="AG295" s="299">
        <f t="shared" si="210"/>
        <v>0</v>
      </c>
      <c r="AH295" s="299">
        <f t="shared" si="211"/>
        <v>0</v>
      </c>
      <c r="AI295" s="299">
        <f t="shared" si="212"/>
        <v>0</v>
      </c>
      <c r="AJ295" s="299">
        <f t="shared" si="213"/>
        <v>0</v>
      </c>
      <c r="AK295" s="299">
        <f t="shared" si="214"/>
        <v>0</v>
      </c>
      <c r="AL295" s="298">
        <f t="shared" si="215"/>
        <v>3.6</v>
      </c>
      <c r="AM295" s="298">
        <f t="shared" si="216"/>
        <v>3.6</v>
      </c>
      <c r="AN295" s="298">
        <f t="shared" si="217"/>
        <v>0</v>
      </c>
      <c r="AO295" s="298">
        <f t="shared" si="218"/>
        <v>0</v>
      </c>
      <c r="AP295" s="298">
        <f t="shared" si="219"/>
        <v>0</v>
      </c>
      <c r="AQ295" s="298">
        <f t="shared" si="220"/>
        <v>0</v>
      </c>
      <c r="AR295" s="298">
        <f t="shared" si="221"/>
        <v>0</v>
      </c>
      <c r="AS295" s="298">
        <f t="shared" si="199"/>
        <v>0</v>
      </c>
      <c r="AT295" s="298">
        <f t="shared" si="222"/>
        <v>0</v>
      </c>
      <c r="AU295" s="285">
        <f t="shared" si="223"/>
        <v>3.6</v>
      </c>
      <c r="AV295" s="285">
        <v>3.6</v>
      </c>
      <c r="AW295" s="285"/>
      <c r="AX295" s="285"/>
      <c r="AY295" s="285"/>
      <c r="AZ295" s="285"/>
      <c r="BA295" s="285"/>
    </row>
    <row r="296" s="258" customFormat="1" ht="36" spans="1:53">
      <c r="A296" s="283">
        <v>289</v>
      </c>
      <c r="B296" s="284" t="s">
        <v>540</v>
      </c>
      <c r="C296" s="284" t="s">
        <v>518</v>
      </c>
      <c r="D296" s="284" t="s">
        <v>587</v>
      </c>
      <c r="E296" s="284" t="s">
        <v>588</v>
      </c>
      <c r="F296" s="285">
        <f t="shared" si="206"/>
        <v>0</v>
      </c>
      <c r="G296" s="285"/>
      <c r="H296" s="285"/>
      <c r="I296" s="285"/>
      <c r="J296" s="285"/>
      <c r="K296" s="285"/>
      <c r="L296" s="285"/>
      <c r="M296" s="285"/>
      <c r="N296" s="285"/>
      <c r="O296" s="285"/>
      <c r="P296" s="285">
        <f t="shared" si="207"/>
        <v>0</v>
      </c>
      <c r="Q296" s="285">
        <v>0</v>
      </c>
      <c r="R296" s="285"/>
      <c r="S296" s="285"/>
      <c r="T296" s="285"/>
      <c r="U296" s="285"/>
      <c r="V296" s="298">
        <f t="shared" si="208"/>
        <v>0</v>
      </c>
      <c r="W296" s="298"/>
      <c r="X296" s="298"/>
      <c r="Y296" s="298"/>
      <c r="Z296" s="298"/>
      <c r="AA296" s="298"/>
      <c r="AB296" s="298"/>
      <c r="AC296" s="298"/>
      <c r="AD296" s="298"/>
      <c r="AE296" s="285"/>
      <c r="AF296" s="299">
        <f t="shared" si="209"/>
        <v>0</v>
      </c>
      <c r="AG296" s="299">
        <f t="shared" si="210"/>
        <v>0</v>
      </c>
      <c r="AH296" s="299">
        <f t="shared" si="211"/>
        <v>0</v>
      </c>
      <c r="AI296" s="299">
        <f t="shared" si="212"/>
        <v>0</v>
      </c>
      <c r="AJ296" s="299">
        <f t="shared" si="213"/>
        <v>0</v>
      </c>
      <c r="AK296" s="299">
        <f t="shared" si="214"/>
        <v>0</v>
      </c>
      <c r="AL296" s="298">
        <f t="shared" si="215"/>
        <v>0</v>
      </c>
      <c r="AM296" s="298">
        <f t="shared" si="216"/>
        <v>0</v>
      </c>
      <c r="AN296" s="298">
        <f t="shared" si="217"/>
        <v>0</v>
      </c>
      <c r="AO296" s="298">
        <f t="shared" si="218"/>
        <v>0</v>
      </c>
      <c r="AP296" s="298">
        <f t="shared" si="219"/>
        <v>0</v>
      </c>
      <c r="AQ296" s="298">
        <f t="shared" si="220"/>
        <v>0</v>
      </c>
      <c r="AR296" s="298">
        <f t="shared" si="221"/>
        <v>0</v>
      </c>
      <c r="AS296" s="298">
        <f t="shared" si="199"/>
        <v>0</v>
      </c>
      <c r="AT296" s="298">
        <f t="shared" si="222"/>
        <v>0</v>
      </c>
      <c r="AU296" s="285">
        <f t="shared" si="223"/>
        <v>0</v>
      </c>
      <c r="AV296" s="285">
        <v>0</v>
      </c>
      <c r="AW296" s="285"/>
      <c r="AX296" s="285"/>
      <c r="AY296" s="285"/>
      <c r="AZ296" s="285"/>
      <c r="BA296" s="285"/>
    </row>
    <row r="297" s="258" customFormat="1" ht="48" spans="1:53">
      <c r="A297" s="283">
        <v>290</v>
      </c>
      <c r="B297" s="284" t="s">
        <v>540</v>
      </c>
      <c r="C297" s="284" t="s">
        <v>199</v>
      </c>
      <c r="D297" s="284" t="s">
        <v>609</v>
      </c>
      <c r="E297" s="284" t="s">
        <v>610</v>
      </c>
      <c r="F297" s="285">
        <f t="shared" si="206"/>
        <v>85</v>
      </c>
      <c r="G297" s="285">
        <v>21</v>
      </c>
      <c r="H297" s="285">
        <v>4</v>
      </c>
      <c r="I297" s="285"/>
      <c r="J297" s="285"/>
      <c r="K297" s="285"/>
      <c r="L297" s="285"/>
      <c r="M297" s="285"/>
      <c r="N297" s="285">
        <v>60</v>
      </c>
      <c r="O297" s="285" t="s">
        <v>1168</v>
      </c>
      <c r="P297" s="285">
        <f t="shared" si="207"/>
        <v>85</v>
      </c>
      <c r="Q297" s="285">
        <v>85</v>
      </c>
      <c r="R297" s="285"/>
      <c r="S297" s="285"/>
      <c r="T297" s="285"/>
      <c r="U297" s="285"/>
      <c r="V297" s="298">
        <f t="shared" si="208"/>
        <v>0.18</v>
      </c>
      <c r="W297" s="298"/>
      <c r="X297" s="298"/>
      <c r="Y297" s="298"/>
      <c r="Z297" s="298"/>
      <c r="AA297" s="298"/>
      <c r="AB297" s="298">
        <v>0.18</v>
      </c>
      <c r="AC297" s="298"/>
      <c r="AD297" s="298"/>
      <c r="AE297" s="285" t="s">
        <v>1169</v>
      </c>
      <c r="AF297" s="299">
        <f t="shared" si="209"/>
        <v>0.18</v>
      </c>
      <c r="AG297" s="299">
        <f t="shared" si="210"/>
        <v>0</v>
      </c>
      <c r="AH297" s="299">
        <f t="shared" si="211"/>
        <v>0.18</v>
      </c>
      <c r="AI297" s="299">
        <f t="shared" si="212"/>
        <v>0</v>
      </c>
      <c r="AJ297" s="299">
        <f t="shared" si="213"/>
        <v>0</v>
      </c>
      <c r="AK297" s="299">
        <f t="shared" si="214"/>
        <v>0</v>
      </c>
      <c r="AL297" s="298">
        <f t="shared" si="215"/>
        <v>85.18</v>
      </c>
      <c r="AM297" s="298">
        <f t="shared" si="216"/>
        <v>21</v>
      </c>
      <c r="AN297" s="298">
        <f t="shared" si="217"/>
        <v>4</v>
      </c>
      <c r="AO297" s="298">
        <f t="shared" si="218"/>
        <v>0</v>
      </c>
      <c r="AP297" s="298">
        <f t="shared" si="219"/>
        <v>0</v>
      </c>
      <c r="AQ297" s="298">
        <f t="shared" si="220"/>
        <v>0</v>
      </c>
      <c r="AR297" s="298">
        <f t="shared" si="221"/>
        <v>0.18</v>
      </c>
      <c r="AS297" s="298">
        <f t="shared" si="199"/>
        <v>0</v>
      </c>
      <c r="AT297" s="298">
        <f t="shared" si="222"/>
        <v>60</v>
      </c>
      <c r="AU297" s="285">
        <f t="shared" si="223"/>
        <v>85.18</v>
      </c>
      <c r="AV297" s="285">
        <v>85</v>
      </c>
      <c r="AW297" s="285">
        <v>0.18</v>
      </c>
      <c r="AX297" s="285"/>
      <c r="AY297" s="285"/>
      <c r="AZ297" s="285"/>
      <c r="BA297" s="285"/>
    </row>
    <row r="298" s="258" customFormat="1" ht="42" customHeight="1" spans="1:53">
      <c r="A298" s="283">
        <v>291</v>
      </c>
      <c r="B298" s="284" t="s">
        <v>540</v>
      </c>
      <c r="C298" s="284" t="s">
        <v>196</v>
      </c>
      <c r="D298" s="284" t="s">
        <v>611</v>
      </c>
      <c r="E298" s="284" t="s">
        <v>612</v>
      </c>
      <c r="F298" s="285">
        <f t="shared" si="206"/>
        <v>48.4</v>
      </c>
      <c r="G298" s="285">
        <v>5.4</v>
      </c>
      <c r="H298" s="285">
        <v>2</v>
      </c>
      <c r="I298" s="285">
        <v>6</v>
      </c>
      <c r="J298" s="285"/>
      <c r="K298" s="285"/>
      <c r="L298" s="285"/>
      <c r="M298" s="285">
        <v>19</v>
      </c>
      <c r="N298" s="285">
        <v>16</v>
      </c>
      <c r="O298" s="285" t="s">
        <v>1170</v>
      </c>
      <c r="P298" s="285">
        <f t="shared" si="207"/>
        <v>48.4</v>
      </c>
      <c r="Q298" s="285">
        <v>29.4</v>
      </c>
      <c r="R298" s="285">
        <v>19</v>
      </c>
      <c r="S298" s="285"/>
      <c r="T298" s="285"/>
      <c r="U298" s="285"/>
      <c r="V298" s="298">
        <f t="shared" si="208"/>
        <v>-12.71</v>
      </c>
      <c r="W298" s="298"/>
      <c r="X298" s="298"/>
      <c r="Y298" s="298">
        <v>0.23</v>
      </c>
      <c r="Z298" s="298"/>
      <c r="AA298" s="298"/>
      <c r="AB298" s="298">
        <f>-19+6.06</f>
        <v>-12.94</v>
      </c>
      <c r="AC298" s="298"/>
      <c r="AD298" s="298"/>
      <c r="AE298" s="285" t="s">
        <v>1171</v>
      </c>
      <c r="AF298" s="299">
        <f t="shared" si="209"/>
        <v>-12.71</v>
      </c>
      <c r="AG298" s="299">
        <f t="shared" si="210"/>
        <v>0.23</v>
      </c>
      <c r="AH298" s="299">
        <f t="shared" si="211"/>
        <v>-12.94</v>
      </c>
      <c r="AI298" s="299">
        <f t="shared" si="212"/>
        <v>0</v>
      </c>
      <c r="AJ298" s="299">
        <f t="shared" si="213"/>
        <v>0</v>
      </c>
      <c r="AK298" s="299">
        <f t="shared" si="214"/>
        <v>0</v>
      </c>
      <c r="AL298" s="298">
        <f t="shared" si="215"/>
        <v>35.69</v>
      </c>
      <c r="AM298" s="298">
        <f t="shared" si="216"/>
        <v>5.4</v>
      </c>
      <c r="AN298" s="298">
        <f t="shared" si="217"/>
        <v>2</v>
      </c>
      <c r="AO298" s="298">
        <f t="shared" si="218"/>
        <v>6.23</v>
      </c>
      <c r="AP298" s="298">
        <f t="shared" si="219"/>
        <v>0</v>
      </c>
      <c r="AQ298" s="298">
        <f t="shared" si="220"/>
        <v>0</v>
      </c>
      <c r="AR298" s="298">
        <f t="shared" si="221"/>
        <v>6.06</v>
      </c>
      <c r="AS298" s="298">
        <f t="shared" si="199"/>
        <v>0</v>
      </c>
      <c r="AT298" s="298">
        <f t="shared" si="222"/>
        <v>16</v>
      </c>
      <c r="AU298" s="285">
        <f t="shared" si="223"/>
        <v>35.69</v>
      </c>
      <c r="AV298" s="285">
        <v>29.63</v>
      </c>
      <c r="AW298" s="285">
        <v>6.06</v>
      </c>
      <c r="AX298" s="285"/>
      <c r="AY298" s="285"/>
      <c r="AZ298" s="285"/>
      <c r="BA298" s="285"/>
    </row>
    <row r="299" s="258" customFormat="1" ht="36" spans="1:53">
      <c r="A299" s="283">
        <v>292</v>
      </c>
      <c r="B299" s="284" t="s">
        <v>540</v>
      </c>
      <c r="C299" s="284" t="s">
        <v>199</v>
      </c>
      <c r="D299" s="284" t="s">
        <v>613</v>
      </c>
      <c r="E299" s="284" t="s">
        <v>614</v>
      </c>
      <c r="F299" s="285">
        <f t="shared" si="206"/>
        <v>85.4</v>
      </c>
      <c r="G299" s="285">
        <v>35.4</v>
      </c>
      <c r="H299" s="285"/>
      <c r="I299" s="285"/>
      <c r="J299" s="285"/>
      <c r="K299" s="285"/>
      <c r="L299" s="285"/>
      <c r="M299" s="285"/>
      <c r="N299" s="285">
        <v>50</v>
      </c>
      <c r="O299" s="285" t="s">
        <v>1172</v>
      </c>
      <c r="P299" s="285">
        <f t="shared" si="207"/>
        <v>85.4</v>
      </c>
      <c r="Q299" s="285">
        <v>85.4</v>
      </c>
      <c r="R299" s="285"/>
      <c r="S299" s="285"/>
      <c r="T299" s="285"/>
      <c r="U299" s="285"/>
      <c r="V299" s="298">
        <f t="shared" si="208"/>
        <v>0</v>
      </c>
      <c r="W299" s="298"/>
      <c r="X299" s="298"/>
      <c r="Y299" s="298"/>
      <c r="Z299" s="298"/>
      <c r="AA299" s="298"/>
      <c r="AB299" s="298"/>
      <c r="AC299" s="298"/>
      <c r="AD299" s="298"/>
      <c r="AE299" s="285"/>
      <c r="AF299" s="299">
        <f t="shared" si="209"/>
        <v>0</v>
      </c>
      <c r="AG299" s="299">
        <f t="shared" si="210"/>
        <v>0</v>
      </c>
      <c r="AH299" s="299">
        <f t="shared" si="211"/>
        <v>0</v>
      </c>
      <c r="AI299" s="299">
        <f t="shared" si="212"/>
        <v>0</v>
      </c>
      <c r="AJ299" s="299">
        <f t="shared" si="213"/>
        <v>0</v>
      </c>
      <c r="AK299" s="299">
        <f t="shared" si="214"/>
        <v>0</v>
      </c>
      <c r="AL299" s="298">
        <f t="shared" si="215"/>
        <v>85.4</v>
      </c>
      <c r="AM299" s="298">
        <f t="shared" si="216"/>
        <v>35.4</v>
      </c>
      <c r="AN299" s="298">
        <f t="shared" si="217"/>
        <v>0</v>
      </c>
      <c r="AO299" s="298">
        <f t="shared" si="218"/>
        <v>0</v>
      </c>
      <c r="AP299" s="298">
        <f t="shared" si="219"/>
        <v>0</v>
      </c>
      <c r="AQ299" s="298">
        <f t="shared" si="220"/>
        <v>0</v>
      </c>
      <c r="AR299" s="298">
        <f t="shared" si="221"/>
        <v>0</v>
      </c>
      <c r="AS299" s="298">
        <f t="shared" si="199"/>
        <v>0</v>
      </c>
      <c r="AT299" s="298">
        <f t="shared" si="222"/>
        <v>50</v>
      </c>
      <c r="AU299" s="285">
        <f t="shared" si="223"/>
        <v>85.4</v>
      </c>
      <c r="AV299" s="285">
        <v>85.4</v>
      </c>
      <c r="AW299" s="285"/>
      <c r="AX299" s="285"/>
      <c r="AY299" s="285"/>
      <c r="AZ299" s="285"/>
      <c r="BA299" s="285"/>
    </row>
    <row r="300" s="258" customFormat="1" ht="48" spans="1:53">
      <c r="A300" s="283">
        <v>293</v>
      </c>
      <c r="B300" s="284" t="s">
        <v>540</v>
      </c>
      <c r="C300" s="284" t="s">
        <v>196</v>
      </c>
      <c r="D300" s="284" t="s">
        <v>615</v>
      </c>
      <c r="E300" s="284" t="s">
        <v>616</v>
      </c>
      <c r="F300" s="285">
        <f t="shared" si="206"/>
        <v>87.2</v>
      </c>
      <c r="G300" s="285">
        <v>3</v>
      </c>
      <c r="H300" s="285"/>
      <c r="I300" s="285">
        <v>4.2</v>
      </c>
      <c r="J300" s="285"/>
      <c r="K300" s="285"/>
      <c r="L300" s="285"/>
      <c r="M300" s="285"/>
      <c r="N300" s="285">
        <v>80</v>
      </c>
      <c r="O300" s="310" t="s">
        <v>1173</v>
      </c>
      <c r="P300" s="285">
        <f t="shared" si="207"/>
        <v>87.2</v>
      </c>
      <c r="Q300" s="285">
        <v>87.2</v>
      </c>
      <c r="R300" s="285"/>
      <c r="S300" s="285"/>
      <c r="T300" s="285"/>
      <c r="U300" s="285"/>
      <c r="V300" s="298">
        <f t="shared" si="208"/>
        <v>3.39</v>
      </c>
      <c r="W300" s="298"/>
      <c r="X300" s="298"/>
      <c r="Y300" s="298">
        <v>-0.69</v>
      </c>
      <c r="Z300" s="298"/>
      <c r="AA300" s="298"/>
      <c r="AB300" s="298">
        <v>2.23</v>
      </c>
      <c r="AC300" s="298"/>
      <c r="AD300" s="298">
        <v>1.85</v>
      </c>
      <c r="AE300" s="285" t="s">
        <v>1174</v>
      </c>
      <c r="AF300" s="299">
        <f t="shared" si="209"/>
        <v>3.38999999999998</v>
      </c>
      <c r="AG300" s="299">
        <f t="shared" si="210"/>
        <v>1.15999999999998</v>
      </c>
      <c r="AH300" s="299">
        <f t="shared" si="211"/>
        <v>0</v>
      </c>
      <c r="AI300" s="299">
        <f t="shared" si="212"/>
        <v>2.23</v>
      </c>
      <c r="AJ300" s="299">
        <f t="shared" si="213"/>
        <v>0</v>
      </c>
      <c r="AK300" s="299">
        <f t="shared" si="214"/>
        <v>0</v>
      </c>
      <c r="AL300" s="298">
        <f t="shared" si="215"/>
        <v>90.59</v>
      </c>
      <c r="AM300" s="298">
        <f t="shared" si="216"/>
        <v>3</v>
      </c>
      <c r="AN300" s="298">
        <f t="shared" si="217"/>
        <v>0</v>
      </c>
      <c r="AO300" s="298">
        <f t="shared" si="218"/>
        <v>3.51</v>
      </c>
      <c r="AP300" s="298">
        <f t="shared" si="219"/>
        <v>0</v>
      </c>
      <c r="AQ300" s="298">
        <f t="shared" si="220"/>
        <v>0</v>
      </c>
      <c r="AR300" s="298">
        <f t="shared" si="221"/>
        <v>2.23</v>
      </c>
      <c r="AS300" s="298">
        <f t="shared" si="199"/>
        <v>0</v>
      </c>
      <c r="AT300" s="298">
        <f t="shared" si="222"/>
        <v>81.85</v>
      </c>
      <c r="AU300" s="285">
        <f t="shared" si="223"/>
        <v>90.59</v>
      </c>
      <c r="AV300" s="285">
        <v>88.36</v>
      </c>
      <c r="AW300" s="285"/>
      <c r="AX300" s="285">
        <v>2.23</v>
      </c>
      <c r="AY300" s="285"/>
      <c r="AZ300" s="285"/>
      <c r="BA300" s="285"/>
    </row>
    <row r="301" s="258" customFormat="1" ht="72" spans="1:53">
      <c r="A301" s="283">
        <v>294</v>
      </c>
      <c r="B301" s="284" t="s">
        <v>540</v>
      </c>
      <c r="C301" s="284"/>
      <c r="D301" s="284" t="s">
        <v>1175</v>
      </c>
      <c r="E301" s="284" t="s">
        <v>1176</v>
      </c>
      <c r="F301" s="285">
        <f t="shared" si="206"/>
        <v>36</v>
      </c>
      <c r="G301" s="285"/>
      <c r="H301" s="285"/>
      <c r="I301" s="285"/>
      <c r="J301" s="285"/>
      <c r="K301" s="285"/>
      <c r="L301" s="285"/>
      <c r="M301" s="285"/>
      <c r="N301" s="285">
        <v>36</v>
      </c>
      <c r="O301" s="285" t="s">
        <v>1177</v>
      </c>
      <c r="P301" s="285">
        <f t="shared" si="207"/>
        <v>36</v>
      </c>
      <c r="Q301" s="285">
        <v>36</v>
      </c>
      <c r="R301" s="285"/>
      <c r="S301" s="285"/>
      <c r="T301" s="285"/>
      <c r="U301" s="285"/>
      <c r="V301" s="298">
        <f t="shared" si="208"/>
        <v>0</v>
      </c>
      <c r="W301" s="298"/>
      <c r="X301" s="298"/>
      <c r="Y301" s="298"/>
      <c r="Z301" s="298"/>
      <c r="AA301" s="298"/>
      <c r="AB301" s="298"/>
      <c r="AC301" s="298"/>
      <c r="AD301" s="298"/>
      <c r="AE301" s="285"/>
      <c r="AF301" s="299">
        <f t="shared" si="209"/>
        <v>0</v>
      </c>
      <c r="AG301" s="299">
        <f t="shared" si="210"/>
        <v>0</v>
      </c>
      <c r="AH301" s="299">
        <f t="shared" si="211"/>
        <v>0</v>
      </c>
      <c r="AI301" s="299">
        <f t="shared" si="212"/>
        <v>0</v>
      </c>
      <c r="AJ301" s="299">
        <f t="shared" si="213"/>
        <v>0</v>
      </c>
      <c r="AK301" s="299">
        <f t="shared" si="214"/>
        <v>0</v>
      </c>
      <c r="AL301" s="298">
        <f t="shared" si="215"/>
        <v>36</v>
      </c>
      <c r="AM301" s="298">
        <f t="shared" si="216"/>
        <v>0</v>
      </c>
      <c r="AN301" s="298">
        <f t="shared" si="217"/>
        <v>0</v>
      </c>
      <c r="AO301" s="298">
        <f t="shared" si="218"/>
        <v>0</v>
      </c>
      <c r="AP301" s="298">
        <f t="shared" si="219"/>
        <v>0</v>
      </c>
      <c r="AQ301" s="298">
        <f t="shared" si="220"/>
        <v>0</v>
      </c>
      <c r="AR301" s="298">
        <f t="shared" si="221"/>
        <v>0</v>
      </c>
      <c r="AS301" s="298">
        <f t="shared" si="199"/>
        <v>0</v>
      </c>
      <c r="AT301" s="298">
        <f t="shared" si="222"/>
        <v>36</v>
      </c>
      <c r="AU301" s="285">
        <f t="shared" si="223"/>
        <v>36</v>
      </c>
      <c r="AV301" s="285">
        <v>36</v>
      </c>
      <c r="AW301" s="285"/>
      <c r="AX301" s="285"/>
      <c r="AY301" s="285"/>
      <c r="AZ301" s="285"/>
      <c r="BA301" s="285"/>
    </row>
    <row r="302" s="260" customFormat="1" ht="24" customHeight="1" spans="1:53">
      <c r="A302" s="283">
        <v>295</v>
      </c>
      <c r="B302" s="305"/>
      <c r="C302" s="306" t="s">
        <v>751</v>
      </c>
      <c r="D302" s="305" t="s">
        <v>139</v>
      </c>
      <c r="E302" s="306">
        <v>211</v>
      </c>
      <c r="F302" s="281">
        <f t="shared" ref="F302:K302" si="224">SUM(F303)</f>
        <v>0</v>
      </c>
      <c r="G302" s="281">
        <f t="shared" si="224"/>
        <v>0</v>
      </c>
      <c r="H302" s="281">
        <f t="shared" si="224"/>
        <v>0</v>
      </c>
      <c r="I302" s="281">
        <f t="shared" si="224"/>
        <v>0</v>
      </c>
      <c r="J302" s="281">
        <f t="shared" si="224"/>
        <v>0</v>
      </c>
      <c r="K302" s="281">
        <f t="shared" si="224"/>
        <v>0</v>
      </c>
      <c r="L302" s="281"/>
      <c r="M302" s="281">
        <f>SUM(M303)</f>
        <v>0</v>
      </c>
      <c r="N302" s="281">
        <f>SUM(N303)</f>
        <v>0</v>
      </c>
      <c r="O302" s="281"/>
      <c r="P302" s="281">
        <f t="shared" ref="P302:U302" si="225">SUM(P303)</f>
        <v>0</v>
      </c>
      <c r="Q302" s="281">
        <f t="shared" si="225"/>
        <v>0</v>
      </c>
      <c r="R302" s="281">
        <f t="shared" si="225"/>
        <v>0</v>
      </c>
      <c r="S302" s="281">
        <f t="shared" si="225"/>
        <v>0</v>
      </c>
      <c r="T302" s="281">
        <f t="shared" si="225"/>
        <v>0</v>
      </c>
      <c r="U302" s="281">
        <f t="shared" si="225"/>
        <v>0</v>
      </c>
      <c r="V302" s="281">
        <f t="shared" ref="R302:AL302" si="226">SUM(V303)</f>
        <v>89.77</v>
      </c>
      <c r="W302" s="281">
        <f t="shared" si="226"/>
        <v>0</v>
      </c>
      <c r="X302" s="281">
        <f t="shared" si="226"/>
        <v>0</v>
      </c>
      <c r="Y302" s="281">
        <f t="shared" si="226"/>
        <v>0</v>
      </c>
      <c r="Z302" s="281">
        <f t="shared" si="226"/>
        <v>0</v>
      </c>
      <c r="AA302" s="281">
        <f t="shared" si="226"/>
        <v>0</v>
      </c>
      <c r="AB302" s="281">
        <f t="shared" si="226"/>
        <v>89.77</v>
      </c>
      <c r="AC302" s="281">
        <f t="shared" si="226"/>
        <v>0</v>
      </c>
      <c r="AD302" s="281">
        <f t="shared" si="226"/>
        <v>0</v>
      </c>
      <c r="AE302" s="281"/>
      <c r="AF302" s="281">
        <f t="shared" si="226"/>
        <v>89.77</v>
      </c>
      <c r="AG302" s="281">
        <f t="shared" si="226"/>
        <v>0.599999999999994</v>
      </c>
      <c r="AH302" s="281">
        <f t="shared" si="226"/>
        <v>0</v>
      </c>
      <c r="AI302" s="281">
        <f t="shared" si="226"/>
        <v>89.17</v>
      </c>
      <c r="AJ302" s="281">
        <f t="shared" si="226"/>
        <v>0</v>
      </c>
      <c r="AK302" s="281">
        <f t="shared" si="226"/>
        <v>0</v>
      </c>
      <c r="AL302" s="308">
        <f t="shared" si="226"/>
        <v>89.77</v>
      </c>
      <c r="AM302" s="308">
        <f t="shared" ref="AM302:AZ302" si="227">SUM(AM303)</f>
        <v>0</v>
      </c>
      <c r="AN302" s="308">
        <f t="shared" si="227"/>
        <v>0</v>
      </c>
      <c r="AO302" s="308">
        <f t="shared" si="227"/>
        <v>0</v>
      </c>
      <c r="AP302" s="308">
        <f t="shared" si="227"/>
        <v>0</v>
      </c>
      <c r="AQ302" s="308">
        <f t="shared" si="227"/>
        <v>0</v>
      </c>
      <c r="AR302" s="308">
        <f t="shared" si="227"/>
        <v>89.77</v>
      </c>
      <c r="AS302" s="308">
        <f t="shared" si="227"/>
        <v>0</v>
      </c>
      <c r="AT302" s="308">
        <f t="shared" si="227"/>
        <v>0</v>
      </c>
      <c r="AU302" s="308">
        <f t="shared" si="227"/>
        <v>89.77</v>
      </c>
      <c r="AV302" s="308">
        <f t="shared" si="227"/>
        <v>0.599999999999994</v>
      </c>
      <c r="AW302" s="308">
        <f t="shared" si="227"/>
        <v>0</v>
      </c>
      <c r="AX302" s="308">
        <f t="shared" si="227"/>
        <v>89.17</v>
      </c>
      <c r="AY302" s="308">
        <f t="shared" si="227"/>
        <v>0</v>
      </c>
      <c r="AZ302" s="308">
        <f t="shared" si="227"/>
        <v>0</v>
      </c>
      <c r="BA302" s="309"/>
    </row>
    <row r="303" s="258" customFormat="1" ht="48" spans="1:53">
      <c r="A303" s="283">
        <v>296</v>
      </c>
      <c r="B303" s="284" t="s">
        <v>665</v>
      </c>
      <c r="C303" s="284" t="s">
        <v>196</v>
      </c>
      <c r="D303" s="284" t="s">
        <v>1178</v>
      </c>
      <c r="E303" s="284" t="s">
        <v>1179</v>
      </c>
      <c r="F303" s="285">
        <f t="shared" ref="F303:F319" si="228">SUM(G303:N303)</f>
        <v>0</v>
      </c>
      <c r="G303" s="285"/>
      <c r="H303" s="285"/>
      <c r="I303" s="285"/>
      <c r="J303" s="285"/>
      <c r="K303" s="285"/>
      <c r="L303" s="285"/>
      <c r="M303" s="285"/>
      <c r="N303" s="285"/>
      <c r="O303" s="285"/>
      <c r="P303" s="285">
        <f t="shared" ref="P303:P319" si="229">SUM(Q303:S303)</f>
        <v>0</v>
      </c>
      <c r="Q303" s="285"/>
      <c r="R303" s="285"/>
      <c r="S303" s="285"/>
      <c r="T303" s="285"/>
      <c r="U303" s="285"/>
      <c r="V303" s="298">
        <f>SUM(W303:AD303)</f>
        <v>89.77</v>
      </c>
      <c r="W303" s="298"/>
      <c r="X303" s="298"/>
      <c r="Y303" s="298"/>
      <c r="Z303" s="298"/>
      <c r="AA303" s="298"/>
      <c r="AB303" s="298">
        <f>89.17+0.6</f>
        <v>89.77</v>
      </c>
      <c r="AC303" s="298"/>
      <c r="AD303" s="298"/>
      <c r="AE303" s="285" t="s">
        <v>1180</v>
      </c>
      <c r="AF303" s="299">
        <f t="shared" ref="AF303:AF319" si="230">SUM(AG303:AI303)</f>
        <v>89.77</v>
      </c>
      <c r="AG303" s="299">
        <f t="shared" ref="AG303:AK303" si="231">AV303-Q303</f>
        <v>0.599999999999994</v>
      </c>
      <c r="AH303" s="299">
        <f t="shared" si="231"/>
        <v>0</v>
      </c>
      <c r="AI303" s="299">
        <f t="shared" si="231"/>
        <v>89.17</v>
      </c>
      <c r="AJ303" s="299">
        <f t="shared" si="231"/>
        <v>0</v>
      </c>
      <c r="AK303" s="299">
        <f t="shared" si="231"/>
        <v>0</v>
      </c>
      <c r="AL303" s="298">
        <f>SUM(AM303:AT303)</f>
        <v>89.77</v>
      </c>
      <c r="AM303" s="298">
        <f>G303+W303</f>
        <v>0</v>
      </c>
      <c r="AN303" s="298">
        <f>H303+X303</f>
        <v>0</v>
      </c>
      <c r="AO303" s="298">
        <f>I303+Y303</f>
        <v>0</v>
      </c>
      <c r="AP303" s="298">
        <f>J303+Z303</f>
        <v>0</v>
      </c>
      <c r="AQ303" s="298">
        <f>K303+AA303</f>
        <v>0</v>
      </c>
      <c r="AR303" s="298">
        <f>M303+AB303</f>
        <v>89.77</v>
      </c>
      <c r="AS303" s="298">
        <f t="shared" si="199"/>
        <v>0</v>
      </c>
      <c r="AT303" s="298">
        <f>N303+AD303</f>
        <v>0</v>
      </c>
      <c r="AU303" s="285">
        <f t="shared" ref="AU303:AU319" si="232">SUM(AV303:AX303)</f>
        <v>89.77</v>
      </c>
      <c r="AV303" s="285">
        <v>0.599999999999994</v>
      </c>
      <c r="AW303" s="285"/>
      <c r="AX303" s="285">
        <v>89.17</v>
      </c>
      <c r="AY303" s="285"/>
      <c r="AZ303" s="285"/>
      <c r="BA303" s="285"/>
    </row>
    <row r="304" s="260" customFormat="1" ht="24" customHeight="1" spans="1:53">
      <c r="A304" s="283">
        <v>297</v>
      </c>
      <c r="B304" s="305"/>
      <c r="C304" s="306" t="s">
        <v>751</v>
      </c>
      <c r="D304" s="305" t="s">
        <v>140</v>
      </c>
      <c r="E304" s="306">
        <v>212</v>
      </c>
      <c r="F304" s="281">
        <f t="shared" ref="F304:K304" si="233">SUM(F305:F319)</f>
        <v>652.34</v>
      </c>
      <c r="G304" s="281">
        <f t="shared" si="233"/>
        <v>84.6</v>
      </c>
      <c r="H304" s="281">
        <f t="shared" si="233"/>
        <v>14</v>
      </c>
      <c r="I304" s="281">
        <f t="shared" si="233"/>
        <v>28.14</v>
      </c>
      <c r="J304" s="281">
        <f t="shared" si="233"/>
        <v>0</v>
      </c>
      <c r="K304" s="281">
        <f t="shared" si="233"/>
        <v>0</v>
      </c>
      <c r="L304" s="281"/>
      <c r="M304" s="281">
        <f>SUM(M305:M319)</f>
        <v>386</v>
      </c>
      <c r="N304" s="281">
        <f>SUM(N305:N319)</f>
        <v>139.6</v>
      </c>
      <c r="O304" s="281"/>
      <c r="P304" s="307">
        <f t="shared" ref="P304:U304" si="234">SUM(P305:P319)</f>
        <v>652.34</v>
      </c>
      <c r="Q304" s="307">
        <f t="shared" si="234"/>
        <v>266.34</v>
      </c>
      <c r="R304" s="307">
        <f t="shared" si="234"/>
        <v>348</v>
      </c>
      <c r="S304" s="307">
        <f t="shared" si="234"/>
        <v>38</v>
      </c>
      <c r="T304" s="307">
        <f t="shared" si="234"/>
        <v>0</v>
      </c>
      <c r="U304" s="307">
        <f t="shared" si="234"/>
        <v>0</v>
      </c>
      <c r="V304" s="281">
        <f t="shared" ref="R304:AC304" si="235">SUM(V305:V319)</f>
        <v>-312.54</v>
      </c>
      <c r="W304" s="281">
        <f t="shared" si="235"/>
        <v>0</v>
      </c>
      <c r="X304" s="281">
        <f t="shared" si="235"/>
        <v>0</v>
      </c>
      <c r="Y304" s="281">
        <f t="shared" si="235"/>
        <v>0.02</v>
      </c>
      <c r="Z304" s="281">
        <f t="shared" si="235"/>
        <v>0</v>
      </c>
      <c r="AA304" s="281">
        <f t="shared" si="235"/>
        <v>0</v>
      </c>
      <c r="AB304" s="281">
        <f t="shared" si="235"/>
        <v>-315.22</v>
      </c>
      <c r="AC304" s="281">
        <f t="shared" si="235"/>
        <v>0</v>
      </c>
      <c r="AD304" s="281">
        <f t="shared" ref="AD304" si="236">SUM(AD305:AD319)</f>
        <v>2.66</v>
      </c>
      <c r="AE304" s="281"/>
      <c r="AF304" s="281">
        <f t="shared" ref="AF304:AL304" si="237">SUM(AF305:AF319)</f>
        <v>-312.54</v>
      </c>
      <c r="AG304" s="281">
        <f t="shared" si="237"/>
        <v>2.68000000000002</v>
      </c>
      <c r="AH304" s="281">
        <f t="shared" si="237"/>
        <v>-284.17</v>
      </c>
      <c r="AI304" s="281">
        <f t="shared" si="237"/>
        <v>-31.05</v>
      </c>
      <c r="AJ304" s="281">
        <f t="shared" si="237"/>
        <v>0</v>
      </c>
      <c r="AK304" s="281">
        <f t="shared" si="237"/>
        <v>0</v>
      </c>
      <c r="AL304" s="308">
        <f t="shared" si="237"/>
        <v>339.8</v>
      </c>
      <c r="AM304" s="308">
        <f t="shared" ref="AM304:AZ304" si="238">SUM(AM305:AM319)</f>
        <v>84.6</v>
      </c>
      <c r="AN304" s="308">
        <f t="shared" si="238"/>
        <v>14</v>
      </c>
      <c r="AO304" s="308">
        <f t="shared" si="238"/>
        <v>28.16</v>
      </c>
      <c r="AP304" s="308">
        <f t="shared" si="238"/>
        <v>0</v>
      </c>
      <c r="AQ304" s="308">
        <f t="shared" si="238"/>
        <v>0</v>
      </c>
      <c r="AR304" s="308">
        <f t="shared" si="238"/>
        <v>70.78</v>
      </c>
      <c r="AS304" s="308">
        <f t="shared" si="238"/>
        <v>0</v>
      </c>
      <c r="AT304" s="308">
        <f t="shared" si="238"/>
        <v>142.26</v>
      </c>
      <c r="AU304" s="308">
        <f t="shared" si="238"/>
        <v>339.8</v>
      </c>
      <c r="AV304" s="308">
        <f t="shared" si="238"/>
        <v>269.02</v>
      </c>
      <c r="AW304" s="308">
        <f t="shared" si="238"/>
        <v>63.83</v>
      </c>
      <c r="AX304" s="308">
        <f t="shared" si="238"/>
        <v>6.95</v>
      </c>
      <c r="AY304" s="308">
        <f t="shared" si="238"/>
        <v>0</v>
      </c>
      <c r="AZ304" s="308">
        <f t="shared" si="238"/>
        <v>0</v>
      </c>
      <c r="BA304" s="309"/>
    </row>
    <row r="305" s="258" customFormat="1" ht="72" spans="1:53">
      <c r="A305" s="283">
        <v>298</v>
      </c>
      <c r="B305" s="284" t="s">
        <v>290</v>
      </c>
      <c r="C305" s="284" t="s">
        <v>196</v>
      </c>
      <c r="D305" s="284" t="s">
        <v>617</v>
      </c>
      <c r="E305" s="284" t="s">
        <v>618</v>
      </c>
      <c r="F305" s="285">
        <f t="shared" si="228"/>
        <v>125.82</v>
      </c>
      <c r="G305" s="285">
        <v>9.6</v>
      </c>
      <c r="H305" s="285"/>
      <c r="I305" s="285">
        <v>10.62</v>
      </c>
      <c r="J305" s="285"/>
      <c r="K305" s="285"/>
      <c r="L305" s="285"/>
      <c r="M305" s="285">
        <v>93</v>
      </c>
      <c r="N305" s="285">
        <v>12.6</v>
      </c>
      <c r="O305" s="285" t="s">
        <v>1181</v>
      </c>
      <c r="P305" s="285">
        <f t="shared" si="229"/>
        <v>125.82</v>
      </c>
      <c r="Q305" s="285">
        <v>32.82</v>
      </c>
      <c r="R305" s="285">
        <v>55</v>
      </c>
      <c r="S305" s="285">
        <v>38</v>
      </c>
      <c r="T305" s="285"/>
      <c r="U305" s="285"/>
      <c r="V305" s="298">
        <f t="shared" ref="V305:V319" si="239">SUM(W305:AD305)</f>
        <v>-74.56</v>
      </c>
      <c r="W305" s="298"/>
      <c r="X305" s="298"/>
      <c r="Y305" s="298"/>
      <c r="Z305" s="298"/>
      <c r="AA305" s="298"/>
      <c r="AB305" s="298">
        <f>-93+6.95+8.83</f>
        <v>-77.22</v>
      </c>
      <c r="AC305" s="298"/>
      <c r="AD305" s="298">
        <v>2.66</v>
      </c>
      <c r="AE305" s="285" t="s">
        <v>1182</v>
      </c>
      <c r="AF305" s="299">
        <f t="shared" si="230"/>
        <v>-74.56</v>
      </c>
      <c r="AG305" s="299">
        <f t="shared" ref="AG305:AG319" si="240">AV305-Q305</f>
        <v>2.66</v>
      </c>
      <c r="AH305" s="299">
        <f t="shared" ref="AH305:AH319" si="241">AW305-R305</f>
        <v>-46.17</v>
      </c>
      <c r="AI305" s="299">
        <f t="shared" ref="AI305:AI319" si="242">AX305-S305</f>
        <v>-31.05</v>
      </c>
      <c r="AJ305" s="299">
        <f t="shared" ref="AJ305:AJ319" si="243">AY305-T305</f>
        <v>0</v>
      </c>
      <c r="AK305" s="299">
        <f t="shared" ref="AK305:AK319" si="244">AZ305-U305</f>
        <v>0</v>
      </c>
      <c r="AL305" s="298">
        <f t="shared" ref="AL305:AL319" si="245">SUM(AM305:AT305)</f>
        <v>51.26</v>
      </c>
      <c r="AM305" s="298">
        <f t="shared" ref="AM305:AM319" si="246">G305+W305</f>
        <v>9.6</v>
      </c>
      <c r="AN305" s="298">
        <f t="shared" ref="AN305:AN319" si="247">H305+X305</f>
        <v>0</v>
      </c>
      <c r="AO305" s="298">
        <f t="shared" ref="AO305:AO319" si="248">I305+Y305</f>
        <v>10.62</v>
      </c>
      <c r="AP305" s="298">
        <f t="shared" ref="AP305:AP319" si="249">J305+Z305</f>
        <v>0</v>
      </c>
      <c r="AQ305" s="298">
        <f t="shared" ref="AQ305:AQ319" si="250">K305+AA305</f>
        <v>0</v>
      </c>
      <c r="AR305" s="298">
        <f t="shared" ref="AR305:AR319" si="251">M305+AB305</f>
        <v>15.78</v>
      </c>
      <c r="AS305" s="298">
        <f t="shared" si="199"/>
        <v>0</v>
      </c>
      <c r="AT305" s="298">
        <f t="shared" ref="AT305:AT319" si="252">N305+AD305</f>
        <v>15.26</v>
      </c>
      <c r="AU305" s="285">
        <f t="shared" si="232"/>
        <v>51.26</v>
      </c>
      <c r="AV305" s="285">
        <v>35.48</v>
      </c>
      <c r="AW305" s="285">
        <v>8.83</v>
      </c>
      <c r="AX305" s="285">
        <v>6.95</v>
      </c>
      <c r="AY305" s="285"/>
      <c r="AZ305" s="285"/>
      <c r="BA305" s="285"/>
    </row>
    <row r="306" s="258" customFormat="1" ht="24" spans="1:53">
      <c r="A306" s="283">
        <v>299</v>
      </c>
      <c r="B306" s="284" t="s">
        <v>290</v>
      </c>
      <c r="C306" s="284" t="s">
        <v>196</v>
      </c>
      <c r="D306" s="284" t="s">
        <v>619</v>
      </c>
      <c r="E306" s="284" t="s">
        <v>620</v>
      </c>
      <c r="F306" s="285">
        <f t="shared" si="228"/>
        <v>303.76</v>
      </c>
      <c r="G306" s="285">
        <v>5.6</v>
      </c>
      <c r="H306" s="285"/>
      <c r="I306" s="285">
        <v>5.16</v>
      </c>
      <c r="J306" s="285"/>
      <c r="K306" s="285"/>
      <c r="L306" s="285"/>
      <c r="M306" s="285">
        <v>293</v>
      </c>
      <c r="N306" s="285"/>
      <c r="O306" s="285"/>
      <c r="P306" s="285">
        <f t="shared" si="229"/>
        <v>303.76</v>
      </c>
      <c r="Q306" s="285">
        <v>10.76</v>
      </c>
      <c r="R306" s="285">
        <v>293</v>
      </c>
      <c r="S306" s="285"/>
      <c r="T306" s="285"/>
      <c r="U306" s="285"/>
      <c r="V306" s="298">
        <f t="shared" si="239"/>
        <v>-237.98</v>
      </c>
      <c r="W306" s="298"/>
      <c r="X306" s="298"/>
      <c r="Y306" s="298">
        <v>0.02</v>
      </c>
      <c r="Z306" s="298"/>
      <c r="AA306" s="298"/>
      <c r="AB306" s="298">
        <f>-293+55</f>
        <v>-238</v>
      </c>
      <c r="AC306" s="298"/>
      <c r="AD306" s="298"/>
      <c r="AE306" s="285" t="s">
        <v>1183</v>
      </c>
      <c r="AF306" s="299">
        <f t="shared" si="230"/>
        <v>-237.98</v>
      </c>
      <c r="AG306" s="299">
        <f t="shared" si="240"/>
        <v>0.0200000000000014</v>
      </c>
      <c r="AH306" s="299">
        <f t="shared" si="241"/>
        <v>-238</v>
      </c>
      <c r="AI306" s="299">
        <f t="shared" si="242"/>
        <v>0</v>
      </c>
      <c r="AJ306" s="299">
        <f t="shared" si="243"/>
        <v>0</v>
      </c>
      <c r="AK306" s="299">
        <f t="shared" si="244"/>
        <v>0</v>
      </c>
      <c r="AL306" s="298">
        <f t="shared" si="245"/>
        <v>65.78</v>
      </c>
      <c r="AM306" s="298">
        <f t="shared" si="246"/>
        <v>5.6</v>
      </c>
      <c r="AN306" s="298">
        <f t="shared" si="247"/>
        <v>0</v>
      </c>
      <c r="AO306" s="298">
        <f t="shared" si="248"/>
        <v>5.18</v>
      </c>
      <c r="AP306" s="298">
        <f t="shared" si="249"/>
        <v>0</v>
      </c>
      <c r="AQ306" s="298">
        <f t="shared" si="250"/>
        <v>0</v>
      </c>
      <c r="AR306" s="298">
        <f t="shared" si="251"/>
        <v>55</v>
      </c>
      <c r="AS306" s="298">
        <f t="shared" si="199"/>
        <v>0</v>
      </c>
      <c r="AT306" s="298">
        <f t="shared" si="252"/>
        <v>0</v>
      </c>
      <c r="AU306" s="298">
        <f t="shared" si="232"/>
        <v>65.78</v>
      </c>
      <c r="AV306" s="298">
        <v>10.78</v>
      </c>
      <c r="AW306" s="298">
        <v>55</v>
      </c>
      <c r="AX306" s="298"/>
      <c r="AY306" s="298"/>
      <c r="AZ306" s="298"/>
      <c r="BA306" s="285">
        <v>147</v>
      </c>
    </row>
    <row r="307" s="258" customFormat="1" ht="24" spans="1:53">
      <c r="A307" s="283">
        <v>300</v>
      </c>
      <c r="B307" s="284" t="s">
        <v>290</v>
      </c>
      <c r="C307" s="284" t="s">
        <v>196</v>
      </c>
      <c r="D307" s="284" t="s">
        <v>622</v>
      </c>
      <c r="E307" s="284" t="s">
        <v>620</v>
      </c>
      <c r="F307" s="285">
        <f t="shared" si="228"/>
        <v>28.36</v>
      </c>
      <c r="G307" s="285">
        <v>16</v>
      </c>
      <c r="H307" s="285"/>
      <c r="I307" s="285">
        <v>12.36</v>
      </c>
      <c r="J307" s="285"/>
      <c r="K307" s="285"/>
      <c r="L307" s="285"/>
      <c r="M307" s="285"/>
      <c r="N307" s="285"/>
      <c r="O307" s="285"/>
      <c r="P307" s="285">
        <f t="shared" si="229"/>
        <v>28.36</v>
      </c>
      <c r="Q307" s="285">
        <v>28.36</v>
      </c>
      <c r="R307" s="285"/>
      <c r="S307" s="285"/>
      <c r="T307" s="285"/>
      <c r="U307" s="285"/>
      <c r="V307" s="298">
        <f t="shared" si="239"/>
        <v>0</v>
      </c>
      <c r="W307" s="298"/>
      <c r="X307" s="298"/>
      <c r="Y307" s="298"/>
      <c r="Z307" s="298"/>
      <c r="AA307" s="298"/>
      <c r="AB307" s="298"/>
      <c r="AC307" s="298"/>
      <c r="AD307" s="298"/>
      <c r="AE307" s="285"/>
      <c r="AF307" s="299">
        <f t="shared" si="230"/>
        <v>0</v>
      </c>
      <c r="AG307" s="299">
        <f t="shared" si="240"/>
        <v>0</v>
      </c>
      <c r="AH307" s="299">
        <f t="shared" si="241"/>
        <v>0</v>
      </c>
      <c r="AI307" s="299">
        <f t="shared" si="242"/>
        <v>0</v>
      </c>
      <c r="AJ307" s="299">
        <f t="shared" si="243"/>
        <v>0</v>
      </c>
      <c r="AK307" s="299">
        <f t="shared" si="244"/>
        <v>0</v>
      </c>
      <c r="AL307" s="298">
        <f t="shared" si="245"/>
        <v>28.36</v>
      </c>
      <c r="AM307" s="298">
        <f t="shared" si="246"/>
        <v>16</v>
      </c>
      <c r="AN307" s="298">
        <f t="shared" si="247"/>
        <v>0</v>
      </c>
      <c r="AO307" s="298">
        <f t="shared" si="248"/>
        <v>12.36</v>
      </c>
      <c r="AP307" s="298">
        <f t="shared" si="249"/>
        <v>0</v>
      </c>
      <c r="AQ307" s="298">
        <f t="shared" si="250"/>
        <v>0</v>
      </c>
      <c r="AR307" s="298">
        <f t="shared" si="251"/>
        <v>0</v>
      </c>
      <c r="AS307" s="298">
        <f t="shared" si="199"/>
        <v>0</v>
      </c>
      <c r="AT307" s="298">
        <f t="shared" si="252"/>
        <v>0</v>
      </c>
      <c r="AU307" s="285">
        <f t="shared" si="232"/>
        <v>28.36</v>
      </c>
      <c r="AV307" s="285">
        <v>28.36</v>
      </c>
      <c r="AW307" s="285"/>
      <c r="AX307" s="285"/>
      <c r="AY307" s="285"/>
      <c r="AZ307" s="285"/>
      <c r="BA307" s="285"/>
    </row>
    <row r="308" s="258" customFormat="1" ht="24" spans="1:53">
      <c r="A308" s="283">
        <v>301</v>
      </c>
      <c r="B308" s="284" t="s">
        <v>290</v>
      </c>
      <c r="C308" s="284" t="s">
        <v>199</v>
      </c>
      <c r="D308" s="284" t="s">
        <v>623</v>
      </c>
      <c r="E308" s="284" t="s">
        <v>620</v>
      </c>
      <c r="F308" s="285">
        <f t="shared" si="228"/>
        <v>15</v>
      </c>
      <c r="G308" s="285">
        <v>15</v>
      </c>
      <c r="H308" s="285"/>
      <c r="I308" s="285"/>
      <c r="J308" s="285"/>
      <c r="K308" s="285"/>
      <c r="L308" s="285"/>
      <c r="M308" s="285"/>
      <c r="N308" s="285"/>
      <c r="O308" s="285"/>
      <c r="P308" s="285">
        <f t="shared" si="229"/>
        <v>15</v>
      </c>
      <c r="Q308" s="285">
        <v>15</v>
      </c>
      <c r="R308" s="285"/>
      <c r="S308" s="285"/>
      <c r="T308" s="285"/>
      <c r="U308" s="285"/>
      <c r="V308" s="298">
        <f t="shared" si="239"/>
        <v>0</v>
      </c>
      <c r="W308" s="298"/>
      <c r="X308" s="298"/>
      <c r="Y308" s="298"/>
      <c r="Z308" s="298"/>
      <c r="AA308" s="298"/>
      <c r="AB308" s="298"/>
      <c r="AC308" s="298"/>
      <c r="AD308" s="298"/>
      <c r="AE308" s="285"/>
      <c r="AF308" s="299">
        <f t="shared" si="230"/>
        <v>0</v>
      </c>
      <c r="AG308" s="299">
        <f t="shared" si="240"/>
        <v>0</v>
      </c>
      <c r="AH308" s="299">
        <f t="shared" si="241"/>
        <v>0</v>
      </c>
      <c r="AI308" s="299">
        <f t="shared" si="242"/>
        <v>0</v>
      </c>
      <c r="AJ308" s="299">
        <f t="shared" si="243"/>
        <v>0</v>
      </c>
      <c r="AK308" s="299">
        <f t="shared" si="244"/>
        <v>0</v>
      </c>
      <c r="AL308" s="298">
        <f t="shared" si="245"/>
        <v>15</v>
      </c>
      <c r="AM308" s="298">
        <f t="shared" si="246"/>
        <v>15</v>
      </c>
      <c r="AN308" s="298">
        <f t="shared" si="247"/>
        <v>0</v>
      </c>
      <c r="AO308" s="298">
        <f t="shared" si="248"/>
        <v>0</v>
      </c>
      <c r="AP308" s="298">
        <f t="shared" si="249"/>
        <v>0</v>
      </c>
      <c r="AQ308" s="298">
        <f t="shared" si="250"/>
        <v>0</v>
      </c>
      <c r="AR308" s="298">
        <f t="shared" si="251"/>
        <v>0</v>
      </c>
      <c r="AS308" s="298">
        <f t="shared" si="199"/>
        <v>0</v>
      </c>
      <c r="AT308" s="298">
        <f t="shared" si="252"/>
        <v>0</v>
      </c>
      <c r="AU308" s="285">
        <f t="shared" si="232"/>
        <v>15</v>
      </c>
      <c r="AV308" s="285">
        <v>15</v>
      </c>
      <c r="AW308" s="285"/>
      <c r="AX308" s="285"/>
      <c r="AY308" s="285"/>
      <c r="AZ308" s="285"/>
      <c r="BA308" s="285"/>
    </row>
    <row r="309" s="258" customFormat="1" ht="24" spans="1:53">
      <c r="A309" s="283">
        <v>302</v>
      </c>
      <c r="B309" s="284" t="s">
        <v>290</v>
      </c>
      <c r="C309" s="284" t="s">
        <v>199</v>
      </c>
      <c r="D309" s="284" t="s">
        <v>624</v>
      </c>
      <c r="E309" s="284" t="s">
        <v>620</v>
      </c>
      <c r="F309" s="285">
        <f t="shared" si="228"/>
        <v>1.2</v>
      </c>
      <c r="G309" s="285">
        <v>1.2</v>
      </c>
      <c r="H309" s="285"/>
      <c r="I309" s="285"/>
      <c r="J309" s="285"/>
      <c r="K309" s="285"/>
      <c r="L309" s="285"/>
      <c r="M309" s="285"/>
      <c r="N309" s="285"/>
      <c r="O309" s="285"/>
      <c r="P309" s="285">
        <f t="shared" si="229"/>
        <v>1.2</v>
      </c>
      <c r="Q309" s="285">
        <v>1.2</v>
      </c>
      <c r="R309" s="285"/>
      <c r="S309" s="285"/>
      <c r="T309" s="285"/>
      <c r="U309" s="285"/>
      <c r="V309" s="298">
        <f t="shared" si="239"/>
        <v>0</v>
      </c>
      <c r="W309" s="298"/>
      <c r="X309" s="298"/>
      <c r="Y309" s="298"/>
      <c r="Z309" s="298"/>
      <c r="AA309" s="298"/>
      <c r="AB309" s="298"/>
      <c r="AC309" s="298"/>
      <c r="AD309" s="298"/>
      <c r="AE309" s="285"/>
      <c r="AF309" s="299">
        <f t="shared" si="230"/>
        <v>0</v>
      </c>
      <c r="AG309" s="299">
        <f t="shared" si="240"/>
        <v>0</v>
      </c>
      <c r="AH309" s="299">
        <f t="shared" si="241"/>
        <v>0</v>
      </c>
      <c r="AI309" s="299">
        <f t="shared" si="242"/>
        <v>0</v>
      </c>
      <c r="AJ309" s="299">
        <f t="shared" si="243"/>
        <v>0</v>
      </c>
      <c r="AK309" s="299">
        <f t="shared" si="244"/>
        <v>0</v>
      </c>
      <c r="AL309" s="298">
        <f t="shared" si="245"/>
        <v>1.2</v>
      </c>
      <c r="AM309" s="298">
        <f t="shared" si="246"/>
        <v>1.2</v>
      </c>
      <c r="AN309" s="298">
        <f t="shared" si="247"/>
        <v>0</v>
      </c>
      <c r="AO309" s="298">
        <f t="shared" si="248"/>
        <v>0</v>
      </c>
      <c r="AP309" s="298">
        <f t="shared" si="249"/>
        <v>0</v>
      </c>
      <c r="AQ309" s="298">
        <f t="shared" si="250"/>
        <v>0</v>
      </c>
      <c r="AR309" s="298">
        <f t="shared" si="251"/>
        <v>0</v>
      </c>
      <c r="AS309" s="298">
        <f t="shared" si="199"/>
        <v>0</v>
      </c>
      <c r="AT309" s="298">
        <f t="shared" si="252"/>
        <v>0</v>
      </c>
      <c r="AU309" s="285">
        <f t="shared" si="232"/>
        <v>1.2</v>
      </c>
      <c r="AV309" s="285">
        <v>1.2</v>
      </c>
      <c r="AW309" s="285"/>
      <c r="AX309" s="285"/>
      <c r="AY309" s="285"/>
      <c r="AZ309" s="285"/>
      <c r="BA309" s="285"/>
    </row>
    <row r="310" s="258" customFormat="1" ht="24" spans="1:53">
      <c r="A310" s="283">
        <v>303</v>
      </c>
      <c r="B310" s="284" t="s">
        <v>290</v>
      </c>
      <c r="C310" s="284" t="s">
        <v>199</v>
      </c>
      <c r="D310" s="284" t="s">
        <v>625</v>
      </c>
      <c r="E310" s="284" t="s">
        <v>620</v>
      </c>
      <c r="F310" s="285">
        <f t="shared" si="228"/>
        <v>2.4</v>
      </c>
      <c r="G310" s="285">
        <v>2.4</v>
      </c>
      <c r="H310" s="285"/>
      <c r="I310" s="285"/>
      <c r="J310" s="285"/>
      <c r="K310" s="285"/>
      <c r="L310" s="285"/>
      <c r="M310" s="285"/>
      <c r="N310" s="285"/>
      <c r="O310" s="285"/>
      <c r="P310" s="285">
        <f t="shared" si="229"/>
        <v>2.4</v>
      </c>
      <c r="Q310" s="285">
        <v>2.4</v>
      </c>
      <c r="R310" s="285"/>
      <c r="S310" s="285"/>
      <c r="T310" s="285"/>
      <c r="U310" s="285"/>
      <c r="V310" s="298">
        <f t="shared" si="239"/>
        <v>0</v>
      </c>
      <c r="W310" s="298"/>
      <c r="X310" s="298"/>
      <c r="Y310" s="298"/>
      <c r="Z310" s="298"/>
      <c r="AA310" s="298"/>
      <c r="AB310" s="298"/>
      <c r="AC310" s="298"/>
      <c r="AD310" s="298"/>
      <c r="AE310" s="285"/>
      <c r="AF310" s="299">
        <f t="shared" si="230"/>
        <v>0</v>
      </c>
      <c r="AG310" s="299">
        <f t="shared" si="240"/>
        <v>0</v>
      </c>
      <c r="AH310" s="299">
        <f t="shared" si="241"/>
        <v>0</v>
      </c>
      <c r="AI310" s="299">
        <f t="shared" si="242"/>
        <v>0</v>
      </c>
      <c r="AJ310" s="299">
        <f t="shared" si="243"/>
        <v>0</v>
      </c>
      <c r="AK310" s="299">
        <f t="shared" si="244"/>
        <v>0</v>
      </c>
      <c r="AL310" s="298">
        <f t="shared" si="245"/>
        <v>2.4</v>
      </c>
      <c r="AM310" s="298">
        <f t="shared" si="246"/>
        <v>2.4</v>
      </c>
      <c r="AN310" s="298">
        <f t="shared" si="247"/>
        <v>0</v>
      </c>
      <c r="AO310" s="298">
        <f t="shared" si="248"/>
        <v>0</v>
      </c>
      <c r="AP310" s="298">
        <f t="shared" si="249"/>
        <v>0</v>
      </c>
      <c r="AQ310" s="298">
        <f t="shared" si="250"/>
        <v>0</v>
      </c>
      <c r="AR310" s="298">
        <f t="shared" si="251"/>
        <v>0</v>
      </c>
      <c r="AS310" s="298">
        <f t="shared" si="199"/>
        <v>0</v>
      </c>
      <c r="AT310" s="298">
        <f t="shared" si="252"/>
        <v>0</v>
      </c>
      <c r="AU310" s="285">
        <f t="shared" si="232"/>
        <v>2.4</v>
      </c>
      <c r="AV310" s="285">
        <v>2.4</v>
      </c>
      <c r="AW310" s="285"/>
      <c r="AX310" s="285"/>
      <c r="AY310" s="285"/>
      <c r="AZ310" s="285"/>
      <c r="BA310" s="285"/>
    </row>
    <row r="311" s="258" customFormat="1" ht="48" spans="1:53">
      <c r="A311" s="283">
        <v>304</v>
      </c>
      <c r="B311" s="284" t="s">
        <v>290</v>
      </c>
      <c r="C311" s="284" t="s">
        <v>199</v>
      </c>
      <c r="D311" s="284" t="s">
        <v>626</v>
      </c>
      <c r="E311" s="284" t="s">
        <v>627</v>
      </c>
      <c r="F311" s="285">
        <f t="shared" si="228"/>
        <v>3.6</v>
      </c>
      <c r="G311" s="285">
        <v>3.6</v>
      </c>
      <c r="H311" s="285"/>
      <c r="I311" s="285"/>
      <c r="J311" s="285"/>
      <c r="K311" s="285"/>
      <c r="L311" s="285"/>
      <c r="M311" s="285"/>
      <c r="N311" s="285"/>
      <c r="O311" s="310"/>
      <c r="P311" s="285">
        <f t="shared" si="229"/>
        <v>3.6</v>
      </c>
      <c r="Q311" s="285">
        <v>3.6</v>
      </c>
      <c r="R311" s="285"/>
      <c r="S311" s="285"/>
      <c r="T311" s="285"/>
      <c r="U311" s="285"/>
      <c r="V311" s="298">
        <f t="shared" si="239"/>
        <v>0</v>
      </c>
      <c r="W311" s="298"/>
      <c r="X311" s="298"/>
      <c r="Y311" s="298"/>
      <c r="Z311" s="298"/>
      <c r="AA311" s="298"/>
      <c r="AB311" s="298"/>
      <c r="AC311" s="298"/>
      <c r="AD311" s="298"/>
      <c r="AE311" s="285"/>
      <c r="AF311" s="299">
        <f t="shared" si="230"/>
        <v>0</v>
      </c>
      <c r="AG311" s="299">
        <f t="shared" si="240"/>
        <v>0</v>
      </c>
      <c r="AH311" s="299">
        <f t="shared" si="241"/>
        <v>0</v>
      </c>
      <c r="AI311" s="299">
        <f t="shared" si="242"/>
        <v>0</v>
      </c>
      <c r="AJ311" s="299">
        <f t="shared" si="243"/>
        <v>0</v>
      </c>
      <c r="AK311" s="299">
        <f t="shared" si="244"/>
        <v>0</v>
      </c>
      <c r="AL311" s="298">
        <f t="shared" si="245"/>
        <v>3.6</v>
      </c>
      <c r="AM311" s="298">
        <f t="shared" si="246"/>
        <v>3.6</v>
      </c>
      <c r="AN311" s="298">
        <f t="shared" si="247"/>
        <v>0</v>
      </c>
      <c r="AO311" s="298">
        <f t="shared" si="248"/>
        <v>0</v>
      </c>
      <c r="AP311" s="298">
        <f t="shared" si="249"/>
        <v>0</v>
      </c>
      <c r="AQ311" s="298">
        <f t="shared" si="250"/>
        <v>0</v>
      </c>
      <c r="AR311" s="298">
        <f t="shared" si="251"/>
        <v>0</v>
      </c>
      <c r="AS311" s="298">
        <f t="shared" si="199"/>
        <v>0</v>
      </c>
      <c r="AT311" s="298">
        <f t="shared" si="252"/>
        <v>0</v>
      </c>
      <c r="AU311" s="285">
        <f t="shared" si="232"/>
        <v>3.6</v>
      </c>
      <c r="AV311" s="285">
        <v>3.6</v>
      </c>
      <c r="AW311" s="285"/>
      <c r="AX311" s="285"/>
      <c r="AY311" s="285"/>
      <c r="AZ311" s="285"/>
      <c r="BA311" s="285"/>
    </row>
    <row r="312" s="258" customFormat="1" ht="48" spans="1:53">
      <c r="A312" s="283">
        <v>305</v>
      </c>
      <c r="B312" s="284" t="s">
        <v>290</v>
      </c>
      <c r="C312" s="284" t="s">
        <v>199</v>
      </c>
      <c r="D312" s="284" t="s">
        <v>628</v>
      </c>
      <c r="E312" s="284" t="s">
        <v>629</v>
      </c>
      <c r="F312" s="285">
        <f t="shared" si="228"/>
        <v>1.8</v>
      </c>
      <c r="G312" s="285">
        <v>1.8</v>
      </c>
      <c r="H312" s="285"/>
      <c r="I312" s="285"/>
      <c r="J312" s="285"/>
      <c r="K312" s="285"/>
      <c r="L312" s="285"/>
      <c r="M312" s="285"/>
      <c r="N312" s="285"/>
      <c r="O312" s="285"/>
      <c r="P312" s="285">
        <f t="shared" si="229"/>
        <v>1.8</v>
      </c>
      <c r="Q312" s="285">
        <v>1.8</v>
      </c>
      <c r="R312" s="285"/>
      <c r="S312" s="285"/>
      <c r="T312" s="285"/>
      <c r="U312" s="285"/>
      <c r="V312" s="298">
        <f t="shared" si="239"/>
        <v>0</v>
      </c>
      <c r="W312" s="298"/>
      <c r="X312" s="298"/>
      <c r="Y312" s="298"/>
      <c r="Z312" s="298"/>
      <c r="AA312" s="298"/>
      <c r="AB312" s="298"/>
      <c r="AC312" s="298"/>
      <c r="AD312" s="298"/>
      <c r="AE312" s="285"/>
      <c r="AF312" s="299">
        <f t="shared" si="230"/>
        <v>0</v>
      </c>
      <c r="AG312" s="299">
        <f t="shared" si="240"/>
        <v>0</v>
      </c>
      <c r="AH312" s="299">
        <f t="shared" si="241"/>
        <v>0</v>
      </c>
      <c r="AI312" s="299">
        <f t="shared" si="242"/>
        <v>0</v>
      </c>
      <c r="AJ312" s="299">
        <f t="shared" si="243"/>
        <v>0</v>
      </c>
      <c r="AK312" s="299">
        <f t="shared" si="244"/>
        <v>0</v>
      </c>
      <c r="AL312" s="298">
        <f t="shared" si="245"/>
        <v>1.8</v>
      </c>
      <c r="AM312" s="298">
        <f t="shared" si="246"/>
        <v>1.8</v>
      </c>
      <c r="AN312" s="298">
        <f t="shared" si="247"/>
        <v>0</v>
      </c>
      <c r="AO312" s="298">
        <f t="shared" si="248"/>
        <v>0</v>
      </c>
      <c r="AP312" s="298">
        <f t="shared" si="249"/>
        <v>0</v>
      </c>
      <c r="AQ312" s="298">
        <f t="shared" si="250"/>
        <v>0</v>
      </c>
      <c r="AR312" s="298">
        <f t="shared" si="251"/>
        <v>0</v>
      </c>
      <c r="AS312" s="298">
        <f t="shared" ref="AS312:AS343" si="253">AC312</f>
        <v>0</v>
      </c>
      <c r="AT312" s="298">
        <f t="shared" si="252"/>
        <v>0</v>
      </c>
      <c r="AU312" s="285">
        <f t="shared" si="232"/>
        <v>1.8</v>
      </c>
      <c r="AV312" s="285">
        <v>1.8</v>
      </c>
      <c r="AW312" s="285"/>
      <c r="AX312" s="285"/>
      <c r="AY312" s="285"/>
      <c r="AZ312" s="285"/>
      <c r="BA312" s="285"/>
    </row>
    <row r="313" s="258" customFormat="1" ht="48" spans="1:53">
      <c r="A313" s="283">
        <v>306</v>
      </c>
      <c r="B313" s="284" t="s">
        <v>290</v>
      </c>
      <c r="C313" s="284" t="s">
        <v>199</v>
      </c>
      <c r="D313" s="284" t="s">
        <v>630</v>
      </c>
      <c r="E313" s="284" t="s">
        <v>629</v>
      </c>
      <c r="F313" s="285">
        <f t="shared" si="228"/>
        <v>6.2</v>
      </c>
      <c r="G313" s="285">
        <v>4.2</v>
      </c>
      <c r="H313" s="285">
        <v>2</v>
      </c>
      <c r="I313" s="285"/>
      <c r="J313" s="285"/>
      <c r="K313" s="285"/>
      <c r="L313" s="285"/>
      <c r="M313" s="285"/>
      <c r="N313" s="285"/>
      <c r="O313" s="285"/>
      <c r="P313" s="285">
        <f t="shared" si="229"/>
        <v>6.2</v>
      </c>
      <c r="Q313" s="285">
        <v>6.2</v>
      </c>
      <c r="R313" s="285"/>
      <c r="S313" s="285"/>
      <c r="T313" s="285"/>
      <c r="U313" s="285"/>
      <c r="V313" s="298">
        <f t="shared" si="239"/>
        <v>0</v>
      </c>
      <c r="W313" s="298"/>
      <c r="X313" s="298"/>
      <c r="Y313" s="298"/>
      <c r="Z313" s="298"/>
      <c r="AA313" s="298"/>
      <c r="AB313" s="298"/>
      <c r="AC313" s="298"/>
      <c r="AD313" s="298"/>
      <c r="AE313" s="285"/>
      <c r="AF313" s="299">
        <f t="shared" si="230"/>
        <v>0</v>
      </c>
      <c r="AG313" s="299">
        <f t="shared" si="240"/>
        <v>0</v>
      </c>
      <c r="AH313" s="299">
        <f t="shared" si="241"/>
        <v>0</v>
      </c>
      <c r="AI313" s="299">
        <f t="shared" si="242"/>
        <v>0</v>
      </c>
      <c r="AJ313" s="299">
        <f t="shared" si="243"/>
        <v>0</v>
      </c>
      <c r="AK313" s="299">
        <f t="shared" si="244"/>
        <v>0</v>
      </c>
      <c r="AL313" s="298">
        <f t="shared" si="245"/>
        <v>6.2</v>
      </c>
      <c r="AM313" s="298">
        <f t="shared" si="246"/>
        <v>4.2</v>
      </c>
      <c r="AN313" s="298">
        <f t="shared" si="247"/>
        <v>2</v>
      </c>
      <c r="AO313" s="298">
        <f t="shared" si="248"/>
        <v>0</v>
      </c>
      <c r="AP313" s="298">
        <f t="shared" si="249"/>
        <v>0</v>
      </c>
      <c r="AQ313" s="298">
        <f t="shared" si="250"/>
        <v>0</v>
      </c>
      <c r="AR313" s="298">
        <f t="shared" si="251"/>
        <v>0</v>
      </c>
      <c r="AS313" s="298">
        <f t="shared" si="253"/>
        <v>0</v>
      </c>
      <c r="AT313" s="298">
        <f t="shared" si="252"/>
        <v>0</v>
      </c>
      <c r="AU313" s="285">
        <f t="shared" si="232"/>
        <v>6.2</v>
      </c>
      <c r="AV313" s="285">
        <v>6.2</v>
      </c>
      <c r="AW313" s="285"/>
      <c r="AX313" s="285"/>
      <c r="AY313" s="285"/>
      <c r="AZ313" s="285"/>
      <c r="BA313" s="285">
        <v>298.3953</v>
      </c>
    </row>
    <row r="314" s="258" customFormat="1" ht="48" spans="1:53">
      <c r="A314" s="283">
        <v>307</v>
      </c>
      <c r="B314" s="284" t="s">
        <v>290</v>
      </c>
      <c r="C314" s="284" t="s">
        <v>199</v>
      </c>
      <c r="D314" s="284" t="s">
        <v>631</v>
      </c>
      <c r="E314" s="284" t="s">
        <v>629</v>
      </c>
      <c r="F314" s="285">
        <f t="shared" si="228"/>
        <v>5.6</v>
      </c>
      <c r="G314" s="285">
        <v>3.6</v>
      </c>
      <c r="H314" s="285">
        <v>2</v>
      </c>
      <c r="I314" s="285"/>
      <c r="J314" s="285"/>
      <c r="K314" s="285"/>
      <c r="L314" s="285"/>
      <c r="M314" s="285"/>
      <c r="N314" s="285"/>
      <c r="O314" s="285"/>
      <c r="P314" s="285">
        <f t="shared" si="229"/>
        <v>5.6</v>
      </c>
      <c r="Q314" s="285">
        <v>5.6</v>
      </c>
      <c r="R314" s="285"/>
      <c r="S314" s="285"/>
      <c r="T314" s="285"/>
      <c r="U314" s="285"/>
      <c r="V314" s="298">
        <f t="shared" si="239"/>
        <v>0</v>
      </c>
      <c r="W314" s="298"/>
      <c r="X314" s="298"/>
      <c r="Y314" s="298"/>
      <c r="Z314" s="298"/>
      <c r="AA314" s="298"/>
      <c r="AB314" s="298"/>
      <c r="AC314" s="298"/>
      <c r="AD314" s="298"/>
      <c r="AE314" s="285"/>
      <c r="AF314" s="299">
        <f t="shared" si="230"/>
        <v>2.30926389122033e-14</v>
      </c>
      <c r="AG314" s="299">
        <f t="shared" si="240"/>
        <v>2.30926389122033e-14</v>
      </c>
      <c r="AH314" s="299">
        <f t="shared" si="241"/>
        <v>0</v>
      </c>
      <c r="AI314" s="299">
        <f t="shared" si="242"/>
        <v>0</v>
      </c>
      <c r="AJ314" s="299">
        <f t="shared" si="243"/>
        <v>0</v>
      </c>
      <c r="AK314" s="299">
        <f t="shared" si="244"/>
        <v>0</v>
      </c>
      <c r="AL314" s="298">
        <f t="shared" si="245"/>
        <v>5.6</v>
      </c>
      <c r="AM314" s="298">
        <f t="shared" si="246"/>
        <v>3.6</v>
      </c>
      <c r="AN314" s="298">
        <f t="shared" si="247"/>
        <v>2</v>
      </c>
      <c r="AO314" s="298">
        <f t="shared" si="248"/>
        <v>0</v>
      </c>
      <c r="AP314" s="298">
        <f t="shared" si="249"/>
        <v>0</v>
      </c>
      <c r="AQ314" s="298">
        <f t="shared" si="250"/>
        <v>0</v>
      </c>
      <c r="AR314" s="298">
        <f t="shared" si="251"/>
        <v>0</v>
      </c>
      <c r="AS314" s="298">
        <f t="shared" si="253"/>
        <v>0</v>
      </c>
      <c r="AT314" s="298">
        <f t="shared" si="252"/>
        <v>0</v>
      </c>
      <c r="AU314" s="298">
        <f t="shared" si="232"/>
        <v>5.60000000000002</v>
      </c>
      <c r="AV314" s="298">
        <v>5.60000000000002</v>
      </c>
      <c r="AW314" s="298"/>
      <c r="AX314" s="298"/>
      <c r="AY314" s="298"/>
      <c r="AZ314" s="298"/>
      <c r="BA314" s="285">
        <v>161.054038</v>
      </c>
    </row>
    <row r="315" s="258" customFormat="1" ht="36" spans="1:53">
      <c r="A315" s="283">
        <v>308</v>
      </c>
      <c r="B315" s="284" t="s">
        <v>290</v>
      </c>
      <c r="C315" s="284" t="s">
        <v>199</v>
      </c>
      <c r="D315" s="284" t="s">
        <v>632</v>
      </c>
      <c r="E315" s="284" t="s">
        <v>633</v>
      </c>
      <c r="F315" s="285">
        <f t="shared" si="228"/>
        <v>7.8</v>
      </c>
      <c r="G315" s="285">
        <v>7.8</v>
      </c>
      <c r="H315" s="285"/>
      <c r="I315" s="285"/>
      <c r="J315" s="285"/>
      <c r="K315" s="285"/>
      <c r="L315" s="285"/>
      <c r="M315" s="285"/>
      <c r="N315" s="285"/>
      <c r="O315" s="310"/>
      <c r="P315" s="285">
        <f t="shared" si="229"/>
        <v>7.8</v>
      </c>
      <c r="Q315" s="285">
        <v>7.8</v>
      </c>
      <c r="R315" s="285"/>
      <c r="S315" s="285"/>
      <c r="T315" s="285"/>
      <c r="U315" s="285"/>
      <c r="V315" s="298">
        <f t="shared" si="239"/>
        <v>0</v>
      </c>
      <c r="W315" s="298"/>
      <c r="X315" s="298"/>
      <c r="Y315" s="298"/>
      <c r="Z315" s="298"/>
      <c r="AA315" s="298"/>
      <c r="AB315" s="298"/>
      <c r="AC315" s="298"/>
      <c r="AD315" s="298"/>
      <c r="AE315" s="285"/>
      <c r="AF315" s="299">
        <f t="shared" si="230"/>
        <v>0</v>
      </c>
      <c r="AG315" s="299">
        <f t="shared" si="240"/>
        <v>0</v>
      </c>
      <c r="AH315" s="299">
        <f t="shared" si="241"/>
        <v>0</v>
      </c>
      <c r="AI315" s="299">
        <f t="shared" si="242"/>
        <v>0</v>
      </c>
      <c r="AJ315" s="299">
        <f t="shared" si="243"/>
        <v>0</v>
      </c>
      <c r="AK315" s="299">
        <f t="shared" si="244"/>
        <v>0</v>
      </c>
      <c r="AL315" s="298">
        <f t="shared" si="245"/>
        <v>7.8</v>
      </c>
      <c r="AM315" s="298">
        <f t="shared" si="246"/>
        <v>7.8</v>
      </c>
      <c r="AN315" s="298">
        <f t="shared" si="247"/>
        <v>0</v>
      </c>
      <c r="AO315" s="298">
        <f t="shared" si="248"/>
        <v>0</v>
      </c>
      <c r="AP315" s="298">
        <f t="shared" si="249"/>
        <v>0</v>
      </c>
      <c r="AQ315" s="298">
        <f t="shared" si="250"/>
        <v>0</v>
      </c>
      <c r="AR315" s="298">
        <f t="shared" si="251"/>
        <v>0</v>
      </c>
      <c r="AS315" s="298">
        <f t="shared" si="253"/>
        <v>0</v>
      </c>
      <c r="AT315" s="298">
        <f t="shared" si="252"/>
        <v>0</v>
      </c>
      <c r="AU315" s="285">
        <f t="shared" si="232"/>
        <v>7.8</v>
      </c>
      <c r="AV315" s="285">
        <v>7.8</v>
      </c>
      <c r="AW315" s="285"/>
      <c r="AX315" s="285"/>
      <c r="AY315" s="285"/>
      <c r="AZ315" s="285"/>
      <c r="BA315" s="285"/>
    </row>
    <row r="316" s="258" customFormat="1" ht="48" spans="1:53">
      <c r="A316" s="283">
        <v>309</v>
      </c>
      <c r="B316" s="284" t="s">
        <v>290</v>
      </c>
      <c r="C316" s="284" t="s">
        <v>199</v>
      </c>
      <c r="D316" s="284" t="s">
        <v>634</v>
      </c>
      <c r="E316" s="284" t="s">
        <v>635</v>
      </c>
      <c r="F316" s="285">
        <f t="shared" si="228"/>
        <v>70.6</v>
      </c>
      <c r="G316" s="285">
        <v>3.6</v>
      </c>
      <c r="H316" s="285"/>
      <c r="I316" s="285"/>
      <c r="J316" s="285"/>
      <c r="K316" s="285"/>
      <c r="L316" s="285"/>
      <c r="M316" s="285"/>
      <c r="N316" s="285">
        <v>67</v>
      </c>
      <c r="O316" s="285" t="s">
        <v>1184</v>
      </c>
      <c r="P316" s="285">
        <f t="shared" si="229"/>
        <v>70.6</v>
      </c>
      <c r="Q316" s="285">
        <v>70.6</v>
      </c>
      <c r="R316" s="285"/>
      <c r="S316" s="285"/>
      <c r="T316" s="285"/>
      <c r="U316" s="285"/>
      <c r="V316" s="298">
        <f t="shared" si="239"/>
        <v>0</v>
      </c>
      <c r="W316" s="298"/>
      <c r="X316" s="298"/>
      <c r="Y316" s="298"/>
      <c r="Z316" s="298"/>
      <c r="AA316" s="298"/>
      <c r="AB316" s="298"/>
      <c r="AC316" s="298"/>
      <c r="AD316" s="298"/>
      <c r="AE316" s="285"/>
      <c r="AF316" s="299">
        <f t="shared" si="230"/>
        <v>0</v>
      </c>
      <c r="AG316" s="299">
        <f t="shared" si="240"/>
        <v>0</v>
      </c>
      <c r="AH316" s="299">
        <f t="shared" si="241"/>
        <v>0</v>
      </c>
      <c r="AI316" s="299">
        <f t="shared" si="242"/>
        <v>0</v>
      </c>
      <c r="AJ316" s="299">
        <f t="shared" si="243"/>
        <v>0</v>
      </c>
      <c r="AK316" s="299">
        <f t="shared" si="244"/>
        <v>0</v>
      </c>
      <c r="AL316" s="298">
        <f t="shared" si="245"/>
        <v>70.6</v>
      </c>
      <c r="AM316" s="298">
        <f t="shared" si="246"/>
        <v>3.6</v>
      </c>
      <c r="AN316" s="298">
        <f t="shared" si="247"/>
        <v>0</v>
      </c>
      <c r="AO316" s="298">
        <f t="shared" si="248"/>
        <v>0</v>
      </c>
      <c r="AP316" s="298">
        <f t="shared" si="249"/>
        <v>0</v>
      </c>
      <c r="AQ316" s="298">
        <f t="shared" si="250"/>
        <v>0</v>
      </c>
      <c r="AR316" s="298">
        <f t="shared" si="251"/>
        <v>0</v>
      </c>
      <c r="AS316" s="298">
        <f t="shared" si="253"/>
        <v>0</v>
      </c>
      <c r="AT316" s="298">
        <f t="shared" si="252"/>
        <v>67</v>
      </c>
      <c r="AU316" s="285">
        <f t="shared" si="232"/>
        <v>70.6</v>
      </c>
      <c r="AV316" s="285">
        <v>70.6</v>
      </c>
      <c r="AW316" s="285"/>
      <c r="AX316" s="285"/>
      <c r="AY316" s="285"/>
      <c r="AZ316" s="285"/>
      <c r="BA316" s="285"/>
    </row>
    <row r="317" s="258" customFormat="1" ht="36" spans="1:53">
      <c r="A317" s="283">
        <v>310</v>
      </c>
      <c r="B317" s="284" t="s">
        <v>290</v>
      </c>
      <c r="C317" s="284" t="s">
        <v>199</v>
      </c>
      <c r="D317" s="284" t="s">
        <v>636</v>
      </c>
      <c r="E317" s="284" t="s">
        <v>635</v>
      </c>
      <c r="F317" s="285">
        <f t="shared" si="228"/>
        <v>61.6</v>
      </c>
      <c r="G317" s="285">
        <v>3.6</v>
      </c>
      <c r="H317" s="285">
        <v>8</v>
      </c>
      <c r="I317" s="285"/>
      <c r="J317" s="285"/>
      <c r="K317" s="285"/>
      <c r="L317" s="285"/>
      <c r="M317" s="285"/>
      <c r="N317" s="285">
        <v>50</v>
      </c>
      <c r="O317" s="285" t="s">
        <v>1185</v>
      </c>
      <c r="P317" s="285">
        <f t="shared" si="229"/>
        <v>61.6</v>
      </c>
      <c r="Q317" s="285">
        <v>61.6</v>
      </c>
      <c r="R317" s="285"/>
      <c r="S317" s="285"/>
      <c r="T317" s="285"/>
      <c r="U317" s="285"/>
      <c r="V317" s="298">
        <f t="shared" si="239"/>
        <v>0</v>
      </c>
      <c r="W317" s="298"/>
      <c r="X317" s="298"/>
      <c r="Y317" s="298"/>
      <c r="Z317" s="298"/>
      <c r="AA317" s="298"/>
      <c r="AB317" s="298"/>
      <c r="AC317" s="298"/>
      <c r="AD317" s="298"/>
      <c r="AE317" s="285"/>
      <c r="AF317" s="299">
        <f t="shared" si="230"/>
        <v>0</v>
      </c>
      <c r="AG317" s="299">
        <f t="shared" si="240"/>
        <v>0</v>
      </c>
      <c r="AH317" s="299">
        <f t="shared" si="241"/>
        <v>0</v>
      </c>
      <c r="AI317" s="299">
        <f t="shared" si="242"/>
        <v>0</v>
      </c>
      <c r="AJ317" s="299">
        <f t="shared" si="243"/>
        <v>0</v>
      </c>
      <c r="AK317" s="299">
        <f t="shared" si="244"/>
        <v>0</v>
      </c>
      <c r="AL317" s="298">
        <f t="shared" si="245"/>
        <v>61.6</v>
      </c>
      <c r="AM317" s="298">
        <f t="shared" si="246"/>
        <v>3.6</v>
      </c>
      <c r="AN317" s="298">
        <f t="shared" si="247"/>
        <v>8</v>
      </c>
      <c r="AO317" s="298">
        <f t="shared" si="248"/>
        <v>0</v>
      </c>
      <c r="AP317" s="298">
        <f t="shared" si="249"/>
        <v>0</v>
      </c>
      <c r="AQ317" s="298">
        <f t="shared" si="250"/>
        <v>0</v>
      </c>
      <c r="AR317" s="298">
        <f t="shared" si="251"/>
        <v>0</v>
      </c>
      <c r="AS317" s="298">
        <f t="shared" si="253"/>
        <v>0</v>
      </c>
      <c r="AT317" s="298">
        <f t="shared" si="252"/>
        <v>50</v>
      </c>
      <c r="AU317" s="285">
        <f t="shared" si="232"/>
        <v>61.6</v>
      </c>
      <c r="AV317" s="285">
        <v>61.6</v>
      </c>
      <c r="AW317" s="285"/>
      <c r="AX317" s="285"/>
      <c r="AY317" s="285"/>
      <c r="AZ317" s="285"/>
      <c r="BA317" s="285">
        <v>689.577524</v>
      </c>
    </row>
    <row r="318" s="258" customFormat="1" ht="36" spans="1:53">
      <c r="A318" s="283">
        <v>311</v>
      </c>
      <c r="B318" s="284" t="s">
        <v>290</v>
      </c>
      <c r="C318" s="284" t="s">
        <v>199</v>
      </c>
      <c r="D318" s="284" t="s">
        <v>637</v>
      </c>
      <c r="E318" s="284" t="s">
        <v>638</v>
      </c>
      <c r="F318" s="285">
        <f t="shared" si="228"/>
        <v>1.8</v>
      </c>
      <c r="G318" s="285">
        <v>1.8</v>
      </c>
      <c r="H318" s="285"/>
      <c r="I318" s="285"/>
      <c r="J318" s="285"/>
      <c r="K318" s="285"/>
      <c r="L318" s="285"/>
      <c r="M318" s="285"/>
      <c r="N318" s="285"/>
      <c r="O318" s="285"/>
      <c r="P318" s="285">
        <f t="shared" si="229"/>
        <v>1.8</v>
      </c>
      <c r="Q318" s="285">
        <v>1.8</v>
      </c>
      <c r="R318" s="285"/>
      <c r="S318" s="285"/>
      <c r="T318" s="285"/>
      <c r="U318" s="285"/>
      <c r="V318" s="298">
        <f t="shared" si="239"/>
        <v>0</v>
      </c>
      <c r="W318" s="298"/>
      <c r="X318" s="298"/>
      <c r="Y318" s="298"/>
      <c r="Z318" s="298"/>
      <c r="AA318" s="298"/>
      <c r="AB318" s="298"/>
      <c r="AC318" s="298"/>
      <c r="AD318" s="298"/>
      <c r="AE318" s="285"/>
      <c r="AF318" s="299">
        <f t="shared" si="230"/>
        <v>0</v>
      </c>
      <c r="AG318" s="299">
        <f t="shared" si="240"/>
        <v>0</v>
      </c>
      <c r="AH318" s="299">
        <f t="shared" si="241"/>
        <v>0</v>
      </c>
      <c r="AI318" s="299">
        <f t="shared" si="242"/>
        <v>0</v>
      </c>
      <c r="AJ318" s="299">
        <f t="shared" si="243"/>
        <v>0</v>
      </c>
      <c r="AK318" s="299">
        <f t="shared" si="244"/>
        <v>0</v>
      </c>
      <c r="AL318" s="298">
        <f t="shared" si="245"/>
        <v>1.8</v>
      </c>
      <c r="AM318" s="298">
        <f t="shared" si="246"/>
        <v>1.8</v>
      </c>
      <c r="AN318" s="298">
        <f t="shared" si="247"/>
        <v>0</v>
      </c>
      <c r="AO318" s="298">
        <f t="shared" si="248"/>
        <v>0</v>
      </c>
      <c r="AP318" s="298">
        <f t="shared" si="249"/>
        <v>0</v>
      </c>
      <c r="AQ318" s="298">
        <f t="shared" si="250"/>
        <v>0</v>
      </c>
      <c r="AR318" s="298">
        <f t="shared" si="251"/>
        <v>0</v>
      </c>
      <c r="AS318" s="298">
        <f t="shared" si="253"/>
        <v>0</v>
      </c>
      <c r="AT318" s="298">
        <f t="shared" si="252"/>
        <v>0</v>
      </c>
      <c r="AU318" s="285">
        <f t="shared" si="232"/>
        <v>1.8</v>
      </c>
      <c r="AV318" s="285">
        <v>1.8</v>
      </c>
      <c r="AW318" s="285"/>
      <c r="AX318" s="285"/>
      <c r="AY318" s="285"/>
      <c r="AZ318" s="285"/>
      <c r="BA318" s="285"/>
    </row>
    <row r="319" s="258" customFormat="1" ht="36" spans="1:53">
      <c r="A319" s="283">
        <v>312</v>
      </c>
      <c r="B319" s="284" t="s">
        <v>290</v>
      </c>
      <c r="C319" s="284" t="s">
        <v>199</v>
      </c>
      <c r="D319" s="284" t="s">
        <v>639</v>
      </c>
      <c r="E319" s="284" t="s">
        <v>638</v>
      </c>
      <c r="F319" s="285">
        <f t="shared" si="228"/>
        <v>16.8</v>
      </c>
      <c r="G319" s="285">
        <v>4.8</v>
      </c>
      <c r="H319" s="285">
        <v>2</v>
      </c>
      <c r="I319" s="285"/>
      <c r="J319" s="285"/>
      <c r="K319" s="285"/>
      <c r="L319" s="285"/>
      <c r="M319" s="285"/>
      <c r="N319" s="285">
        <v>10</v>
      </c>
      <c r="O319" s="285" t="s">
        <v>1186</v>
      </c>
      <c r="P319" s="285">
        <f t="shared" si="229"/>
        <v>16.8</v>
      </c>
      <c r="Q319" s="285">
        <v>16.8</v>
      </c>
      <c r="R319" s="285"/>
      <c r="S319" s="285"/>
      <c r="T319" s="285"/>
      <c r="U319" s="285"/>
      <c r="V319" s="298">
        <f t="shared" si="239"/>
        <v>0</v>
      </c>
      <c r="W319" s="298"/>
      <c r="X319" s="298"/>
      <c r="Y319" s="298"/>
      <c r="Z319" s="298"/>
      <c r="AA319" s="298"/>
      <c r="AB319" s="298"/>
      <c r="AC319" s="298"/>
      <c r="AD319" s="298"/>
      <c r="AE319" s="285"/>
      <c r="AF319" s="299">
        <f t="shared" si="230"/>
        <v>0</v>
      </c>
      <c r="AG319" s="299">
        <f t="shared" si="240"/>
        <v>0</v>
      </c>
      <c r="AH319" s="299">
        <f t="shared" si="241"/>
        <v>0</v>
      </c>
      <c r="AI319" s="299">
        <f t="shared" si="242"/>
        <v>0</v>
      </c>
      <c r="AJ319" s="299">
        <f t="shared" si="243"/>
        <v>0</v>
      </c>
      <c r="AK319" s="299">
        <f t="shared" si="244"/>
        <v>0</v>
      </c>
      <c r="AL319" s="298">
        <f t="shared" si="245"/>
        <v>16.8</v>
      </c>
      <c r="AM319" s="298">
        <f t="shared" si="246"/>
        <v>4.8</v>
      </c>
      <c r="AN319" s="298">
        <f t="shared" si="247"/>
        <v>2</v>
      </c>
      <c r="AO319" s="298">
        <f t="shared" si="248"/>
        <v>0</v>
      </c>
      <c r="AP319" s="298">
        <f t="shared" si="249"/>
        <v>0</v>
      </c>
      <c r="AQ319" s="298">
        <f t="shared" si="250"/>
        <v>0</v>
      </c>
      <c r="AR319" s="298">
        <f t="shared" si="251"/>
        <v>0</v>
      </c>
      <c r="AS319" s="298">
        <f t="shared" si="253"/>
        <v>0</v>
      </c>
      <c r="AT319" s="298">
        <f t="shared" si="252"/>
        <v>10</v>
      </c>
      <c r="AU319" s="285">
        <f t="shared" si="232"/>
        <v>16.8</v>
      </c>
      <c r="AV319" s="285">
        <v>16.8</v>
      </c>
      <c r="AW319" s="285"/>
      <c r="AX319" s="285"/>
      <c r="AY319" s="285"/>
      <c r="AZ319" s="285"/>
      <c r="BA319" s="285"/>
    </row>
    <row r="320" s="260" customFormat="1" ht="24" customHeight="1" spans="1:53">
      <c r="A320" s="283">
        <v>313</v>
      </c>
      <c r="B320" s="305"/>
      <c r="C320" s="306" t="s">
        <v>752</v>
      </c>
      <c r="D320" s="305" t="s">
        <v>141</v>
      </c>
      <c r="E320" s="306">
        <v>213</v>
      </c>
      <c r="F320" s="281">
        <f t="shared" ref="F320:K320" si="254">SUM(F321:F361)</f>
        <v>1790.06</v>
      </c>
      <c r="G320" s="281">
        <f t="shared" si="254"/>
        <v>256.09</v>
      </c>
      <c r="H320" s="281">
        <f t="shared" si="254"/>
        <v>42</v>
      </c>
      <c r="I320" s="281">
        <f t="shared" si="254"/>
        <v>69.31</v>
      </c>
      <c r="J320" s="281">
        <f t="shared" si="254"/>
        <v>0</v>
      </c>
      <c r="K320" s="281">
        <f t="shared" si="254"/>
        <v>30</v>
      </c>
      <c r="L320" s="281"/>
      <c r="M320" s="281">
        <f>SUM(M321:M361)</f>
        <v>671</v>
      </c>
      <c r="N320" s="281">
        <f>SUM(N321:N361)</f>
        <v>721.66</v>
      </c>
      <c r="O320" s="281"/>
      <c r="P320" s="307">
        <f t="shared" ref="P320:U320" si="255">SUM(P321:P361)</f>
        <v>1790.06</v>
      </c>
      <c r="Q320" s="307">
        <f t="shared" si="255"/>
        <v>1119.06</v>
      </c>
      <c r="R320" s="307">
        <f t="shared" si="255"/>
        <v>185</v>
      </c>
      <c r="S320" s="307">
        <f t="shared" si="255"/>
        <v>486</v>
      </c>
      <c r="T320" s="307">
        <f t="shared" si="255"/>
        <v>0</v>
      </c>
      <c r="U320" s="307">
        <f t="shared" si="255"/>
        <v>0</v>
      </c>
      <c r="V320" s="281">
        <f t="shared" ref="R320:AC320" si="256">SUM(V321:V361)</f>
        <v>10.965</v>
      </c>
      <c r="W320" s="281">
        <f t="shared" si="256"/>
        <v>0.77</v>
      </c>
      <c r="X320" s="281">
        <f t="shared" si="256"/>
        <v>0</v>
      </c>
      <c r="Y320" s="281">
        <f t="shared" si="256"/>
        <v>-2.455</v>
      </c>
      <c r="Z320" s="281">
        <f t="shared" si="256"/>
        <v>0</v>
      </c>
      <c r="AA320" s="281">
        <f t="shared" si="256"/>
        <v>0</v>
      </c>
      <c r="AB320" s="281">
        <f t="shared" si="256"/>
        <v>12.65</v>
      </c>
      <c r="AC320" s="281">
        <f t="shared" si="256"/>
        <v>0</v>
      </c>
      <c r="AD320" s="281">
        <f t="shared" ref="AD320" si="257">SUM(AD321:AD361)</f>
        <v>0</v>
      </c>
      <c r="AE320" s="281"/>
      <c r="AF320" s="281">
        <f t="shared" ref="AF320:AL320" si="258">SUM(AF321:AF361)</f>
        <v>10.965</v>
      </c>
      <c r="AG320" s="281">
        <f t="shared" si="258"/>
        <v>-1.68499999999997</v>
      </c>
      <c r="AH320" s="281">
        <f t="shared" si="258"/>
        <v>-170.53</v>
      </c>
      <c r="AI320" s="281">
        <f t="shared" si="258"/>
        <v>183.18</v>
      </c>
      <c r="AJ320" s="281">
        <f t="shared" si="258"/>
        <v>0</v>
      </c>
      <c r="AK320" s="281">
        <f t="shared" si="258"/>
        <v>0</v>
      </c>
      <c r="AL320" s="308">
        <f t="shared" si="258"/>
        <v>1801.025</v>
      </c>
      <c r="AM320" s="308">
        <f t="shared" ref="AM320:AZ320" si="259">SUM(AM321:AM361)</f>
        <v>256.86</v>
      </c>
      <c r="AN320" s="308">
        <f t="shared" si="259"/>
        <v>42</v>
      </c>
      <c r="AO320" s="308">
        <f t="shared" si="259"/>
        <v>66.855</v>
      </c>
      <c r="AP320" s="308">
        <f t="shared" si="259"/>
        <v>0</v>
      </c>
      <c r="AQ320" s="308">
        <f t="shared" si="259"/>
        <v>30</v>
      </c>
      <c r="AR320" s="308">
        <f t="shared" si="259"/>
        <v>683.65</v>
      </c>
      <c r="AS320" s="308">
        <f t="shared" si="259"/>
        <v>0</v>
      </c>
      <c r="AT320" s="308">
        <f t="shared" si="259"/>
        <v>721.66</v>
      </c>
      <c r="AU320" s="308">
        <f t="shared" si="259"/>
        <v>1801.025</v>
      </c>
      <c r="AV320" s="308">
        <f t="shared" si="259"/>
        <v>1117.375</v>
      </c>
      <c r="AW320" s="308">
        <f t="shared" si="259"/>
        <v>14.47</v>
      </c>
      <c r="AX320" s="308">
        <f t="shared" si="259"/>
        <v>669.18</v>
      </c>
      <c r="AY320" s="308">
        <f t="shared" si="259"/>
        <v>0</v>
      </c>
      <c r="AZ320" s="308">
        <f t="shared" si="259"/>
        <v>0</v>
      </c>
      <c r="BA320" s="309"/>
    </row>
    <row r="321" s="258" customFormat="1" ht="48" customHeight="1" spans="1:53">
      <c r="A321" s="283">
        <v>314</v>
      </c>
      <c r="B321" s="284" t="s">
        <v>640</v>
      </c>
      <c r="C321" s="284" t="s">
        <v>196</v>
      </c>
      <c r="D321" s="284" t="s">
        <v>641</v>
      </c>
      <c r="E321" s="284" t="s">
        <v>642</v>
      </c>
      <c r="F321" s="285">
        <f t="shared" ref="F321:F361" si="260">SUM(G321:N321)</f>
        <v>795.71</v>
      </c>
      <c r="G321" s="285">
        <v>19.2</v>
      </c>
      <c r="H321" s="285">
        <v>16</v>
      </c>
      <c r="I321" s="285">
        <v>20.51</v>
      </c>
      <c r="J321" s="285"/>
      <c r="K321" s="285"/>
      <c r="L321" s="285"/>
      <c r="M321" s="285">
        <v>200</v>
      </c>
      <c r="N321" s="285">
        <f>215-20-5+350</f>
        <v>540</v>
      </c>
      <c r="O321" s="285" t="s">
        <v>1187</v>
      </c>
      <c r="P321" s="285">
        <f t="shared" ref="P321:P361" si="261">SUM(Q321:S321)</f>
        <v>795.71</v>
      </c>
      <c r="Q321" s="285">
        <v>595.71</v>
      </c>
      <c r="R321" s="285"/>
      <c r="S321" s="285">
        <v>200</v>
      </c>
      <c r="T321" s="285"/>
      <c r="U321" s="285"/>
      <c r="V321" s="298">
        <f t="shared" ref="V321:V361" si="262">SUM(W321:AD321)</f>
        <v>78.325</v>
      </c>
      <c r="W321" s="298"/>
      <c r="X321" s="298"/>
      <c r="Y321" s="298">
        <v>-4.415</v>
      </c>
      <c r="Z321" s="298"/>
      <c r="AA321" s="298"/>
      <c r="AB321" s="298">
        <f>-200+282.27+0.47</f>
        <v>82.74</v>
      </c>
      <c r="AC321" s="298"/>
      <c r="AD321" s="298"/>
      <c r="AE321" s="285" t="s">
        <v>1188</v>
      </c>
      <c r="AF321" s="299">
        <f t="shared" ref="AF321:AF361" si="263">SUM(AG321:AI321)</f>
        <v>78.325</v>
      </c>
      <c r="AG321" s="299">
        <f t="shared" ref="AG321:AG361" si="264">AV321-Q321</f>
        <v>-4.41499999999996</v>
      </c>
      <c r="AH321" s="299">
        <f t="shared" ref="AH321:AH361" si="265">AW321-R321</f>
        <v>0.47</v>
      </c>
      <c r="AI321" s="299">
        <f t="shared" ref="AI321:AI361" si="266">AX321-S321</f>
        <v>82.27</v>
      </c>
      <c r="AJ321" s="299">
        <f t="shared" ref="AJ321:AJ361" si="267">AY321-T321</f>
        <v>0</v>
      </c>
      <c r="AK321" s="299">
        <f t="shared" ref="AK321:AK361" si="268">AZ321-U321</f>
        <v>0</v>
      </c>
      <c r="AL321" s="298">
        <f t="shared" ref="AL321:AL361" si="269">SUM(AM321:AT321)</f>
        <v>874.035</v>
      </c>
      <c r="AM321" s="298">
        <f t="shared" ref="AM321:AM361" si="270">G321+W321</f>
        <v>19.2</v>
      </c>
      <c r="AN321" s="298">
        <f t="shared" ref="AN321:AN361" si="271">H321+X321</f>
        <v>16</v>
      </c>
      <c r="AO321" s="298">
        <f t="shared" ref="AO321:AO361" si="272">I321+Y321</f>
        <v>16.095</v>
      </c>
      <c r="AP321" s="298">
        <f t="shared" ref="AP321:AP361" si="273">J321+Z321</f>
        <v>0</v>
      </c>
      <c r="AQ321" s="298">
        <f t="shared" ref="AQ321:AQ361" si="274">K321+AA321</f>
        <v>0</v>
      </c>
      <c r="AR321" s="298">
        <f t="shared" ref="AR321:AR361" si="275">M321+AB321</f>
        <v>282.74</v>
      </c>
      <c r="AS321" s="298">
        <f t="shared" si="253"/>
        <v>0</v>
      </c>
      <c r="AT321" s="298">
        <f t="shared" ref="AT321:AT361" si="276">N321+AD321</f>
        <v>540</v>
      </c>
      <c r="AU321" s="285">
        <f t="shared" ref="AU321:AU361" si="277">SUM(AV321:AX321)</f>
        <v>874.035</v>
      </c>
      <c r="AV321" s="285">
        <v>591.295</v>
      </c>
      <c r="AW321" s="285">
        <v>0.47</v>
      </c>
      <c r="AX321" s="285">
        <v>282.27</v>
      </c>
      <c r="AY321" s="285"/>
      <c r="AZ321" s="285"/>
      <c r="BA321" s="285">
        <v>336.11</v>
      </c>
    </row>
    <row r="322" s="258" customFormat="1" ht="36" spans="1:53">
      <c r="A322" s="283">
        <v>315</v>
      </c>
      <c r="B322" s="284" t="s">
        <v>640</v>
      </c>
      <c r="C322" s="284" t="s">
        <v>196</v>
      </c>
      <c r="D322" s="284" t="s">
        <v>643</v>
      </c>
      <c r="E322" s="284" t="s">
        <v>642</v>
      </c>
      <c r="F322" s="285">
        <f t="shared" si="260"/>
        <v>46.87</v>
      </c>
      <c r="G322" s="285">
        <v>9.63</v>
      </c>
      <c r="H322" s="285">
        <v>2</v>
      </c>
      <c r="I322" s="285">
        <v>8.58</v>
      </c>
      <c r="J322" s="285"/>
      <c r="K322" s="285"/>
      <c r="L322" s="285"/>
      <c r="M322" s="285">
        <v>15</v>
      </c>
      <c r="N322" s="285">
        <v>11.66</v>
      </c>
      <c r="O322" s="285" t="s">
        <v>1189</v>
      </c>
      <c r="P322" s="285">
        <f t="shared" si="261"/>
        <v>46.87</v>
      </c>
      <c r="Q322" s="285">
        <v>31.87</v>
      </c>
      <c r="R322" s="285"/>
      <c r="S322" s="285">
        <v>15</v>
      </c>
      <c r="T322" s="285"/>
      <c r="U322" s="285"/>
      <c r="V322" s="298">
        <f t="shared" si="262"/>
        <v>3</v>
      </c>
      <c r="W322" s="298">
        <v>0.77</v>
      </c>
      <c r="X322" s="298"/>
      <c r="Y322" s="298"/>
      <c r="Z322" s="298"/>
      <c r="AA322" s="298"/>
      <c r="AB322" s="298">
        <f>-15+17.23</f>
        <v>2.23</v>
      </c>
      <c r="AC322" s="298"/>
      <c r="AD322" s="298"/>
      <c r="AE322" s="285" t="s">
        <v>1190</v>
      </c>
      <c r="AF322" s="299">
        <f t="shared" si="263"/>
        <v>3</v>
      </c>
      <c r="AG322" s="299">
        <f t="shared" si="264"/>
        <v>0.769999999999996</v>
      </c>
      <c r="AH322" s="299">
        <f t="shared" si="265"/>
        <v>0</v>
      </c>
      <c r="AI322" s="299">
        <f t="shared" si="266"/>
        <v>2.23</v>
      </c>
      <c r="AJ322" s="299">
        <f t="shared" si="267"/>
        <v>0</v>
      </c>
      <c r="AK322" s="299">
        <f t="shared" si="268"/>
        <v>0</v>
      </c>
      <c r="AL322" s="298">
        <f t="shared" si="269"/>
        <v>49.87</v>
      </c>
      <c r="AM322" s="298">
        <f t="shared" si="270"/>
        <v>10.4</v>
      </c>
      <c r="AN322" s="298">
        <f t="shared" si="271"/>
        <v>2</v>
      </c>
      <c r="AO322" s="298">
        <f t="shared" si="272"/>
        <v>8.58</v>
      </c>
      <c r="AP322" s="298">
        <f t="shared" si="273"/>
        <v>0</v>
      </c>
      <c r="AQ322" s="298">
        <f t="shared" si="274"/>
        <v>0</v>
      </c>
      <c r="AR322" s="298">
        <f t="shared" si="275"/>
        <v>17.23</v>
      </c>
      <c r="AS322" s="298">
        <f t="shared" si="253"/>
        <v>0</v>
      </c>
      <c r="AT322" s="298">
        <f t="shared" si="276"/>
        <v>11.66</v>
      </c>
      <c r="AU322" s="285">
        <f t="shared" si="277"/>
        <v>49.87</v>
      </c>
      <c r="AV322" s="285">
        <v>32.64</v>
      </c>
      <c r="AW322" s="285"/>
      <c r="AX322" s="285">
        <v>17.23</v>
      </c>
      <c r="AY322" s="285"/>
      <c r="AZ322" s="285"/>
      <c r="BA322" s="285"/>
    </row>
    <row r="323" s="258" customFormat="1" ht="24" spans="1:53">
      <c r="A323" s="283">
        <v>316</v>
      </c>
      <c r="B323" s="284" t="s">
        <v>640</v>
      </c>
      <c r="C323" s="284" t="s">
        <v>196</v>
      </c>
      <c r="D323" s="284" t="s">
        <v>644</v>
      </c>
      <c r="E323" s="284" t="s">
        <v>642</v>
      </c>
      <c r="F323" s="285">
        <f t="shared" si="260"/>
        <v>2.8</v>
      </c>
      <c r="G323" s="285">
        <v>1.6</v>
      </c>
      <c r="H323" s="285"/>
      <c r="I323" s="285">
        <v>1.2</v>
      </c>
      <c r="J323" s="285"/>
      <c r="K323" s="285"/>
      <c r="L323" s="285"/>
      <c r="M323" s="285"/>
      <c r="N323" s="285"/>
      <c r="O323" s="285"/>
      <c r="P323" s="285">
        <f t="shared" si="261"/>
        <v>2.8</v>
      </c>
      <c r="Q323" s="285">
        <v>2.8</v>
      </c>
      <c r="R323" s="285"/>
      <c r="S323" s="285"/>
      <c r="T323" s="285"/>
      <c r="U323" s="285"/>
      <c r="V323" s="298">
        <f t="shared" si="262"/>
        <v>0</v>
      </c>
      <c r="W323" s="298"/>
      <c r="X323" s="298"/>
      <c r="Y323" s="298"/>
      <c r="Z323" s="298"/>
      <c r="AA323" s="298"/>
      <c r="AB323" s="298"/>
      <c r="AC323" s="298"/>
      <c r="AD323" s="298"/>
      <c r="AE323" s="285"/>
      <c r="AF323" s="299">
        <f t="shared" si="263"/>
        <v>0</v>
      </c>
      <c r="AG323" s="299">
        <f t="shared" si="264"/>
        <v>0</v>
      </c>
      <c r="AH323" s="299">
        <f t="shared" si="265"/>
        <v>0</v>
      </c>
      <c r="AI323" s="299">
        <f t="shared" si="266"/>
        <v>0</v>
      </c>
      <c r="AJ323" s="299">
        <f t="shared" si="267"/>
        <v>0</v>
      </c>
      <c r="AK323" s="299">
        <f t="shared" si="268"/>
        <v>0</v>
      </c>
      <c r="AL323" s="298">
        <f t="shared" si="269"/>
        <v>2.8</v>
      </c>
      <c r="AM323" s="298">
        <f t="shared" si="270"/>
        <v>1.6</v>
      </c>
      <c r="AN323" s="298">
        <f t="shared" si="271"/>
        <v>0</v>
      </c>
      <c r="AO323" s="298">
        <f t="shared" si="272"/>
        <v>1.2</v>
      </c>
      <c r="AP323" s="298">
        <f t="shared" si="273"/>
        <v>0</v>
      </c>
      <c r="AQ323" s="298">
        <f t="shared" si="274"/>
        <v>0</v>
      </c>
      <c r="AR323" s="298">
        <f t="shared" si="275"/>
        <v>0</v>
      </c>
      <c r="AS323" s="298">
        <f t="shared" si="253"/>
        <v>0</v>
      </c>
      <c r="AT323" s="298">
        <f t="shared" si="276"/>
        <v>0</v>
      </c>
      <c r="AU323" s="285">
        <f t="shared" si="277"/>
        <v>2.8</v>
      </c>
      <c r="AV323" s="285">
        <v>2.8</v>
      </c>
      <c r="AW323" s="285"/>
      <c r="AX323" s="285"/>
      <c r="AY323" s="285"/>
      <c r="AZ323" s="285"/>
      <c r="BA323" s="285"/>
    </row>
    <row r="324" s="258" customFormat="1" ht="24" spans="1:53">
      <c r="A324" s="283">
        <v>317</v>
      </c>
      <c r="B324" s="284" t="s">
        <v>640</v>
      </c>
      <c r="C324" s="284" t="s">
        <v>196</v>
      </c>
      <c r="D324" s="284" t="s">
        <v>645</v>
      </c>
      <c r="E324" s="284" t="s">
        <v>642</v>
      </c>
      <c r="F324" s="285">
        <f t="shared" si="260"/>
        <v>4.56</v>
      </c>
      <c r="G324" s="285">
        <v>2.4</v>
      </c>
      <c r="H324" s="285"/>
      <c r="I324" s="285">
        <v>2.16</v>
      </c>
      <c r="J324" s="285"/>
      <c r="K324" s="285"/>
      <c r="L324" s="285"/>
      <c r="M324" s="285"/>
      <c r="N324" s="285"/>
      <c r="O324" s="285"/>
      <c r="P324" s="285">
        <f t="shared" si="261"/>
        <v>4.56</v>
      </c>
      <c r="Q324" s="285">
        <v>4.56</v>
      </c>
      <c r="R324" s="285"/>
      <c r="S324" s="285"/>
      <c r="T324" s="285"/>
      <c r="U324" s="285"/>
      <c r="V324" s="298">
        <f t="shared" si="262"/>
        <v>0</v>
      </c>
      <c r="W324" s="298"/>
      <c r="X324" s="298"/>
      <c r="Y324" s="298"/>
      <c r="Z324" s="298"/>
      <c r="AA324" s="298"/>
      <c r="AB324" s="298"/>
      <c r="AC324" s="298"/>
      <c r="AD324" s="298"/>
      <c r="AE324" s="285"/>
      <c r="AF324" s="299">
        <f t="shared" si="263"/>
        <v>0</v>
      </c>
      <c r="AG324" s="299">
        <f t="shared" si="264"/>
        <v>0</v>
      </c>
      <c r="AH324" s="299">
        <f t="shared" si="265"/>
        <v>0</v>
      </c>
      <c r="AI324" s="299">
        <f t="shared" si="266"/>
        <v>0</v>
      </c>
      <c r="AJ324" s="299">
        <f t="shared" si="267"/>
        <v>0</v>
      </c>
      <c r="AK324" s="299">
        <f t="shared" si="268"/>
        <v>0</v>
      </c>
      <c r="AL324" s="298">
        <f t="shared" si="269"/>
        <v>4.56</v>
      </c>
      <c r="AM324" s="298">
        <f t="shared" si="270"/>
        <v>2.4</v>
      </c>
      <c r="AN324" s="298">
        <f t="shared" si="271"/>
        <v>0</v>
      </c>
      <c r="AO324" s="298">
        <f t="shared" si="272"/>
        <v>2.16</v>
      </c>
      <c r="AP324" s="298">
        <f t="shared" si="273"/>
        <v>0</v>
      </c>
      <c r="AQ324" s="298">
        <f t="shared" si="274"/>
        <v>0</v>
      </c>
      <c r="AR324" s="298">
        <f t="shared" si="275"/>
        <v>0</v>
      </c>
      <c r="AS324" s="298">
        <f t="shared" si="253"/>
        <v>0</v>
      </c>
      <c r="AT324" s="298">
        <f t="shared" si="276"/>
        <v>0</v>
      </c>
      <c r="AU324" s="285">
        <f t="shared" si="277"/>
        <v>4.56</v>
      </c>
      <c r="AV324" s="285">
        <v>4.56</v>
      </c>
      <c r="AW324" s="285"/>
      <c r="AX324" s="285"/>
      <c r="AY324" s="285"/>
      <c r="AZ324" s="285"/>
      <c r="BA324" s="285"/>
    </row>
    <row r="325" s="258" customFormat="1" ht="24" spans="1:53">
      <c r="A325" s="283">
        <v>318</v>
      </c>
      <c r="B325" s="284" t="s">
        <v>640</v>
      </c>
      <c r="C325" s="284" t="s">
        <v>199</v>
      </c>
      <c r="D325" s="284" t="s">
        <v>646</v>
      </c>
      <c r="E325" s="284" t="s">
        <v>647</v>
      </c>
      <c r="F325" s="285">
        <f t="shared" si="260"/>
        <v>8.4</v>
      </c>
      <c r="G325" s="285">
        <v>8.4</v>
      </c>
      <c r="H325" s="285"/>
      <c r="I325" s="285"/>
      <c r="J325" s="285"/>
      <c r="K325" s="285"/>
      <c r="L325" s="285"/>
      <c r="M325" s="285"/>
      <c r="N325" s="285"/>
      <c r="O325" s="285"/>
      <c r="P325" s="285">
        <f t="shared" si="261"/>
        <v>8.4</v>
      </c>
      <c r="Q325" s="285">
        <v>8.4</v>
      </c>
      <c r="R325" s="285"/>
      <c r="S325" s="285"/>
      <c r="T325" s="285"/>
      <c r="U325" s="285"/>
      <c r="V325" s="298">
        <f t="shared" si="262"/>
        <v>0</v>
      </c>
      <c r="W325" s="298"/>
      <c r="X325" s="298"/>
      <c r="Y325" s="298"/>
      <c r="Z325" s="298"/>
      <c r="AA325" s="298"/>
      <c r="AB325" s="298"/>
      <c r="AC325" s="298"/>
      <c r="AD325" s="298"/>
      <c r="AE325" s="285"/>
      <c r="AF325" s="299">
        <f t="shared" si="263"/>
        <v>0</v>
      </c>
      <c r="AG325" s="299">
        <f t="shared" si="264"/>
        <v>0</v>
      </c>
      <c r="AH325" s="299">
        <f t="shared" si="265"/>
        <v>0</v>
      </c>
      <c r="AI325" s="299">
        <f t="shared" si="266"/>
        <v>0</v>
      </c>
      <c r="AJ325" s="299">
        <f t="shared" si="267"/>
        <v>0</v>
      </c>
      <c r="AK325" s="299">
        <f t="shared" si="268"/>
        <v>0</v>
      </c>
      <c r="AL325" s="298">
        <f t="shared" si="269"/>
        <v>8.4</v>
      </c>
      <c r="AM325" s="298">
        <f t="shared" si="270"/>
        <v>8.4</v>
      </c>
      <c r="AN325" s="298">
        <f t="shared" si="271"/>
        <v>0</v>
      </c>
      <c r="AO325" s="298">
        <f t="shared" si="272"/>
        <v>0</v>
      </c>
      <c r="AP325" s="298">
        <f t="shared" si="273"/>
        <v>0</v>
      </c>
      <c r="AQ325" s="298">
        <f t="shared" si="274"/>
        <v>0</v>
      </c>
      <c r="AR325" s="298">
        <f t="shared" si="275"/>
        <v>0</v>
      </c>
      <c r="AS325" s="298">
        <f t="shared" si="253"/>
        <v>0</v>
      </c>
      <c r="AT325" s="298">
        <f t="shared" si="276"/>
        <v>0</v>
      </c>
      <c r="AU325" s="285">
        <f t="shared" si="277"/>
        <v>8.4</v>
      </c>
      <c r="AV325" s="285">
        <v>8.4</v>
      </c>
      <c r="AW325" s="285"/>
      <c r="AX325" s="285"/>
      <c r="AY325" s="285"/>
      <c r="AZ325" s="285"/>
      <c r="BA325" s="285"/>
    </row>
    <row r="326" s="258" customFormat="1" ht="24" spans="1:53">
      <c r="A326" s="283">
        <v>319</v>
      </c>
      <c r="B326" s="284" t="s">
        <v>640</v>
      </c>
      <c r="C326" s="284" t="s">
        <v>199</v>
      </c>
      <c r="D326" s="284" t="s">
        <v>648</v>
      </c>
      <c r="E326" s="284" t="s">
        <v>647</v>
      </c>
      <c r="F326" s="285">
        <f t="shared" si="260"/>
        <v>7.2</v>
      </c>
      <c r="G326" s="285">
        <v>7.2</v>
      </c>
      <c r="H326" s="285"/>
      <c r="I326" s="285"/>
      <c r="J326" s="285"/>
      <c r="K326" s="285"/>
      <c r="L326" s="285"/>
      <c r="M326" s="285"/>
      <c r="N326" s="285"/>
      <c r="O326" s="285"/>
      <c r="P326" s="285">
        <f t="shared" si="261"/>
        <v>7.2</v>
      </c>
      <c r="Q326" s="285">
        <v>7.2</v>
      </c>
      <c r="R326" s="285"/>
      <c r="S326" s="285"/>
      <c r="T326" s="285"/>
      <c r="U326" s="285"/>
      <c r="V326" s="298">
        <f t="shared" si="262"/>
        <v>0</v>
      </c>
      <c r="W326" s="298"/>
      <c r="X326" s="298"/>
      <c r="Y326" s="298"/>
      <c r="Z326" s="298"/>
      <c r="AA326" s="298"/>
      <c r="AB326" s="298"/>
      <c r="AC326" s="298"/>
      <c r="AD326" s="298"/>
      <c r="AE326" s="285"/>
      <c r="AF326" s="299">
        <f t="shared" si="263"/>
        <v>0</v>
      </c>
      <c r="AG326" s="299">
        <f t="shared" si="264"/>
        <v>0</v>
      </c>
      <c r="AH326" s="299">
        <f t="shared" si="265"/>
        <v>0</v>
      </c>
      <c r="AI326" s="299">
        <f t="shared" si="266"/>
        <v>0</v>
      </c>
      <c r="AJ326" s="299">
        <f t="shared" si="267"/>
        <v>0</v>
      </c>
      <c r="AK326" s="299">
        <f t="shared" si="268"/>
        <v>0</v>
      </c>
      <c r="AL326" s="298">
        <f t="shared" si="269"/>
        <v>7.2</v>
      </c>
      <c r="AM326" s="298">
        <f t="shared" si="270"/>
        <v>7.2</v>
      </c>
      <c r="AN326" s="298">
        <f t="shared" si="271"/>
        <v>0</v>
      </c>
      <c r="AO326" s="298">
        <f t="shared" si="272"/>
        <v>0</v>
      </c>
      <c r="AP326" s="298">
        <f t="shared" si="273"/>
        <v>0</v>
      </c>
      <c r="AQ326" s="298">
        <f t="shared" si="274"/>
        <v>0</v>
      </c>
      <c r="AR326" s="298">
        <f t="shared" si="275"/>
        <v>0</v>
      </c>
      <c r="AS326" s="298">
        <f t="shared" si="253"/>
        <v>0</v>
      </c>
      <c r="AT326" s="298">
        <f t="shared" si="276"/>
        <v>0</v>
      </c>
      <c r="AU326" s="285">
        <f t="shared" si="277"/>
        <v>7.2</v>
      </c>
      <c r="AV326" s="285">
        <v>7.2</v>
      </c>
      <c r="AW326" s="285"/>
      <c r="AX326" s="285"/>
      <c r="AY326" s="285"/>
      <c r="AZ326" s="285"/>
      <c r="BA326" s="285"/>
    </row>
    <row r="327" s="258" customFormat="1" ht="24" spans="1:53">
      <c r="A327" s="283">
        <v>320</v>
      </c>
      <c r="B327" s="284" t="s">
        <v>640</v>
      </c>
      <c r="C327" s="284" t="s">
        <v>199</v>
      </c>
      <c r="D327" s="284" t="s">
        <v>649</v>
      </c>
      <c r="E327" s="284" t="s">
        <v>647</v>
      </c>
      <c r="F327" s="285">
        <f t="shared" si="260"/>
        <v>3.6</v>
      </c>
      <c r="G327" s="285">
        <v>3.6</v>
      </c>
      <c r="H327" s="285"/>
      <c r="I327" s="285"/>
      <c r="J327" s="285"/>
      <c r="K327" s="285"/>
      <c r="L327" s="285"/>
      <c r="M327" s="285"/>
      <c r="N327" s="285"/>
      <c r="O327" s="285"/>
      <c r="P327" s="285">
        <f t="shared" si="261"/>
        <v>3.6</v>
      </c>
      <c r="Q327" s="285">
        <v>3.6</v>
      </c>
      <c r="R327" s="285"/>
      <c r="S327" s="285"/>
      <c r="T327" s="285"/>
      <c r="U327" s="285"/>
      <c r="V327" s="298">
        <f t="shared" si="262"/>
        <v>0</v>
      </c>
      <c r="W327" s="298"/>
      <c r="X327" s="298"/>
      <c r="Y327" s="298"/>
      <c r="Z327" s="298"/>
      <c r="AA327" s="298"/>
      <c r="AB327" s="298"/>
      <c r="AC327" s="298"/>
      <c r="AD327" s="298"/>
      <c r="AE327" s="285"/>
      <c r="AF327" s="299">
        <f t="shared" si="263"/>
        <v>0</v>
      </c>
      <c r="AG327" s="299">
        <f t="shared" si="264"/>
        <v>0</v>
      </c>
      <c r="AH327" s="299">
        <f t="shared" si="265"/>
        <v>0</v>
      </c>
      <c r="AI327" s="299">
        <f t="shared" si="266"/>
        <v>0</v>
      </c>
      <c r="AJ327" s="299">
        <f t="shared" si="267"/>
        <v>0</v>
      </c>
      <c r="AK327" s="299">
        <f t="shared" si="268"/>
        <v>0</v>
      </c>
      <c r="AL327" s="298">
        <f t="shared" si="269"/>
        <v>3.6</v>
      </c>
      <c r="AM327" s="298">
        <f t="shared" si="270"/>
        <v>3.6</v>
      </c>
      <c r="AN327" s="298">
        <f t="shared" si="271"/>
        <v>0</v>
      </c>
      <c r="AO327" s="298">
        <f t="shared" si="272"/>
        <v>0</v>
      </c>
      <c r="AP327" s="298">
        <f t="shared" si="273"/>
        <v>0</v>
      </c>
      <c r="AQ327" s="298">
        <f t="shared" si="274"/>
        <v>0</v>
      </c>
      <c r="AR327" s="298">
        <f t="shared" si="275"/>
        <v>0</v>
      </c>
      <c r="AS327" s="298">
        <f t="shared" si="253"/>
        <v>0</v>
      </c>
      <c r="AT327" s="298">
        <f t="shared" si="276"/>
        <v>0</v>
      </c>
      <c r="AU327" s="285">
        <f t="shared" si="277"/>
        <v>3.6</v>
      </c>
      <c r="AV327" s="285">
        <v>3.6</v>
      </c>
      <c r="AW327" s="285"/>
      <c r="AX327" s="285"/>
      <c r="AY327" s="285"/>
      <c r="AZ327" s="285"/>
      <c r="BA327" s="285"/>
    </row>
    <row r="328" s="258" customFormat="1" ht="24" spans="1:53">
      <c r="A328" s="283">
        <v>321</v>
      </c>
      <c r="B328" s="284" t="s">
        <v>640</v>
      </c>
      <c r="C328" s="284" t="s">
        <v>199</v>
      </c>
      <c r="D328" s="284" t="s">
        <v>650</v>
      </c>
      <c r="E328" s="284" t="s">
        <v>647</v>
      </c>
      <c r="F328" s="285">
        <f t="shared" si="260"/>
        <v>3.6</v>
      </c>
      <c r="G328" s="285">
        <v>3.6</v>
      </c>
      <c r="H328" s="285"/>
      <c r="I328" s="285"/>
      <c r="J328" s="285"/>
      <c r="K328" s="285"/>
      <c r="L328" s="285"/>
      <c r="M328" s="285"/>
      <c r="N328" s="285"/>
      <c r="O328" s="285"/>
      <c r="P328" s="285">
        <f t="shared" si="261"/>
        <v>3.6</v>
      </c>
      <c r="Q328" s="285">
        <v>3.6</v>
      </c>
      <c r="R328" s="285"/>
      <c r="S328" s="285"/>
      <c r="T328" s="285"/>
      <c r="U328" s="285"/>
      <c r="V328" s="298">
        <f t="shared" si="262"/>
        <v>0</v>
      </c>
      <c r="W328" s="298"/>
      <c r="X328" s="298"/>
      <c r="Y328" s="298"/>
      <c r="Z328" s="298"/>
      <c r="AA328" s="298"/>
      <c r="AB328" s="298"/>
      <c r="AC328" s="298"/>
      <c r="AD328" s="298"/>
      <c r="AE328" s="285"/>
      <c r="AF328" s="299">
        <f t="shared" si="263"/>
        <v>0</v>
      </c>
      <c r="AG328" s="299">
        <f t="shared" si="264"/>
        <v>0</v>
      </c>
      <c r="AH328" s="299">
        <f t="shared" si="265"/>
        <v>0</v>
      </c>
      <c r="AI328" s="299">
        <f t="shared" si="266"/>
        <v>0</v>
      </c>
      <c r="AJ328" s="299">
        <f t="shared" si="267"/>
        <v>0</v>
      </c>
      <c r="AK328" s="299">
        <f t="shared" si="268"/>
        <v>0</v>
      </c>
      <c r="AL328" s="298">
        <f t="shared" si="269"/>
        <v>3.6</v>
      </c>
      <c r="AM328" s="298">
        <f t="shared" si="270"/>
        <v>3.6</v>
      </c>
      <c r="AN328" s="298">
        <f t="shared" si="271"/>
        <v>0</v>
      </c>
      <c r="AO328" s="298">
        <f t="shared" si="272"/>
        <v>0</v>
      </c>
      <c r="AP328" s="298">
        <f t="shared" si="273"/>
        <v>0</v>
      </c>
      <c r="AQ328" s="298">
        <f t="shared" si="274"/>
        <v>0</v>
      </c>
      <c r="AR328" s="298">
        <f t="shared" si="275"/>
        <v>0</v>
      </c>
      <c r="AS328" s="298">
        <f t="shared" si="253"/>
        <v>0</v>
      </c>
      <c r="AT328" s="298">
        <f t="shared" si="276"/>
        <v>0</v>
      </c>
      <c r="AU328" s="285">
        <f t="shared" si="277"/>
        <v>3.6</v>
      </c>
      <c r="AV328" s="285">
        <v>3.6</v>
      </c>
      <c r="AW328" s="285"/>
      <c r="AX328" s="285"/>
      <c r="AY328" s="285"/>
      <c r="AZ328" s="285"/>
      <c r="BA328" s="285"/>
    </row>
    <row r="329" s="258" customFormat="1" ht="24" spans="1:53">
      <c r="A329" s="283">
        <v>322</v>
      </c>
      <c r="B329" s="284" t="s">
        <v>640</v>
      </c>
      <c r="C329" s="284" t="s">
        <v>199</v>
      </c>
      <c r="D329" s="284" t="s">
        <v>651</v>
      </c>
      <c r="E329" s="284" t="s">
        <v>647</v>
      </c>
      <c r="F329" s="285">
        <f t="shared" si="260"/>
        <v>6.6</v>
      </c>
      <c r="G329" s="285">
        <v>6.6</v>
      </c>
      <c r="H329" s="285"/>
      <c r="I329" s="285"/>
      <c r="J329" s="285"/>
      <c r="K329" s="285"/>
      <c r="L329" s="285"/>
      <c r="M329" s="285"/>
      <c r="N329" s="285"/>
      <c r="O329" s="285"/>
      <c r="P329" s="285">
        <f t="shared" si="261"/>
        <v>6.6</v>
      </c>
      <c r="Q329" s="285">
        <v>6.6</v>
      </c>
      <c r="R329" s="285"/>
      <c r="S329" s="285"/>
      <c r="T329" s="285"/>
      <c r="U329" s="285"/>
      <c r="V329" s="298">
        <f t="shared" si="262"/>
        <v>0</v>
      </c>
      <c r="W329" s="298"/>
      <c r="X329" s="298"/>
      <c r="Y329" s="298"/>
      <c r="Z329" s="298"/>
      <c r="AA329" s="298"/>
      <c r="AB329" s="298"/>
      <c r="AC329" s="298"/>
      <c r="AD329" s="298"/>
      <c r="AE329" s="285"/>
      <c r="AF329" s="299">
        <f t="shared" si="263"/>
        <v>0</v>
      </c>
      <c r="AG329" s="299">
        <f t="shared" si="264"/>
        <v>0</v>
      </c>
      <c r="AH329" s="299">
        <f t="shared" si="265"/>
        <v>0</v>
      </c>
      <c r="AI329" s="299">
        <f t="shared" si="266"/>
        <v>0</v>
      </c>
      <c r="AJ329" s="299">
        <f t="shared" si="267"/>
        <v>0</v>
      </c>
      <c r="AK329" s="299">
        <f t="shared" si="268"/>
        <v>0</v>
      </c>
      <c r="AL329" s="298">
        <f t="shared" si="269"/>
        <v>6.6</v>
      </c>
      <c r="AM329" s="298">
        <f t="shared" si="270"/>
        <v>6.6</v>
      </c>
      <c r="AN329" s="298">
        <f t="shared" si="271"/>
        <v>0</v>
      </c>
      <c r="AO329" s="298">
        <f t="shared" si="272"/>
        <v>0</v>
      </c>
      <c r="AP329" s="298">
        <f t="shared" si="273"/>
        <v>0</v>
      </c>
      <c r="AQ329" s="298">
        <f t="shared" si="274"/>
        <v>0</v>
      </c>
      <c r="AR329" s="298">
        <f t="shared" si="275"/>
        <v>0</v>
      </c>
      <c r="AS329" s="298">
        <f t="shared" si="253"/>
        <v>0</v>
      </c>
      <c r="AT329" s="298">
        <f t="shared" si="276"/>
        <v>0</v>
      </c>
      <c r="AU329" s="285">
        <f t="shared" si="277"/>
        <v>6.6</v>
      </c>
      <c r="AV329" s="285">
        <v>6.6</v>
      </c>
      <c r="AW329" s="285"/>
      <c r="AX329" s="285"/>
      <c r="AY329" s="285"/>
      <c r="AZ329" s="285"/>
      <c r="BA329" s="285"/>
    </row>
    <row r="330" s="258" customFormat="1" ht="24" spans="1:53">
      <c r="A330" s="283">
        <v>323</v>
      </c>
      <c r="B330" s="284" t="s">
        <v>640</v>
      </c>
      <c r="C330" s="284" t="s">
        <v>199</v>
      </c>
      <c r="D330" s="284" t="s">
        <v>652</v>
      </c>
      <c r="E330" s="284" t="s">
        <v>647</v>
      </c>
      <c r="F330" s="285">
        <f t="shared" si="260"/>
        <v>1.8</v>
      </c>
      <c r="G330" s="285">
        <v>1.8</v>
      </c>
      <c r="H330" s="285"/>
      <c r="I330" s="285"/>
      <c r="J330" s="285"/>
      <c r="K330" s="285"/>
      <c r="L330" s="285"/>
      <c r="M330" s="285"/>
      <c r="N330" s="285"/>
      <c r="O330" s="285"/>
      <c r="P330" s="285">
        <f t="shared" si="261"/>
        <v>1.8</v>
      </c>
      <c r="Q330" s="285">
        <v>1.8</v>
      </c>
      <c r="R330" s="285"/>
      <c r="S330" s="285"/>
      <c r="T330" s="285"/>
      <c r="U330" s="285"/>
      <c r="V330" s="298">
        <f t="shared" si="262"/>
        <v>0</v>
      </c>
      <c r="W330" s="298"/>
      <c r="X330" s="298"/>
      <c r="Y330" s="298"/>
      <c r="Z330" s="298"/>
      <c r="AA330" s="298"/>
      <c r="AB330" s="298"/>
      <c r="AC330" s="298"/>
      <c r="AD330" s="298"/>
      <c r="AE330" s="285"/>
      <c r="AF330" s="299">
        <f t="shared" si="263"/>
        <v>0</v>
      </c>
      <c r="AG330" s="299">
        <f t="shared" si="264"/>
        <v>0</v>
      </c>
      <c r="AH330" s="299">
        <f t="shared" si="265"/>
        <v>0</v>
      </c>
      <c r="AI330" s="299">
        <f t="shared" si="266"/>
        <v>0</v>
      </c>
      <c r="AJ330" s="299">
        <f t="shared" si="267"/>
        <v>0</v>
      </c>
      <c r="AK330" s="299">
        <f t="shared" si="268"/>
        <v>0</v>
      </c>
      <c r="AL330" s="298">
        <f t="shared" si="269"/>
        <v>1.8</v>
      </c>
      <c r="AM330" s="298">
        <f t="shared" si="270"/>
        <v>1.8</v>
      </c>
      <c r="AN330" s="298">
        <f t="shared" si="271"/>
        <v>0</v>
      </c>
      <c r="AO330" s="298">
        <f t="shared" si="272"/>
        <v>0</v>
      </c>
      <c r="AP330" s="298">
        <f t="shared" si="273"/>
        <v>0</v>
      </c>
      <c r="AQ330" s="298">
        <f t="shared" si="274"/>
        <v>0</v>
      </c>
      <c r="AR330" s="298">
        <f t="shared" si="275"/>
        <v>0</v>
      </c>
      <c r="AS330" s="298">
        <f t="shared" si="253"/>
        <v>0</v>
      </c>
      <c r="AT330" s="298">
        <f t="shared" si="276"/>
        <v>0</v>
      </c>
      <c r="AU330" s="285">
        <f t="shared" si="277"/>
        <v>1.8</v>
      </c>
      <c r="AV330" s="285">
        <v>1.8</v>
      </c>
      <c r="AW330" s="285"/>
      <c r="AX330" s="285"/>
      <c r="AY330" s="285"/>
      <c r="AZ330" s="285"/>
      <c r="BA330" s="285"/>
    </row>
    <row r="331" s="258" customFormat="1" ht="24" spans="1:53">
      <c r="A331" s="283">
        <v>324</v>
      </c>
      <c r="B331" s="284" t="s">
        <v>640</v>
      </c>
      <c r="C331" s="284" t="s">
        <v>199</v>
      </c>
      <c r="D331" s="284" t="s">
        <v>653</v>
      </c>
      <c r="E331" s="284" t="s">
        <v>647</v>
      </c>
      <c r="F331" s="285">
        <f t="shared" si="260"/>
        <v>3.6</v>
      </c>
      <c r="G331" s="285">
        <v>3.6</v>
      </c>
      <c r="H331" s="285"/>
      <c r="I331" s="285"/>
      <c r="J331" s="285"/>
      <c r="K331" s="285"/>
      <c r="L331" s="285"/>
      <c r="M331" s="285"/>
      <c r="N331" s="285"/>
      <c r="O331" s="285"/>
      <c r="P331" s="285">
        <f t="shared" si="261"/>
        <v>3.6</v>
      </c>
      <c r="Q331" s="285">
        <v>3.6</v>
      </c>
      <c r="R331" s="285"/>
      <c r="S331" s="285"/>
      <c r="T331" s="285"/>
      <c r="U331" s="285"/>
      <c r="V331" s="298">
        <f t="shared" si="262"/>
        <v>0</v>
      </c>
      <c r="W331" s="298"/>
      <c r="X331" s="298"/>
      <c r="Y331" s="298"/>
      <c r="Z331" s="298"/>
      <c r="AA331" s="298"/>
      <c r="AB331" s="298"/>
      <c r="AC331" s="298"/>
      <c r="AD331" s="298"/>
      <c r="AE331" s="285"/>
      <c r="AF331" s="299">
        <f t="shared" si="263"/>
        <v>0</v>
      </c>
      <c r="AG331" s="299">
        <f t="shared" si="264"/>
        <v>0</v>
      </c>
      <c r="AH331" s="299">
        <f t="shared" si="265"/>
        <v>0</v>
      </c>
      <c r="AI331" s="299">
        <f t="shared" si="266"/>
        <v>0</v>
      </c>
      <c r="AJ331" s="299">
        <f t="shared" si="267"/>
        <v>0</v>
      </c>
      <c r="AK331" s="299">
        <f t="shared" si="268"/>
        <v>0</v>
      </c>
      <c r="AL331" s="298">
        <f t="shared" si="269"/>
        <v>3.6</v>
      </c>
      <c r="AM331" s="298">
        <f t="shared" si="270"/>
        <v>3.6</v>
      </c>
      <c r="AN331" s="298">
        <f t="shared" si="271"/>
        <v>0</v>
      </c>
      <c r="AO331" s="298">
        <f t="shared" si="272"/>
        <v>0</v>
      </c>
      <c r="AP331" s="298">
        <f t="shared" si="273"/>
        <v>0</v>
      </c>
      <c r="AQ331" s="298">
        <f t="shared" si="274"/>
        <v>0</v>
      </c>
      <c r="AR331" s="298">
        <f t="shared" si="275"/>
        <v>0</v>
      </c>
      <c r="AS331" s="298">
        <f t="shared" si="253"/>
        <v>0</v>
      </c>
      <c r="AT331" s="298">
        <f t="shared" si="276"/>
        <v>0</v>
      </c>
      <c r="AU331" s="285">
        <f t="shared" si="277"/>
        <v>3.6</v>
      </c>
      <c r="AV331" s="285">
        <v>3.6</v>
      </c>
      <c r="AW331" s="285"/>
      <c r="AX331" s="285"/>
      <c r="AY331" s="285"/>
      <c r="AZ331" s="285"/>
      <c r="BA331" s="285"/>
    </row>
    <row r="332" s="258" customFormat="1" ht="24" spans="1:53">
      <c r="A332" s="283">
        <v>325</v>
      </c>
      <c r="B332" s="284" t="s">
        <v>640</v>
      </c>
      <c r="C332" s="284" t="s">
        <v>199</v>
      </c>
      <c r="D332" s="284" t="s">
        <v>654</v>
      </c>
      <c r="E332" s="284" t="s">
        <v>647</v>
      </c>
      <c r="F332" s="285">
        <f t="shared" si="260"/>
        <v>1.2</v>
      </c>
      <c r="G332" s="285">
        <v>1.2</v>
      </c>
      <c r="H332" s="285"/>
      <c r="I332" s="285"/>
      <c r="J332" s="285"/>
      <c r="K332" s="285"/>
      <c r="L332" s="285"/>
      <c r="M332" s="285"/>
      <c r="N332" s="285"/>
      <c r="O332" s="285"/>
      <c r="P332" s="285">
        <f t="shared" si="261"/>
        <v>1.2</v>
      </c>
      <c r="Q332" s="285">
        <v>1.2</v>
      </c>
      <c r="R332" s="285"/>
      <c r="S332" s="285"/>
      <c r="T332" s="285"/>
      <c r="U332" s="285"/>
      <c r="V332" s="298">
        <f t="shared" si="262"/>
        <v>0</v>
      </c>
      <c r="W332" s="298"/>
      <c r="X332" s="298"/>
      <c r="Y332" s="298"/>
      <c r="Z332" s="298"/>
      <c r="AA332" s="298"/>
      <c r="AB332" s="298"/>
      <c r="AC332" s="298"/>
      <c r="AD332" s="298"/>
      <c r="AE332" s="285"/>
      <c r="AF332" s="299">
        <f t="shared" si="263"/>
        <v>0</v>
      </c>
      <c r="AG332" s="299">
        <f t="shared" si="264"/>
        <v>0</v>
      </c>
      <c r="AH332" s="299">
        <f t="shared" si="265"/>
        <v>0</v>
      </c>
      <c r="AI332" s="299">
        <f t="shared" si="266"/>
        <v>0</v>
      </c>
      <c r="AJ332" s="299">
        <f t="shared" si="267"/>
        <v>0</v>
      </c>
      <c r="AK332" s="299">
        <f t="shared" si="268"/>
        <v>0</v>
      </c>
      <c r="AL332" s="298">
        <f t="shared" si="269"/>
        <v>1.2</v>
      </c>
      <c r="AM332" s="298">
        <f t="shared" si="270"/>
        <v>1.2</v>
      </c>
      <c r="AN332" s="298">
        <f t="shared" si="271"/>
        <v>0</v>
      </c>
      <c r="AO332" s="298">
        <f t="shared" si="272"/>
        <v>0</v>
      </c>
      <c r="AP332" s="298">
        <f t="shared" si="273"/>
        <v>0</v>
      </c>
      <c r="AQ332" s="298">
        <f t="shared" si="274"/>
        <v>0</v>
      </c>
      <c r="AR332" s="298">
        <f t="shared" si="275"/>
        <v>0</v>
      </c>
      <c r="AS332" s="298">
        <f t="shared" si="253"/>
        <v>0</v>
      </c>
      <c r="AT332" s="298">
        <f t="shared" si="276"/>
        <v>0</v>
      </c>
      <c r="AU332" s="285">
        <f t="shared" si="277"/>
        <v>1.2</v>
      </c>
      <c r="AV332" s="285">
        <v>1.2</v>
      </c>
      <c r="AW332" s="285"/>
      <c r="AX332" s="285"/>
      <c r="AY332" s="285"/>
      <c r="AZ332" s="285"/>
      <c r="BA332" s="285"/>
    </row>
    <row r="333" s="258" customFormat="1" ht="24" spans="1:53">
      <c r="A333" s="283">
        <v>326</v>
      </c>
      <c r="B333" s="284" t="s">
        <v>640</v>
      </c>
      <c r="C333" s="284" t="s">
        <v>199</v>
      </c>
      <c r="D333" s="284" t="s">
        <v>655</v>
      </c>
      <c r="E333" s="284" t="s">
        <v>647</v>
      </c>
      <c r="F333" s="285">
        <f t="shared" si="260"/>
        <v>1.8</v>
      </c>
      <c r="G333" s="285">
        <v>1.8</v>
      </c>
      <c r="H333" s="285"/>
      <c r="I333" s="285"/>
      <c r="J333" s="285"/>
      <c r="K333" s="285"/>
      <c r="L333" s="285"/>
      <c r="M333" s="285"/>
      <c r="N333" s="285"/>
      <c r="O333" s="285"/>
      <c r="P333" s="285">
        <f t="shared" si="261"/>
        <v>1.8</v>
      </c>
      <c r="Q333" s="285">
        <v>1.8</v>
      </c>
      <c r="R333" s="285"/>
      <c r="S333" s="285"/>
      <c r="T333" s="285"/>
      <c r="U333" s="285"/>
      <c r="V333" s="298">
        <f t="shared" si="262"/>
        <v>0</v>
      </c>
      <c r="W333" s="298"/>
      <c r="X333" s="298"/>
      <c r="Y333" s="298"/>
      <c r="Z333" s="298"/>
      <c r="AA333" s="298"/>
      <c r="AB333" s="298"/>
      <c r="AC333" s="298"/>
      <c r="AD333" s="298"/>
      <c r="AE333" s="285"/>
      <c r="AF333" s="299">
        <f t="shared" si="263"/>
        <v>0</v>
      </c>
      <c r="AG333" s="299">
        <f t="shared" si="264"/>
        <v>0</v>
      </c>
      <c r="AH333" s="299">
        <f t="shared" si="265"/>
        <v>0</v>
      </c>
      <c r="AI333" s="299">
        <f t="shared" si="266"/>
        <v>0</v>
      </c>
      <c r="AJ333" s="299">
        <f t="shared" si="267"/>
        <v>0</v>
      </c>
      <c r="AK333" s="299">
        <f t="shared" si="268"/>
        <v>0</v>
      </c>
      <c r="AL333" s="298">
        <f t="shared" si="269"/>
        <v>1.8</v>
      </c>
      <c r="AM333" s="298">
        <f t="shared" si="270"/>
        <v>1.8</v>
      </c>
      <c r="AN333" s="298">
        <f t="shared" si="271"/>
        <v>0</v>
      </c>
      <c r="AO333" s="298">
        <f t="shared" si="272"/>
        <v>0</v>
      </c>
      <c r="AP333" s="298">
        <f t="shared" si="273"/>
        <v>0</v>
      </c>
      <c r="AQ333" s="298">
        <f t="shared" si="274"/>
        <v>0</v>
      </c>
      <c r="AR333" s="298">
        <f t="shared" si="275"/>
        <v>0</v>
      </c>
      <c r="AS333" s="298">
        <f t="shared" si="253"/>
        <v>0</v>
      </c>
      <c r="AT333" s="298">
        <f t="shared" si="276"/>
        <v>0</v>
      </c>
      <c r="AU333" s="285">
        <f t="shared" si="277"/>
        <v>1.8</v>
      </c>
      <c r="AV333" s="285">
        <v>1.8</v>
      </c>
      <c r="AW333" s="285"/>
      <c r="AX333" s="285"/>
      <c r="AY333" s="285"/>
      <c r="AZ333" s="285"/>
      <c r="BA333" s="285"/>
    </row>
    <row r="334" s="258" customFormat="1" ht="24" spans="1:53">
      <c r="A334" s="283">
        <v>327</v>
      </c>
      <c r="B334" s="284" t="s">
        <v>640</v>
      </c>
      <c r="C334" s="284" t="s">
        <v>199</v>
      </c>
      <c r="D334" s="284" t="s">
        <v>656</v>
      </c>
      <c r="E334" s="284" t="s">
        <v>647</v>
      </c>
      <c r="F334" s="285">
        <f t="shared" si="260"/>
        <v>3</v>
      </c>
      <c r="G334" s="285">
        <v>3</v>
      </c>
      <c r="H334" s="285"/>
      <c r="I334" s="285"/>
      <c r="J334" s="285"/>
      <c r="K334" s="285"/>
      <c r="L334" s="285"/>
      <c r="M334" s="285"/>
      <c r="N334" s="285"/>
      <c r="O334" s="285"/>
      <c r="P334" s="285">
        <f t="shared" si="261"/>
        <v>3</v>
      </c>
      <c r="Q334" s="285">
        <v>3</v>
      </c>
      <c r="R334" s="285"/>
      <c r="S334" s="285"/>
      <c r="T334" s="285"/>
      <c r="U334" s="285"/>
      <c r="V334" s="298">
        <f t="shared" si="262"/>
        <v>0</v>
      </c>
      <c r="W334" s="298"/>
      <c r="X334" s="298"/>
      <c r="Y334" s="298"/>
      <c r="Z334" s="298"/>
      <c r="AA334" s="298"/>
      <c r="AB334" s="298"/>
      <c r="AC334" s="298"/>
      <c r="AD334" s="298"/>
      <c r="AE334" s="285"/>
      <c r="AF334" s="299">
        <f t="shared" si="263"/>
        <v>0</v>
      </c>
      <c r="AG334" s="299">
        <f t="shared" si="264"/>
        <v>0</v>
      </c>
      <c r="AH334" s="299">
        <f t="shared" si="265"/>
        <v>0</v>
      </c>
      <c r="AI334" s="299">
        <f t="shared" si="266"/>
        <v>0</v>
      </c>
      <c r="AJ334" s="299">
        <f t="shared" si="267"/>
        <v>0</v>
      </c>
      <c r="AK334" s="299">
        <f t="shared" si="268"/>
        <v>0</v>
      </c>
      <c r="AL334" s="298">
        <f t="shared" si="269"/>
        <v>3</v>
      </c>
      <c r="AM334" s="298">
        <f t="shared" si="270"/>
        <v>3</v>
      </c>
      <c r="AN334" s="298">
        <f t="shared" si="271"/>
        <v>0</v>
      </c>
      <c r="AO334" s="298">
        <f t="shared" si="272"/>
        <v>0</v>
      </c>
      <c r="AP334" s="298">
        <f t="shared" si="273"/>
        <v>0</v>
      </c>
      <c r="AQ334" s="298">
        <f t="shared" si="274"/>
        <v>0</v>
      </c>
      <c r="AR334" s="298">
        <f t="shared" si="275"/>
        <v>0</v>
      </c>
      <c r="AS334" s="298">
        <f t="shared" si="253"/>
        <v>0</v>
      </c>
      <c r="AT334" s="298">
        <f t="shared" si="276"/>
        <v>0</v>
      </c>
      <c r="AU334" s="285">
        <f t="shared" si="277"/>
        <v>3</v>
      </c>
      <c r="AV334" s="285">
        <v>3</v>
      </c>
      <c r="AW334" s="285"/>
      <c r="AX334" s="285"/>
      <c r="AY334" s="285"/>
      <c r="AZ334" s="285"/>
      <c r="BA334" s="285"/>
    </row>
    <row r="335" s="258" customFormat="1" ht="24" spans="1:53">
      <c r="A335" s="283">
        <v>328</v>
      </c>
      <c r="B335" s="284" t="s">
        <v>640</v>
      </c>
      <c r="C335" s="284" t="s">
        <v>199</v>
      </c>
      <c r="D335" s="284" t="s">
        <v>657</v>
      </c>
      <c r="E335" s="284" t="s">
        <v>647</v>
      </c>
      <c r="F335" s="285">
        <f t="shared" si="260"/>
        <v>2.4</v>
      </c>
      <c r="G335" s="285">
        <v>2.4</v>
      </c>
      <c r="H335" s="285"/>
      <c r="I335" s="285"/>
      <c r="J335" s="285"/>
      <c r="K335" s="285"/>
      <c r="L335" s="285"/>
      <c r="M335" s="285"/>
      <c r="N335" s="285"/>
      <c r="O335" s="285"/>
      <c r="P335" s="285">
        <f t="shared" si="261"/>
        <v>2.4</v>
      </c>
      <c r="Q335" s="285">
        <v>2.4</v>
      </c>
      <c r="R335" s="285"/>
      <c r="S335" s="285"/>
      <c r="T335" s="285"/>
      <c r="U335" s="285"/>
      <c r="V335" s="298">
        <f t="shared" si="262"/>
        <v>0</v>
      </c>
      <c r="W335" s="298"/>
      <c r="X335" s="298"/>
      <c r="Y335" s="298"/>
      <c r="Z335" s="298"/>
      <c r="AA335" s="298"/>
      <c r="AB335" s="298"/>
      <c r="AC335" s="298"/>
      <c r="AD335" s="298"/>
      <c r="AE335" s="285"/>
      <c r="AF335" s="299">
        <f t="shared" si="263"/>
        <v>0</v>
      </c>
      <c r="AG335" s="299">
        <f t="shared" si="264"/>
        <v>0</v>
      </c>
      <c r="AH335" s="299">
        <f t="shared" si="265"/>
        <v>0</v>
      </c>
      <c r="AI335" s="299">
        <f t="shared" si="266"/>
        <v>0</v>
      </c>
      <c r="AJ335" s="299">
        <f t="shared" si="267"/>
        <v>0</v>
      </c>
      <c r="AK335" s="299">
        <f t="shared" si="268"/>
        <v>0</v>
      </c>
      <c r="AL335" s="298">
        <f t="shared" si="269"/>
        <v>2.4</v>
      </c>
      <c r="AM335" s="298">
        <f t="shared" si="270"/>
        <v>2.4</v>
      </c>
      <c r="AN335" s="298">
        <f t="shared" si="271"/>
        <v>0</v>
      </c>
      <c r="AO335" s="298">
        <f t="shared" si="272"/>
        <v>0</v>
      </c>
      <c r="AP335" s="298">
        <f t="shared" si="273"/>
        <v>0</v>
      </c>
      <c r="AQ335" s="298">
        <f t="shared" si="274"/>
        <v>0</v>
      </c>
      <c r="AR335" s="298">
        <f t="shared" si="275"/>
        <v>0</v>
      </c>
      <c r="AS335" s="298">
        <f t="shared" si="253"/>
        <v>0</v>
      </c>
      <c r="AT335" s="298">
        <f t="shared" si="276"/>
        <v>0</v>
      </c>
      <c r="AU335" s="285">
        <f t="shared" si="277"/>
        <v>2.4</v>
      </c>
      <c r="AV335" s="285">
        <v>2.4</v>
      </c>
      <c r="AW335" s="285"/>
      <c r="AX335" s="285"/>
      <c r="AY335" s="285"/>
      <c r="AZ335" s="285"/>
      <c r="BA335" s="285"/>
    </row>
    <row r="336" s="258" customFormat="1" ht="24" spans="1:53">
      <c r="A336" s="283">
        <v>329</v>
      </c>
      <c r="B336" s="284" t="s">
        <v>640</v>
      </c>
      <c r="C336" s="284" t="s">
        <v>199</v>
      </c>
      <c r="D336" s="284" t="s">
        <v>658</v>
      </c>
      <c r="E336" s="284" t="s">
        <v>647</v>
      </c>
      <c r="F336" s="285">
        <f t="shared" si="260"/>
        <v>2.4</v>
      </c>
      <c r="G336" s="285">
        <v>2.4</v>
      </c>
      <c r="H336" s="285"/>
      <c r="I336" s="285"/>
      <c r="J336" s="285"/>
      <c r="K336" s="285"/>
      <c r="L336" s="285"/>
      <c r="M336" s="285"/>
      <c r="N336" s="285"/>
      <c r="O336" s="285"/>
      <c r="P336" s="285">
        <f t="shared" si="261"/>
        <v>2.4</v>
      </c>
      <c r="Q336" s="285">
        <v>2.4</v>
      </c>
      <c r="R336" s="285"/>
      <c r="S336" s="285"/>
      <c r="T336" s="285"/>
      <c r="U336" s="285"/>
      <c r="V336" s="298">
        <f t="shared" si="262"/>
        <v>0</v>
      </c>
      <c r="W336" s="298"/>
      <c r="X336" s="298"/>
      <c r="Y336" s="298"/>
      <c r="Z336" s="298"/>
      <c r="AA336" s="298"/>
      <c r="AB336" s="298"/>
      <c r="AC336" s="298"/>
      <c r="AD336" s="298"/>
      <c r="AE336" s="285"/>
      <c r="AF336" s="299">
        <f t="shared" si="263"/>
        <v>0</v>
      </c>
      <c r="AG336" s="299">
        <f t="shared" si="264"/>
        <v>0</v>
      </c>
      <c r="AH336" s="299">
        <f t="shared" si="265"/>
        <v>0</v>
      </c>
      <c r="AI336" s="299">
        <f t="shared" si="266"/>
        <v>0</v>
      </c>
      <c r="AJ336" s="299">
        <f t="shared" si="267"/>
        <v>0</v>
      </c>
      <c r="AK336" s="299">
        <f t="shared" si="268"/>
        <v>0</v>
      </c>
      <c r="AL336" s="298">
        <f t="shared" si="269"/>
        <v>2.4</v>
      </c>
      <c r="AM336" s="298">
        <f t="shared" si="270"/>
        <v>2.4</v>
      </c>
      <c r="AN336" s="298">
        <f t="shared" si="271"/>
        <v>0</v>
      </c>
      <c r="AO336" s="298">
        <f t="shared" si="272"/>
        <v>0</v>
      </c>
      <c r="AP336" s="298">
        <f t="shared" si="273"/>
        <v>0</v>
      </c>
      <c r="AQ336" s="298">
        <f t="shared" si="274"/>
        <v>0</v>
      </c>
      <c r="AR336" s="298">
        <f t="shared" si="275"/>
        <v>0</v>
      </c>
      <c r="AS336" s="298">
        <f t="shared" si="253"/>
        <v>0</v>
      </c>
      <c r="AT336" s="298">
        <f t="shared" si="276"/>
        <v>0</v>
      </c>
      <c r="AU336" s="285">
        <f t="shared" si="277"/>
        <v>2.4</v>
      </c>
      <c r="AV336" s="285">
        <v>2.4</v>
      </c>
      <c r="AW336" s="285"/>
      <c r="AX336" s="285"/>
      <c r="AY336" s="285"/>
      <c r="AZ336" s="285"/>
      <c r="BA336" s="285"/>
    </row>
    <row r="337" s="258" customFormat="1" ht="24" spans="1:53">
      <c r="A337" s="283">
        <v>330</v>
      </c>
      <c r="B337" s="284" t="s">
        <v>640</v>
      </c>
      <c r="C337" s="284" t="s">
        <v>199</v>
      </c>
      <c r="D337" s="284" t="s">
        <v>659</v>
      </c>
      <c r="E337" s="284" t="s">
        <v>647</v>
      </c>
      <c r="F337" s="285">
        <f t="shared" si="260"/>
        <v>3.6</v>
      </c>
      <c r="G337" s="285">
        <v>3.6</v>
      </c>
      <c r="H337" s="285"/>
      <c r="I337" s="285"/>
      <c r="J337" s="285"/>
      <c r="K337" s="285"/>
      <c r="L337" s="285"/>
      <c r="M337" s="285"/>
      <c r="N337" s="285"/>
      <c r="O337" s="285"/>
      <c r="P337" s="285">
        <f t="shared" si="261"/>
        <v>3.6</v>
      </c>
      <c r="Q337" s="285">
        <v>3.6</v>
      </c>
      <c r="R337" s="285"/>
      <c r="S337" s="285"/>
      <c r="T337" s="285"/>
      <c r="U337" s="285"/>
      <c r="V337" s="298">
        <f t="shared" si="262"/>
        <v>0</v>
      </c>
      <c r="W337" s="298"/>
      <c r="X337" s="298"/>
      <c r="Y337" s="298"/>
      <c r="Z337" s="298"/>
      <c r="AA337" s="298"/>
      <c r="AB337" s="298"/>
      <c r="AC337" s="298"/>
      <c r="AD337" s="298"/>
      <c r="AE337" s="285"/>
      <c r="AF337" s="299">
        <f t="shared" si="263"/>
        <v>0</v>
      </c>
      <c r="AG337" s="299">
        <f t="shared" si="264"/>
        <v>0</v>
      </c>
      <c r="AH337" s="299">
        <f t="shared" si="265"/>
        <v>0</v>
      </c>
      <c r="AI337" s="299">
        <f t="shared" si="266"/>
        <v>0</v>
      </c>
      <c r="AJ337" s="299">
        <f t="shared" si="267"/>
        <v>0</v>
      </c>
      <c r="AK337" s="299">
        <f t="shared" si="268"/>
        <v>0</v>
      </c>
      <c r="AL337" s="298">
        <f t="shared" si="269"/>
        <v>3.6</v>
      </c>
      <c r="AM337" s="298">
        <f t="shared" si="270"/>
        <v>3.6</v>
      </c>
      <c r="AN337" s="298">
        <f t="shared" si="271"/>
        <v>0</v>
      </c>
      <c r="AO337" s="298">
        <f t="shared" si="272"/>
        <v>0</v>
      </c>
      <c r="AP337" s="298">
        <f t="shared" si="273"/>
        <v>0</v>
      </c>
      <c r="AQ337" s="298">
        <f t="shared" si="274"/>
        <v>0</v>
      </c>
      <c r="AR337" s="298">
        <f t="shared" si="275"/>
        <v>0</v>
      </c>
      <c r="AS337" s="298">
        <f t="shared" si="253"/>
        <v>0</v>
      </c>
      <c r="AT337" s="298">
        <f t="shared" si="276"/>
        <v>0</v>
      </c>
      <c r="AU337" s="285">
        <f t="shared" si="277"/>
        <v>3.6</v>
      </c>
      <c r="AV337" s="285">
        <v>3.6</v>
      </c>
      <c r="AW337" s="285"/>
      <c r="AX337" s="285"/>
      <c r="AY337" s="285"/>
      <c r="AZ337" s="285"/>
      <c r="BA337" s="285"/>
    </row>
    <row r="338" s="258" customFormat="1" ht="24" spans="1:53">
      <c r="A338" s="283">
        <v>331</v>
      </c>
      <c r="B338" s="284" t="s">
        <v>640</v>
      </c>
      <c r="C338" s="284" t="s">
        <v>199</v>
      </c>
      <c r="D338" s="284" t="s">
        <v>660</v>
      </c>
      <c r="E338" s="284" t="s">
        <v>647</v>
      </c>
      <c r="F338" s="285">
        <f t="shared" si="260"/>
        <v>6</v>
      </c>
      <c r="G338" s="285">
        <v>6</v>
      </c>
      <c r="H338" s="285"/>
      <c r="I338" s="285"/>
      <c r="J338" s="285"/>
      <c r="K338" s="285"/>
      <c r="L338" s="285"/>
      <c r="M338" s="285"/>
      <c r="N338" s="285"/>
      <c r="O338" s="285"/>
      <c r="P338" s="285">
        <f t="shared" si="261"/>
        <v>6</v>
      </c>
      <c r="Q338" s="285">
        <v>6</v>
      </c>
      <c r="R338" s="285"/>
      <c r="S338" s="285"/>
      <c r="T338" s="285"/>
      <c r="U338" s="285"/>
      <c r="V338" s="298">
        <f t="shared" si="262"/>
        <v>0</v>
      </c>
      <c r="W338" s="298"/>
      <c r="X338" s="298"/>
      <c r="Y338" s="298"/>
      <c r="Z338" s="298"/>
      <c r="AA338" s="298"/>
      <c r="AB338" s="298"/>
      <c r="AC338" s="298"/>
      <c r="AD338" s="298"/>
      <c r="AE338" s="285"/>
      <c r="AF338" s="299">
        <f t="shared" si="263"/>
        <v>0</v>
      </c>
      <c r="AG338" s="299">
        <f t="shared" si="264"/>
        <v>0</v>
      </c>
      <c r="AH338" s="299">
        <f t="shared" si="265"/>
        <v>0</v>
      </c>
      <c r="AI338" s="299">
        <f t="shared" si="266"/>
        <v>0</v>
      </c>
      <c r="AJ338" s="299">
        <f t="shared" si="267"/>
        <v>0</v>
      </c>
      <c r="AK338" s="299">
        <f t="shared" si="268"/>
        <v>0</v>
      </c>
      <c r="AL338" s="298">
        <f t="shared" si="269"/>
        <v>6</v>
      </c>
      <c r="AM338" s="298">
        <f t="shared" si="270"/>
        <v>6</v>
      </c>
      <c r="AN338" s="298">
        <f t="shared" si="271"/>
        <v>0</v>
      </c>
      <c r="AO338" s="298">
        <f t="shared" si="272"/>
        <v>0</v>
      </c>
      <c r="AP338" s="298">
        <f t="shared" si="273"/>
        <v>0</v>
      </c>
      <c r="AQ338" s="298">
        <f t="shared" si="274"/>
        <v>0</v>
      </c>
      <c r="AR338" s="298">
        <f t="shared" si="275"/>
        <v>0</v>
      </c>
      <c r="AS338" s="298">
        <f t="shared" si="253"/>
        <v>0</v>
      </c>
      <c r="AT338" s="298">
        <f t="shared" si="276"/>
        <v>0</v>
      </c>
      <c r="AU338" s="285">
        <f t="shared" si="277"/>
        <v>6</v>
      </c>
      <c r="AV338" s="285">
        <v>6</v>
      </c>
      <c r="AW338" s="285"/>
      <c r="AX338" s="285"/>
      <c r="AY338" s="285"/>
      <c r="AZ338" s="285"/>
      <c r="BA338" s="285"/>
    </row>
    <row r="339" s="258" customFormat="1" ht="24" spans="1:53">
      <c r="A339" s="283">
        <v>332</v>
      </c>
      <c r="B339" s="284" t="s">
        <v>640</v>
      </c>
      <c r="C339" s="284" t="s">
        <v>199</v>
      </c>
      <c r="D339" s="284" t="s">
        <v>661</v>
      </c>
      <c r="E339" s="284" t="s">
        <v>647</v>
      </c>
      <c r="F339" s="285">
        <f t="shared" si="260"/>
        <v>3.6</v>
      </c>
      <c r="G339" s="285">
        <v>3.6</v>
      </c>
      <c r="H339" s="285"/>
      <c r="I339" s="285"/>
      <c r="J339" s="285"/>
      <c r="K339" s="285"/>
      <c r="L339" s="285"/>
      <c r="M339" s="285"/>
      <c r="N339" s="285"/>
      <c r="O339" s="285"/>
      <c r="P339" s="285">
        <f t="shared" si="261"/>
        <v>3.6</v>
      </c>
      <c r="Q339" s="285">
        <v>3.6</v>
      </c>
      <c r="R339" s="285"/>
      <c r="S339" s="285"/>
      <c r="T339" s="285"/>
      <c r="U339" s="285"/>
      <c r="V339" s="298">
        <f t="shared" si="262"/>
        <v>0</v>
      </c>
      <c r="W339" s="298"/>
      <c r="X339" s="298"/>
      <c r="Y339" s="298"/>
      <c r="Z339" s="298"/>
      <c r="AA339" s="298"/>
      <c r="AB339" s="298"/>
      <c r="AC339" s="298"/>
      <c r="AD339" s="298"/>
      <c r="AE339" s="285"/>
      <c r="AF339" s="299">
        <f t="shared" si="263"/>
        <v>0</v>
      </c>
      <c r="AG339" s="299">
        <f t="shared" si="264"/>
        <v>0</v>
      </c>
      <c r="AH339" s="299">
        <f t="shared" si="265"/>
        <v>0</v>
      </c>
      <c r="AI339" s="299">
        <f t="shared" si="266"/>
        <v>0</v>
      </c>
      <c r="AJ339" s="299">
        <f t="shared" si="267"/>
        <v>0</v>
      </c>
      <c r="AK339" s="299">
        <f t="shared" si="268"/>
        <v>0</v>
      </c>
      <c r="AL339" s="298">
        <f t="shared" si="269"/>
        <v>3.6</v>
      </c>
      <c r="AM339" s="298">
        <f t="shared" si="270"/>
        <v>3.6</v>
      </c>
      <c r="AN339" s="298">
        <f t="shared" si="271"/>
        <v>0</v>
      </c>
      <c r="AO339" s="298">
        <f t="shared" si="272"/>
        <v>0</v>
      </c>
      <c r="AP339" s="298">
        <f t="shared" si="273"/>
        <v>0</v>
      </c>
      <c r="AQ339" s="298">
        <f t="shared" si="274"/>
        <v>0</v>
      </c>
      <c r="AR339" s="298">
        <f t="shared" si="275"/>
        <v>0</v>
      </c>
      <c r="AS339" s="298">
        <f t="shared" si="253"/>
        <v>0</v>
      </c>
      <c r="AT339" s="298">
        <f t="shared" si="276"/>
        <v>0</v>
      </c>
      <c r="AU339" s="285">
        <f t="shared" si="277"/>
        <v>3.6</v>
      </c>
      <c r="AV339" s="285">
        <v>3.6</v>
      </c>
      <c r="AW339" s="285"/>
      <c r="AX339" s="285"/>
      <c r="AY339" s="285"/>
      <c r="AZ339" s="285"/>
      <c r="BA339" s="285"/>
    </row>
    <row r="340" s="258" customFormat="1" ht="24" spans="1:53">
      <c r="A340" s="283">
        <v>333</v>
      </c>
      <c r="B340" s="284" t="s">
        <v>640</v>
      </c>
      <c r="C340" s="284" t="s">
        <v>199</v>
      </c>
      <c r="D340" s="284" t="s">
        <v>662</v>
      </c>
      <c r="E340" s="284" t="s">
        <v>647</v>
      </c>
      <c r="F340" s="285">
        <f t="shared" si="260"/>
        <v>4.8</v>
      </c>
      <c r="G340" s="285">
        <v>4.8</v>
      </c>
      <c r="H340" s="285"/>
      <c r="I340" s="285"/>
      <c r="J340" s="285"/>
      <c r="K340" s="285"/>
      <c r="L340" s="285"/>
      <c r="M340" s="285"/>
      <c r="N340" s="285"/>
      <c r="O340" s="285"/>
      <c r="P340" s="285">
        <f t="shared" si="261"/>
        <v>4.8</v>
      </c>
      <c r="Q340" s="285">
        <v>4.8</v>
      </c>
      <c r="R340" s="285"/>
      <c r="S340" s="285"/>
      <c r="T340" s="285"/>
      <c r="U340" s="285"/>
      <c r="V340" s="298">
        <f t="shared" si="262"/>
        <v>0</v>
      </c>
      <c r="W340" s="298"/>
      <c r="X340" s="298"/>
      <c r="Y340" s="298"/>
      <c r="Z340" s="298"/>
      <c r="AA340" s="298"/>
      <c r="AB340" s="298"/>
      <c r="AC340" s="298"/>
      <c r="AD340" s="298"/>
      <c r="AE340" s="285"/>
      <c r="AF340" s="299">
        <f t="shared" si="263"/>
        <v>0</v>
      </c>
      <c r="AG340" s="299">
        <f t="shared" si="264"/>
        <v>0</v>
      </c>
      <c r="AH340" s="299">
        <f t="shared" si="265"/>
        <v>0</v>
      </c>
      <c r="AI340" s="299">
        <f t="shared" si="266"/>
        <v>0</v>
      </c>
      <c r="AJ340" s="299">
        <f t="shared" si="267"/>
        <v>0</v>
      </c>
      <c r="AK340" s="299">
        <f t="shared" si="268"/>
        <v>0</v>
      </c>
      <c r="AL340" s="298">
        <f t="shared" si="269"/>
        <v>4.8</v>
      </c>
      <c r="AM340" s="298">
        <f t="shared" si="270"/>
        <v>4.8</v>
      </c>
      <c r="AN340" s="298">
        <f t="shared" si="271"/>
        <v>0</v>
      </c>
      <c r="AO340" s="298">
        <f t="shared" si="272"/>
        <v>0</v>
      </c>
      <c r="AP340" s="298">
        <f t="shared" si="273"/>
        <v>0</v>
      </c>
      <c r="AQ340" s="298">
        <f t="shared" si="274"/>
        <v>0</v>
      </c>
      <c r="AR340" s="298">
        <f t="shared" si="275"/>
        <v>0</v>
      </c>
      <c r="AS340" s="298">
        <f t="shared" si="253"/>
        <v>0</v>
      </c>
      <c r="AT340" s="298">
        <f t="shared" si="276"/>
        <v>0</v>
      </c>
      <c r="AU340" s="285">
        <f t="shared" si="277"/>
        <v>4.8</v>
      </c>
      <c r="AV340" s="285">
        <v>4.8</v>
      </c>
      <c r="AW340" s="285"/>
      <c r="AX340" s="285"/>
      <c r="AY340" s="285"/>
      <c r="AZ340" s="285"/>
      <c r="BA340" s="285"/>
    </row>
    <row r="341" s="258" customFormat="1" ht="24" spans="1:53">
      <c r="A341" s="283">
        <v>334</v>
      </c>
      <c r="B341" s="284" t="s">
        <v>640</v>
      </c>
      <c r="C341" s="284" t="s">
        <v>199</v>
      </c>
      <c r="D341" s="284" t="s">
        <v>663</v>
      </c>
      <c r="E341" s="284" t="s">
        <v>647</v>
      </c>
      <c r="F341" s="285">
        <f t="shared" si="260"/>
        <v>3</v>
      </c>
      <c r="G341" s="285">
        <v>3</v>
      </c>
      <c r="H341" s="285"/>
      <c r="I341" s="285"/>
      <c r="J341" s="285"/>
      <c r="K341" s="285"/>
      <c r="L341" s="285"/>
      <c r="M341" s="285"/>
      <c r="N341" s="285"/>
      <c r="O341" s="285"/>
      <c r="P341" s="285">
        <f t="shared" si="261"/>
        <v>3</v>
      </c>
      <c r="Q341" s="285">
        <v>3</v>
      </c>
      <c r="R341" s="285"/>
      <c r="S341" s="285"/>
      <c r="T341" s="285"/>
      <c r="U341" s="285"/>
      <c r="V341" s="298">
        <f t="shared" si="262"/>
        <v>0</v>
      </c>
      <c r="W341" s="298"/>
      <c r="X341" s="298"/>
      <c r="Y341" s="298"/>
      <c r="Z341" s="298"/>
      <c r="AA341" s="298"/>
      <c r="AB341" s="298"/>
      <c r="AC341" s="298"/>
      <c r="AD341" s="298"/>
      <c r="AE341" s="285"/>
      <c r="AF341" s="299">
        <f t="shared" si="263"/>
        <v>0</v>
      </c>
      <c r="AG341" s="299">
        <f t="shared" si="264"/>
        <v>0</v>
      </c>
      <c r="AH341" s="299">
        <f t="shared" si="265"/>
        <v>0</v>
      </c>
      <c r="AI341" s="299">
        <f t="shared" si="266"/>
        <v>0</v>
      </c>
      <c r="AJ341" s="299">
        <f t="shared" si="267"/>
        <v>0</v>
      </c>
      <c r="AK341" s="299">
        <f t="shared" si="268"/>
        <v>0</v>
      </c>
      <c r="AL341" s="298">
        <f t="shared" si="269"/>
        <v>3</v>
      </c>
      <c r="AM341" s="298">
        <f t="shared" si="270"/>
        <v>3</v>
      </c>
      <c r="AN341" s="298">
        <f t="shared" si="271"/>
        <v>0</v>
      </c>
      <c r="AO341" s="298">
        <f t="shared" si="272"/>
        <v>0</v>
      </c>
      <c r="AP341" s="298">
        <f t="shared" si="273"/>
        <v>0</v>
      </c>
      <c r="AQ341" s="298">
        <f t="shared" si="274"/>
        <v>0</v>
      </c>
      <c r="AR341" s="298">
        <f t="shared" si="275"/>
        <v>0</v>
      </c>
      <c r="AS341" s="298">
        <f t="shared" si="253"/>
        <v>0</v>
      </c>
      <c r="AT341" s="298">
        <f t="shared" si="276"/>
        <v>0</v>
      </c>
      <c r="AU341" s="285">
        <f t="shared" si="277"/>
        <v>3</v>
      </c>
      <c r="AV341" s="285">
        <v>3</v>
      </c>
      <c r="AW341" s="285"/>
      <c r="AX341" s="285"/>
      <c r="AY341" s="285"/>
      <c r="AZ341" s="285"/>
      <c r="BA341" s="285"/>
    </row>
    <row r="342" s="258" customFormat="1" ht="24" spans="1:53">
      <c r="A342" s="283">
        <v>335</v>
      </c>
      <c r="B342" s="284" t="s">
        <v>640</v>
      </c>
      <c r="C342" s="284" t="s">
        <v>199</v>
      </c>
      <c r="D342" s="284" t="s">
        <v>664</v>
      </c>
      <c r="E342" s="284" t="s">
        <v>647</v>
      </c>
      <c r="F342" s="285">
        <f t="shared" si="260"/>
        <v>3</v>
      </c>
      <c r="G342" s="285">
        <v>3</v>
      </c>
      <c r="H342" s="285"/>
      <c r="I342" s="285"/>
      <c r="J342" s="285"/>
      <c r="K342" s="285"/>
      <c r="L342" s="285"/>
      <c r="M342" s="285"/>
      <c r="N342" s="285"/>
      <c r="O342" s="285"/>
      <c r="P342" s="285">
        <f t="shared" si="261"/>
        <v>3</v>
      </c>
      <c r="Q342" s="285">
        <v>3</v>
      </c>
      <c r="R342" s="285"/>
      <c r="S342" s="285"/>
      <c r="T342" s="285"/>
      <c r="U342" s="285"/>
      <c r="V342" s="298">
        <f t="shared" si="262"/>
        <v>0</v>
      </c>
      <c r="W342" s="298"/>
      <c r="X342" s="298"/>
      <c r="Y342" s="298"/>
      <c r="Z342" s="298"/>
      <c r="AA342" s="298"/>
      <c r="AB342" s="298"/>
      <c r="AC342" s="298"/>
      <c r="AD342" s="298"/>
      <c r="AE342" s="285"/>
      <c r="AF342" s="299">
        <f t="shared" si="263"/>
        <v>0</v>
      </c>
      <c r="AG342" s="299">
        <f t="shared" si="264"/>
        <v>0</v>
      </c>
      <c r="AH342" s="299">
        <f t="shared" si="265"/>
        <v>0</v>
      </c>
      <c r="AI342" s="299">
        <f t="shared" si="266"/>
        <v>0</v>
      </c>
      <c r="AJ342" s="299">
        <f t="shared" si="267"/>
        <v>0</v>
      </c>
      <c r="AK342" s="299">
        <f t="shared" si="268"/>
        <v>0</v>
      </c>
      <c r="AL342" s="298">
        <f t="shared" si="269"/>
        <v>3</v>
      </c>
      <c r="AM342" s="298">
        <f t="shared" si="270"/>
        <v>3</v>
      </c>
      <c r="AN342" s="298">
        <f t="shared" si="271"/>
        <v>0</v>
      </c>
      <c r="AO342" s="298">
        <f t="shared" si="272"/>
        <v>0</v>
      </c>
      <c r="AP342" s="298">
        <f t="shared" si="273"/>
        <v>0</v>
      </c>
      <c r="AQ342" s="298">
        <f t="shared" si="274"/>
        <v>0</v>
      </c>
      <c r="AR342" s="298">
        <f t="shared" si="275"/>
        <v>0</v>
      </c>
      <c r="AS342" s="298">
        <f t="shared" si="253"/>
        <v>0</v>
      </c>
      <c r="AT342" s="298">
        <f t="shared" si="276"/>
        <v>0</v>
      </c>
      <c r="AU342" s="285">
        <f t="shared" si="277"/>
        <v>3</v>
      </c>
      <c r="AV342" s="285">
        <v>3</v>
      </c>
      <c r="AW342" s="285"/>
      <c r="AX342" s="285"/>
      <c r="AY342" s="285"/>
      <c r="AZ342" s="285"/>
      <c r="BA342" s="285"/>
    </row>
    <row r="343" s="258" customFormat="1" ht="68" customHeight="1" spans="1:53">
      <c r="A343" s="283">
        <v>336</v>
      </c>
      <c r="B343" s="284" t="s">
        <v>665</v>
      </c>
      <c r="C343" s="284" t="s">
        <v>196</v>
      </c>
      <c r="D343" s="284" t="s">
        <v>666</v>
      </c>
      <c r="E343" s="284" t="s">
        <v>667</v>
      </c>
      <c r="F343" s="285">
        <f t="shared" si="260"/>
        <v>407.5</v>
      </c>
      <c r="G343" s="285">
        <v>16</v>
      </c>
      <c r="H343" s="285">
        <v>10</v>
      </c>
      <c r="I343" s="285">
        <v>14.5</v>
      </c>
      <c r="J343" s="285"/>
      <c r="K343" s="285"/>
      <c r="L343" s="285"/>
      <c r="M343" s="285">
        <v>247</v>
      </c>
      <c r="N343" s="285">
        <v>120</v>
      </c>
      <c r="O343" s="285" t="s">
        <v>1191</v>
      </c>
      <c r="P343" s="285">
        <f t="shared" si="261"/>
        <v>407.5</v>
      </c>
      <c r="Q343" s="285">
        <v>160.5</v>
      </c>
      <c r="R343" s="285">
        <v>115</v>
      </c>
      <c r="S343" s="285">
        <v>132</v>
      </c>
      <c r="T343" s="285"/>
      <c r="U343" s="285"/>
      <c r="V343" s="298">
        <f t="shared" si="262"/>
        <v>-62.11</v>
      </c>
      <c r="W343" s="298"/>
      <c r="X343" s="298"/>
      <c r="Y343" s="298">
        <v>-0.48</v>
      </c>
      <c r="Z343" s="298"/>
      <c r="AA343" s="298"/>
      <c r="AB343" s="298">
        <f>-247+171.37+14</f>
        <v>-61.63</v>
      </c>
      <c r="AC343" s="298"/>
      <c r="AD343" s="298"/>
      <c r="AE343" s="285" t="s">
        <v>1192</v>
      </c>
      <c r="AF343" s="299">
        <f t="shared" si="263"/>
        <v>-62.11</v>
      </c>
      <c r="AG343" s="299">
        <f t="shared" si="264"/>
        <v>-0.480000000000018</v>
      </c>
      <c r="AH343" s="299">
        <f t="shared" si="265"/>
        <v>-101</v>
      </c>
      <c r="AI343" s="299">
        <f t="shared" si="266"/>
        <v>39.37</v>
      </c>
      <c r="AJ343" s="299">
        <f t="shared" si="267"/>
        <v>0</v>
      </c>
      <c r="AK343" s="299">
        <f t="shared" si="268"/>
        <v>0</v>
      </c>
      <c r="AL343" s="298">
        <f t="shared" si="269"/>
        <v>345.39</v>
      </c>
      <c r="AM343" s="298">
        <f t="shared" si="270"/>
        <v>16</v>
      </c>
      <c r="AN343" s="298">
        <f t="shared" si="271"/>
        <v>10</v>
      </c>
      <c r="AO343" s="298">
        <f t="shared" si="272"/>
        <v>14.02</v>
      </c>
      <c r="AP343" s="298">
        <f t="shared" si="273"/>
        <v>0</v>
      </c>
      <c r="AQ343" s="298">
        <f t="shared" si="274"/>
        <v>0</v>
      </c>
      <c r="AR343" s="298">
        <f t="shared" si="275"/>
        <v>185.37</v>
      </c>
      <c r="AS343" s="298">
        <f t="shared" si="253"/>
        <v>0</v>
      </c>
      <c r="AT343" s="298">
        <f t="shared" si="276"/>
        <v>120</v>
      </c>
      <c r="AU343" s="285">
        <f t="shared" si="277"/>
        <v>345.39</v>
      </c>
      <c r="AV343" s="285">
        <v>160.02</v>
      </c>
      <c r="AW343" s="285">
        <v>14</v>
      </c>
      <c r="AX343" s="285">
        <v>171.37</v>
      </c>
      <c r="AY343" s="285"/>
      <c r="AZ343" s="285"/>
      <c r="BA343" s="285">
        <v>315</v>
      </c>
    </row>
    <row r="344" s="258" customFormat="1" ht="24" spans="1:53">
      <c r="A344" s="283">
        <v>337</v>
      </c>
      <c r="B344" s="284" t="s">
        <v>665</v>
      </c>
      <c r="C344" s="284" t="s">
        <v>196</v>
      </c>
      <c r="D344" s="284" t="s">
        <v>668</v>
      </c>
      <c r="E344" s="284" t="s">
        <v>667</v>
      </c>
      <c r="F344" s="285">
        <f t="shared" si="260"/>
        <v>86.27</v>
      </c>
      <c r="G344" s="285">
        <v>26</v>
      </c>
      <c r="H344" s="285">
        <v>4</v>
      </c>
      <c r="I344" s="285">
        <v>17.27</v>
      </c>
      <c r="J344" s="285"/>
      <c r="K344" s="285">
        <v>30</v>
      </c>
      <c r="L344" s="285" t="s">
        <v>1193</v>
      </c>
      <c r="M344" s="285">
        <v>9</v>
      </c>
      <c r="N344" s="285"/>
      <c r="O344" s="285"/>
      <c r="P344" s="285">
        <f t="shared" si="261"/>
        <v>86.27</v>
      </c>
      <c r="Q344" s="285">
        <v>77.27</v>
      </c>
      <c r="R344" s="285"/>
      <c r="S344" s="285">
        <v>9</v>
      </c>
      <c r="T344" s="285"/>
      <c r="U344" s="285"/>
      <c r="V344" s="298">
        <f t="shared" si="262"/>
        <v>8.41</v>
      </c>
      <c r="W344" s="298"/>
      <c r="X344" s="298"/>
      <c r="Y344" s="298">
        <v>1.45</v>
      </c>
      <c r="Z344" s="298"/>
      <c r="AA344" s="298"/>
      <c r="AB344" s="298">
        <f>-9+15.96</f>
        <v>6.96</v>
      </c>
      <c r="AC344" s="298"/>
      <c r="AD344" s="298"/>
      <c r="AE344" s="285" t="s">
        <v>1194</v>
      </c>
      <c r="AF344" s="299">
        <f t="shared" si="263"/>
        <v>8.41</v>
      </c>
      <c r="AG344" s="299">
        <f t="shared" si="264"/>
        <v>1.45</v>
      </c>
      <c r="AH344" s="299">
        <f t="shared" si="265"/>
        <v>0</v>
      </c>
      <c r="AI344" s="299">
        <f t="shared" si="266"/>
        <v>6.96</v>
      </c>
      <c r="AJ344" s="299">
        <f t="shared" si="267"/>
        <v>0</v>
      </c>
      <c r="AK344" s="299">
        <f t="shared" si="268"/>
        <v>0</v>
      </c>
      <c r="AL344" s="298">
        <f t="shared" si="269"/>
        <v>94.68</v>
      </c>
      <c r="AM344" s="298">
        <f t="shared" si="270"/>
        <v>26</v>
      </c>
      <c r="AN344" s="298">
        <f t="shared" si="271"/>
        <v>4</v>
      </c>
      <c r="AO344" s="298">
        <f t="shared" si="272"/>
        <v>18.72</v>
      </c>
      <c r="AP344" s="298">
        <f t="shared" si="273"/>
        <v>0</v>
      </c>
      <c r="AQ344" s="298">
        <f t="shared" si="274"/>
        <v>30</v>
      </c>
      <c r="AR344" s="298">
        <f t="shared" si="275"/>
        <v>15.96</v>
      </c>
      <c r="AS344" s="298">
        <f t="shared" ref="AS344:AS375" si="278">AC344</f>
        <v>0</v>
      </c>
      <c r="AT344" s="298">
        <f t="shared" si="276"/>
        <v>0</v>
      </c>
      <c r="AU344" s="285">
        <f t="shared" si="277"/>
        <v>94.68</v>
      </c>
      <c r="AV344" s="285">
        <v>78.72</v>
      </c>
      <c r="AW344" s="285"/>
      <c r="AX344" s="285">
        <v>15.96</v>
      </c>
      <c r="AY344" s="285"/>
      <c r="AZ344" s="285"/>
      <c r="BA344" s="285"/>
    </row>
    <row r="345" s="258" customFormat="1" ht="24" spans="1:53">
      <c r="A345" s="283">
        <v>338</v>
      </c>
      <c r="B345" s="284" t="s">
        <v>665</v>
      </c>
      <c r="C345" s="284" t="s">
        <v>199</v>
      </c>
      <c r="D345" s="284" t="s">
        <v>669</v>
      </c>
      <c r="E345" s="284" t="s">
        <v>670</v>
      </c>
      <c r="F345" s="285">
        <f t="shared" si="260"/>
        <v>2.4</v>
      </c>
      <c r="G345" s="285">
        <v>2.4</v>
      </c>
      <c r="H345" s="285"/>
      <c r="I345" s="285"/>
      <c r="J345" s="285"/>
      <c r="K345" s="285"/>
      <c r="L345" s="285"/>
      <c r="M345" s="285"/>
      <c r="N345" s="285"/>
      <c r="O345" s="285"/>
      <c r="P345" s="285">
        <f t="shared" si="261"/>
        <v>2.4</v>
      </c>
      <c r="Q345" s="285">
        <v>2.4</v>
      </c>
      <c r="R345" s="285"/>
      <c r="S345" s="285"/>
      <c r="T345" s="285"/>
      <c r="U345" s="285"/>
      <c r="V345" s="298">
        <f t="shared" si="262"/>
        <v>0</v>
      </c>
      <c r="W345" s="298"/>
      <c r="X345" s="298"/>
      <c r="Y345" s="298"/>
      <c r="Z345" s="298"/>
      <c r="AA345" s="298"/>
      <c r="AB345" s="298"/>
      <c r="AC345" s="298"/>
      <c r="AD345" s="298"/>
      <c r="AE345" s="285"/>
      <c r="AF345" s="299">
        <f t="shared" si="263"/>
        <v>0</v>
      </c>
      <c r="AG345" s="299">
        <f t="shared" si="264"/>
        <v>0</v>
      </c>
      <c r="AH345" s="299">
        <f t="shared" si="265"/>
        <v>0</v>
      </c>
      <c r="AI345" s="299">
        <f t="shared" si="266"/>
        <v>0</v>
      </c>
      <c r="AJ345" s="299">
        <f t="shared" si="267"/>
        <v>0</v>
      </c>
      <c r="AK345" s="299">
        <f t="shared" si="268"/>
        <v>0</v>
      </c>
      <c r="AL345" s="298">
        <f t="shared" si="269"/>
        <v>2.4</v>
      </c>
      <c r="AM345" s="298">
        <f t="shared" si="270"/>
        <v>2.4</v>
      </c>
      <c r="AN345" s="298">
        <f t="shared" si="271"/>
        <v>0</v>
      </c>
      <c r="AO345" s="298">
        <f t="shared" si="272"/>
        <v>0</v>
      </c>
      <c r="AP345" s="298">
        <f t="shared" si="273"/>
        <v>0</v>
      </c>
      <c r="AQ345" s="298">
        <f t="shared" si="274"/>
        <v>0</v>
      </c>
      <c r="AR345" s="298">
        <f t="shared" si="275"/>
        <v>0</v>
      </c>
      <c r="AS345" s="298">
        <f t="shared" si="278"/>
        <v>0</v>
      </c>
      <c r="AT345" s="298">
        <f t="shared" si="276"/>
        <v>0</v>
      </c>
      <c r="AU345" s="285">
        <f t="shared" si="277"/>
        <v>2.4</v>
      </c>
      <c r="AV345" s="285">
        <v>2.4</v>
      </c>
      <c r="AW345" s="285"/>
      <c r="AX345" s="285"/>
      <c r="AY345" s="285"/>
      <c r="AZ345" s="285"/>
      <c r="BA345" s="285"/>
    </row>
    <row r="346" s="258" customFormat="1" ht="24" spans="1:53">
      <c r="A346" s="283">
        <v>339</v>
      </c>
      <c r="B346" s="284" t="s">
        <v>665</v>
      </c>
      <c r="C346" s="284" t="s">
        <v>199</v>
      </c>
      <c r="D346" s="284" t="s">
        <v>672</v>
      </c>
      <c r="E346" s="284" t="s">
        <v>670</v>
      </c>
      <c r="F346" s="285">
        <f t="shared" si="260"/>
        <v>15</v>
      </c>
      <c r="G346" s="285">
        <v>15</v>
      </c>
      <c r="H346" s="285"/>
      <c r="I346" s="285"/>
      <c r="J346" s="285"/>
      <c r="K346" s="285"/>
      <c r="L346" s="285"/>
      <c r="M346" s="285"/>
      <c r="N346" s="285"/>
      <c r="O346" s="285"/>
      <c r="P346" s="285">
        <f t="shared" si="261"/>
        <v>15</v>
      </c>
      <c r="Q346" s="285">
        <v>15</v>
      </c>
      <c r="R346" s="285"/>
      <c r="S346" s="285"/>
      <c r="T346" s="285"/>
      <c r="U346" s="285"/>
      <c r="V346" s="298">
        <f t="shared" si="262"/>
        <v>0</v>
      </c>
      <c r="W346" s="298"/>
      <c r="X346" s="298"/>
      <c r="Y346" s="298"/>
      <c r="Z346" s="298"/>
      <c r="AA346" s="298"/>
      <c r="AB346" s="298"/>
      <c r="AC346" s="298"/>
      <c r="AD346" s="298"/>
      <c r="AE346" s="285"/>
      <c r="AF346" s="299">
        <f t="shared" si="263"/>
        <v>0</v>
      </c>
      <c r="AG346" s="299">
        <f t="shared" si="264"/>
        <v>0</v>
      </c>
      <c r="AH346" s="299">
        <f t="shared" si="265"/>
        <v>0</v>
      </c>
      <c r="AI346" s="299">
        <f t="shared" si="266"/>
        <v>0</v>
      </c>
      <c r="AJ346" s="299">
        <f t="shared" si="267"/>
        <v>0</v>
      </c>
      <c r="AK346" s="299">
        <f t="shared" si="268"/>
        <v>0</v>
      </c>
      <c r="AL346" s="298">
        <f t="shared" si="269"/>
        <v>15</v>
      </c>
      <c r="AM346" s="298">
        <f t="shared" si="270"/>
        <v>15</v>
      </c>
      <c r="AN346" s="298">
        <f t="shared" si="271"/>
        <v>0</v>
      </c>
      <c r="AO346" s="298">
        <f t="shared" si="272"/>
        <v>0</v>
      </c>
      <c r="AP346" s="298">
        <f t="shared" si="273"/>
        <v>0</v>
      </c>
      <c r="AQ346" s="298">
        <f t="shared" si="274"/>
        <v>0</v>
      </c>
      <c r="AR346" s="298">
        <f t="shared" si="275"/>
        <v>0</v>
      </c>
      <c r="AS346" s="298">
        <f t="shared" si="278"/>
        <v>0</v>
      </c>
      <c r="AT346" s="298">
        <f t="shared" si="276"/>
        <v>0</v>
      </c>
      <c r="AU346" s="285">
        <f t="shared" si="277"/>
        <v>15</v>
      </c>
      <c r="AV346" s="285">
        <v>15</v>
      </c>
      <c r="AW346" s="285"/>
      <c r="AX346" s="285"/>
      <c r="AY346" s="285"/>
      <c r="AZ346" s="285"/>
      <c r="BA346" s="285"/>
    </row>
    <row r="347" s="258" customFormat="1" ht="24" spans="1:53">
      <c r="A347" s="283">
        <v>340</v>
      </c>
      <c r="B347" s="284" t="s">
        <v>665</v>
      </c>
      <c r="C347" s="284" t="s">
        <v>199</v>
      </c>
      <c r="D347" s="284" t="s">
        <v>673</v>
      </c>
      <c r="E347" s="284" t="s">
        <v>670</v>
      </c>
      <c r="F347" s="285">
        <f t="shared" si="260"/>
        <v>1.8</v>
      </c>
      <c r="G347" s="285">
        <v>1.8</v>
      </c>
      <c r="H347" s="285"/>
      <c r="I347" s="285"/>
      <c r="J347" s="285"/>
      <c r="K347" s="285"/>
      <c r="L347" s="285"/>
      <c r="M347" s="285"/>
      <c r="N347" s="285"/>
      <c r="O347" s="285"/>
      <c r="P347" s="285">
        <f t="shared" si="261"/>
        <v>1.8</v>
      </c>
      <c r="Q347" s="285">
        <v>1.8</v>
      </c>
      <c r="R347" s="285"/>
      <c r="S347" s="285"/>
      <c r="T347" s="285"/>
      <c r="U347" s="285"/>
      <c r="V347" s="298">
        <f t="shared" si="262"/>
        <v>0</v>
      </c>
      <c r="W347" s="298"/>
      <c r="X347" s="298"/>
      <c r="Y347" s="298"/>
      <c r="Z347" s="298"/>
      <c r="AA347" s="298"/>
      <c r="AB347" s="298"/>
      <c r="AC347" s="298"/>
      <c r="AD347" s="298"/>
      <c r="AE347" s="285"/>
      <c r="AF347" s="299">
        <f t="shared" si="263"/>
        <v>0</v>
      </c>
      <c r="AG347" s="299">
        <f t="shared" si="264"/>
        <v>0</v>
      </c>
      <c r="AH347" s="299">
        <f t="shared" si="265"/>
        <v>0</v>
      </c>
      <c r="AI347" s="299">
        <f t="shared" si="266"/>
        <v>0</v>
      </c>
      <c r="AJ347" s="299">
        <f t="shared" si="267"/>
        <v>0</v>
      </c>
      <c r="AK347" s="299">
        <f t="shared" si="268"/>
        <v>0</v>
      </c>
      <c r="AL347" s="298">
        <f t="shared" si="269"/>
        <v>1.8</v>
      </c>
      <c r="AM347" s="298">
        <f t="shared" si="270"/>
        <v>1.8</v>
      </c>
      <c r="AN347" s="298">
        <f t="shared" si="271"/>
        <v>0</v>
      </c>
      <c r="AO347" s="298">
        <f t="shared" si="272"/>
        <v>0</v>
      </c>
      <c r="AP347" s="298">
        <f t="shared" si="273"/>
        <v>0</v>
      </c>
      <c r="AQ347" s="298">
        <f t="shared" si="274"/>
        <v>0</v>
      </c>
      <c r="AR347" s="298">
        <f t="shared" si="275"/>
        <v>0</v>
      </c>
      <c r="AS347" s="298">
        <f t="shared" si="278"/>
        <v>0</v>
      </c>
      <c r="AT347" s="298">
        <f t="shared" si="276"/>
        <v>0</v>
      </c>
      <c r="AU347" s="285">
        <f t="shared" si="277"/>
        <v>1.8</v>
      </c>
      <c r="AV347" s="285">
        <v>1.8</v>
      </c>
      <c r="AW347" s="285"/>
      <c r="AX347" s="285"/>
      <c r="AY347" s="285"/>
      <c r="AZ347" s="285"/>
      <c r="BA347" s="285"/>
    </row>
    <row r="348" s="258" customFormat="1" ht="24" spans="1:53">
      <c r="A348" s="283">
        <v>341</v>
      </c>
      <c r="B348" s="284" t="s">
        <v>665</v>
      </c>
      <c r="C348" s="284" t="s">
        <v>199</v>
      </c>
      <c r="D348" s="284" t="s">
        <v>674</v>
      </c>
      <c r="E348" s="284" t="s">
        <v>670</v>
      </c>
      <c r="F348" s="285">
        <f t="shared" si="260"/>
        <v>3.6</v>
      </c>
      <c r="G348" s="285">
        <v>3.6</v>
      </c>
      <c r="H348" s="285"/>
      <c r="I348" s="285"/>
      <c r="J348" s="285"/>
      <c r="K348" s="285"/>
      <c r="L348" s="285"/>
      <c r="M348" s="285"/>
      <c r="N348" s="285"/>
      <c r="O348" s="285"/>
      <c r="P348" s="285">
        <f t="shared" si="261"/>
        <v>3.6</v>
      </c>
      <c r="Q348" s="285">
        <v>3.6</v>
      </c>
      <c r="R348" s="285"/>
      <c r="S348" s="285"/>
      <c r="T348" s="285"/>
      <c r="U348" s="285"/>
      <c r="V348" s="298">
        <f t="shared" si="262"/>
        <v>0</v>
      </c>
      <c r="W348" s="298"/>
      <c r="X348" s="298"/>
      <c r="Y348" s="298"/>
      <c r="Z348" s="298"/>
      <c r="AA348" s="298"/>
      <c r="AB348" s="298"/>
      <c r="AC348" s="298"/>
      <c r="AD348" s="298"/>
      <c r="AE348" s="285"/>
      <c r="AF348" s="299">
        <f t="shared" si="263"/>
        <v>0</v>
      </c>
      <c r="AG348" s="299">
        <f t="shared" si="264"/>
        <v>0</v>
      </c>
      <c r="AH348" s="299">
        <f t="shared" si="265"/>
        <v>0</v>
      </c>
      <c r="AI348" s="299">
        <f t="shared" si="266"/>
        <v>0</v>
      </c>
      <c r="AJ348" s="299">
        <f t="shared" si="267"/>
        <v>0</v>
      </c>
      <c r="AK348" s="299">
        <f t="shared" si="268"/>
        <v>0</v>
      </c>
      <c r="AL348" s="298">
        <f t="shared" si="269"/>
        <v>3.6</v>
      </c>
      <c r="AM348" s="298">
        <f t="shared" si="270"/>
        <v>3.6</v>
      </c>
      <c r="AN348" s="298">
        <f t="shared" si="271"/>
        <v>0</v>
      </c>
      <c r="AO348" s="298">
        <f t="shared" si="272"/>
        <v>0</v>
      </c>
      <c r="AP348" s="298">
        <f t="shared" si="273"/>
        <v>0</v>
      </c>
      <c r="AQ348" s="298">
        <f t="shared" si="274"/>
        <v>0</v>
      </c>
      <c r="AR348" s="298">
        <f t="shared" si="275"/>
        <v>0</v>
      </c>
      <c r="AS348" s="298">
        <f t="shared" si="278"/>
        <v>0</v>
      </c>
      <c r="AT348" s="298">
        <f t="shared" si="276"/>
        <v>0</v>
      </c>
      <c r="AU348" s="285">
        <f t="shared" si="277"/>
        <v>3.6</v>
      </c>
      <c r="AV348" s="285">
        <v>3.6</v>
      </c>
      <c r="AW348" s="285"/>
      <c r="AX348" s="285"/>
      <c r="AY348" s="285"/>
      <c r="AZ348" s="285"/>
      <c r="BA348" s="285"/>
    </row>
    <row r="349" s="258" customFormat="1" ht="24" spans="1:53">
      <c r="A349" s="283">
        <v>342</v>
      </c>
      <c r="B349" s="284" t="s">
        <v>665</v>
      </c>
      <c r="C349" s="284" t="s">
        <v>199</v>
      </c>
      <c r="D349" s="284" t="s">
        <v>675</v>
      </c>
      <c r="E349" s="284" t="s">
        <v>670</v>
      </c>
      <c r="F349" s="285">
        <f t="shared" si="260"/>
        <v>1.8</v>
      </c>
      <c r="G349" s="285">
        <v>1.8</v>
      </c>
      <c r="H349" s="285"/>
      <c r="I349" s="285"/>
      <c r="J349" s="285"/>
      <c r="K349" s="285"/>
      <c r="L349" s="285"/>
      <c r="M349" s="285"/>
      <c r="N349" s="285"/>
      <c r="O349" s="285"/>
      <c r="P349" s="285">
        <f t="shared" si="261"/>
        <v>1.8</v>
      </c>
      <c r="Q349" s="285">
        <v>1.8</v>
      </c>
      <c r="R349" s="285"/>
      <c r="S349" s="285"/>
      <c r="T349" s="285"/>
      <c r="U349" s="285"/>
      <c r="V349" s="298">
        <f t="shared" si="262"/>
        <v>0</v>
      </c>
      <c r="W349" s="298"/>
      <c r="X349" s="298"/>
      <c r="Y349" s="298"/>
      <c r="Z349" s="298"/>
      <c r="AA349" s="298"/>
      <c r="AB349" s="298"/>
      <c r="AC349" s="298"/>
      <c r="AD349" s="298"/>
      <c r="AE349" s="285"/>
      <c r="AF349" s="299">
        <f t="shared" si="263"/>
        <v>0</v>
      </c>
      <c r="AG349" s="299">
        <f t="shared" si="264"/>
        <v>0</v>
      </c>
      <c r="AH349" s="299">
        <f t="shared" si="265"/>
        <v>0</v>
      </c>
      <c r="AI349" s="299">
        <f t="shared" si="266"/>
        <v>0</v>
      </c>
      <c r="AJ349" s="299">
        <f t="shared" si="267"/>
        <v>0</v>
      </c>
      <c r="AK349" s="299">
        <f t="shared" si="268"/>
        <v>0</v>
      </c>
      <c r="AL349" s="298">
        <f t="shared" si="269"/>
        <v>1.8</v>
      </c>
      <c r="AM349" s="298">
        <f t="shared" si="270"/>
        <v>1.8</v>
      </c>
      <c r="AN349" s="298">
        <f t="shared" si="271"/>
        <v>0</v>
      </c>
      <c r="AO349" s="298">
        <f t="shared" si="272"/>
        <v>0</v>
      </c>
      <c r="AP349" s="298">
        <f t="shared" si="273"/>
        <v>0</v>
      </c>
      <c r="AQ349" s="298">
        <f t="shared" si="274"/>
        <v>0</v>
      </c>
      <c r="AR349" s="298">
        <f t="shared" si="275"/>
        <v>0</v>
      </c>
      <c r="AS349" s="298">
        <f t="shared" si="278"/>
        <v>0</v>
      </c>
      <c r="AT349" s="298">
        <f t="shared" si="276"/>
        <v>0</v>
      </c>
      <c r="AU349" s="285">
        <f t="shared" si="277"/>
        <v>1.8</v>
      </c>
      <c r="AV349" s="285">
        <v>1.8</v>
      </c>
      <c r="AW349" s="285"/>
      <c r="AX349" s="285"/>
      <c r="AY349" s="285"/>
      <c r="AZ349" s="285"/>
      <c r="BA349" s="285"/>
    </row>
    <row r="350" s="258" customFormat="1" ht="24" spans="1:53">
      <c r="A350" s="283">
        <v>343</v>
      </c>
      <c r="B350" s="284" t="s">
        <v>665</v>
      </c>
      <c r="C350" s="284" t="s">
        <v>199</v>
      </c>
      <c r="D350" s="284" t="s">
        <v>676</v>
      </c>
      <c r="E350" s="284" t="s">
        <v>670</v>
      </c>
      <c r="F350" s="285">
        <f t="shared" si="260"/>
        <v>3</v>
      </c>
      <c r="G350" s="285">
        <v>3</v>
      </c>
      <c r="H350" s="285"/>
      <c r="I350" s="285"/>
      <c r="J350" s="285"/>
      <c r="K350" s="285"/>
      <c r="L350" s="285"/>
      <c r="M350" s="285"/>
      <c r="N350" s="285"/>
      <c r="O350" s="285"/>
      <c r="P350" s="285">
        <f t="shared" si="261"/>
        <v>3</v>
      </c>
      <c r="Q350" s="285">
        <v>3</v>
      </c>
      <c r="R350" s="285"/>
      <c r="S350" s="285"/>
      <c r="T350" s="285"/>
      <c r="U350" s="285"/>
      <c r="V350" s="298">
        <f t="shared" si="262"/>
        <v>0</v>
      </c>
      <c r="W350" s="298"/>
      <c r="X350" s="298"/>
      <c r="Y350" s="298"/>
      <c r="Z350" s="298"/>
      <c r="AA350" s="298"/>
      <c r="AB350" s="298"/>
      <c r="AC350" s="298"/>
      <c r="AD350" s="298"/>
      <c r="AE350" s="285"/>
      <c r="AF350" s="299">
        <f t="shared" si="263"/>
        <v>0</v>
      </c>
      <c r="AG350" s="299">
        <f t="shared" si="264"/>
        <v>0</v>
      </c>
      <c r="AH350" s="299">
        <f t="shared" si="265"/>
        <v>0</v>
      </c>
      <c r="AI350" s="299">
        <f t="shared" si="266"/>
        <v>0</v>
      </c>
      <c r="AJ350" s="299">
        <f t="shared" si="267"/>
        <v>0</v>
      </c>
      <c r="AK350" s="299">
        <f t="shared" si="268"/>
        <v>0</v>
      </c>
      <c r="AL350" s="298">
        <f t="shared" si="269"/>
        <v>3</v>
      </c>
      <c r="AM350" s="298">
        <f t="shared" si="270"/>
        <v>3</v>
      </c>
      <c r="AN350" s="298">
        <f t="shared" si="271"/>
        <v>0</v>
      </c>
      <c r="AO350" s="298">
        <f t="shared" si="272"/>
        <v>0</v>
      </c>
      <c r="AP350" s="298">
        <f t="shared" si="273"/>
        <v>0</v>
      </c>
      <c r="AQ350" s="298">
        <f t="shared" si="274"/>
        <v>0</v>
      </c>
      <c r="AR350" s="298">
        <f t="shared" si="275"/>
        <v>0</v>
      </c>
      <c r="AS350" s="298">
        <f t="shared" si="278"/>
        <v>0</v>
      </c>
      <c r="AT350" s="298">
        <f t="shared" si="276"/>
        <v>0</v>
      </c>
      <c r="AU350" s="285">
        <f t="shared" si="277"/>
        <v>3</v>
      </c>
      <c r="AV350" s="285">
        <v>3</v>
      </c>
      <c r="AW350" s="285"/>
      <c r="AX350" s="285"/>
      <c r="AY350" s="285"/>
      <c r="AZ350" s="285"/>
      <c r="BA350" s="285"/>
    </row>
    <row r="351" s="258" customFormat="1" ht="24" spans="1:53">
      <c r="A351" s="283">
        <v>344</v>
      </c>
      <c r="B351" s="284" t="s">
        <v>665</v>
      </c>
      <c r="C351" s="284" t="s">
        <v>199</v>
      </c>
      <c r="D351" s="284" t="s">
        <v>677</v>
      </c>
      <c r="E351" s="284" t="s">
        <v>670</v>
      </c>
      <c r="F351" s="285">
        <f t="shared" si="260"/>
        <v>1.8</v>
      </c>
      <c r="G351" s="285">
        <v>1.8</v>
      </c>
      <c r="H351" s="285"/>
      <c r="I351" s="285"/>
      <c r="J351" s="285"/>
      <c r="K351" s="285"/>
      <c r="L351" s="285"/>
      <c r="M351" s="285"/>
      <c r="N351" s="285"/>
      <c r="O351" s="285"/>
      <c r="P351" s="285">
        <f t="shared" si="261"/>
        <v>1.8</v>
      </c>
      <c r="Q351" s="285">
        <v>1.8</v>
      </c>
      <c r="R351" s="285"/>
      <c r="S351" s="285"/>
      <c r="T351" s="285"/>
      <c r="U351" s="285"/>
      <c r="V351" s="298">
        <f t="shared" si="262"/>
        <v>0</v>
      </c>
      <c r="W351" s="298"/>
      <c r="X351" s="298"/>
      <c r="Y351" s="298"/>
      <c r="Z351" s="298"/>
      <c r="AA351" s="298"/>
      <c r="AB351" s="298"/>
      <c r="AC351" s="298"/>
      <c r="AD351" s="298"/>
      <c r="AE351" s="285"/>
      <c r="AF351" s="299">
        <f t="shared" si="263"/>
        <v>0</v>
      </c>
      <c r="AG351" s="299">
        <f t="shared" si="264"/>
        <v>0</v>
      </c>
      <c r="AH351" s="299">
        <f t="shared" si="265"/>
        <v>0</v>
      </c>
      <c r="AI351" s="299">
        <f t="shared" si="266"/>
        <v>0</v>
      </c>
      <c r="AJ351" s="299">
        <f t="shared" si="267"/>
        <v>0</v>
      </c>
      <c r="AK351" s="299">
        <f t="shared" si="268"/>
        <v>0</v>
      </c>
      <c r="AL351" s="298">
        <f t="shared" si="269"/>
        <v>1.8</v>
      </c>
      <c r="AM351" s="298">
        <f t="shared" si="270"/>
        <v>1.8</v>
      </c>
      <c r="AN351" s="298">
        <f t="shared" si="271"/>
        <v>0</v>
      </c>
      <c r="AO351" s="298">
        <f t="shared" si="272"/>
        <v>0</v>
      </c>
      <c r="AP351" s="298">
        <f t="shared" si="273"/>
        <v>0</v>
      </c>
      <c r="AQ351" s="298">
        <f t="shared" si="274"/>
        <v>0</v>
      </c>
      <c r="AR351" s="298">
        <f t="shared" si="275"/>
        <v>0</v>
      </c>
      <c r="AS351" s="298">
        <f t="shared" si="278"/>
        <v>0</v>
      </c>
      <c r="AT351" s="298">
        <f t="shared" si="276"/>
        <v>0</v>
      </c>
      <c r="AU351" s="285">
        <f t="shared" si="277"/>
        <v>1.8</v>
      </c>
      <c r="AV351" s="285">
        <v>1.8</v>
      </c>
      <c r="AW351" s="285"/>
      <c r="AX351" s="285"/>
      <c r="AY351" s="285"/>
      <c r="AZ351" s="285"/>
      <c r="BA351" s="285"/>
    </row>
    <row r="352" s="258" customFormat="1" ht="24" spans="1:53">
      <c r="A352" s="283">
        <v>345</v>
      </c>
      <c r="B352" s="284" t="s">
        <v>665</v>
      </c>
      <c r="C352" s="284" t="s">
        <v>199</v>
      </c>
      <c r="D352" s="284" t="s">
        <v>678</v>
      </c>
      <c r="E352" s="284" t="s">
        <v>670</v>
      </c>
      <c r="F352" s="285">
        <f t="shared" si="260"/>
        <v>1.8</v>
      </c>
      <c r="G352" s="285">
        <v>1.8</v>
      </c>
      <c r="H352" s="285"/>
      <c r="I352" s="285"/>
      <c r="J352" s="285"/>
      <c r="K352" s="285"/>
      <c r="L352" s="285"/>
      <c r="M352" s="285"/>
      <c r="N352" s="285"/>
      <c r="O352" s="285"/>
      <c r="P352" s="285">
        <f t="shared" si="261"/>
        <v>1.8</v>
      </c>
      <c r="Q352" s="285">
        <v>1.8</v>
      </c>
      <c r="R352" s="285"/>
      <c r="S352" s="285"/>
      <c r="T352" s="285"/>
      <c r="U352" s="285"/>
      <c r="V352" s="298">
        <f t="shared" si="262"/>
        <v>0</v>
      </c>
      <c r="W352" s="298"/>
      <c r="X352" s="298"/>
      <c r="Y352" s="298"/>
      <c r="Z352" s="298"/>
      <c r="AA352" s="298"/>
      <c r="AB352" s="298"/>
      <c r="AC352" s="298"/>
      <c r="AD352" s="298"/>
      <c r="AE352" s="285"/>
      <c r="AF352" s="299">
        <f t="shared" si="263"/>
        <v>0</v>
      </c>
      <c r="AG352" s="299">
        <f t="shared" si="264"/>
        <v>0</v>
      </c>
      <c r="AH352" s="299">
        <f t="shared" si="265"/>
        <v>0</v>
      </c>
      <c r="AI352" s="299">
        <f t="shared" si="266"/>
        <v>0</v>
      </c>
      <c r="AJ352" s="299">
        <f t="shared" si="267"/>
        <v>0</v>
      </c>
      <c r="AK352" s="299">
        <f t="shared" si="268"/>
        <v>0</v>
      </c>
      <c r="AL352" s="298">
        <f t="shared" si="269"/>
        <v>1.8</v>
      </c>
      <c r="AM352" s="298">
        <f t="shared" si="270"/>
        <v>1.8</v>
      </c>
      <c r="AN352" s="298">
        <f t="shared" si="271"/>
        <v>0</v>
      </c>
      <c r="AO352" s="298">
        <f t="shared" si="272"/>
        <v>0</v>
      </c>
      <c r="AP352" s="298">
        <f t="shared" si="273"/>
        <v>0</v>
      </c>
      <c r="AQ352" s="298">
        <f t="shared" si="274"/>
        <v>0</v>
      </c>
      <c r="AR352" s="298">
        <f t="shared" si="275"/>
        <v>0</v>
      </c>
      <c r="AS352" s="298">
        <f t="shared" si="278"/>
        <v>0</v>
      </c>
      <c r="AT352" s="298">
        <f t="shared" si="276"/>
        <v>0</v>
      </c>
      <c r="AU352" s="285">
        <f t="shared" si="277"/>
        <v>1.8</v>
      </c>
      <c r="AV352" s="285">
        <v>1.8</v>
      </c>
      <c r="AW352" s="285"/>
      <c r="AX352" s="285"/>
      <c r="AY352" s="285"/>
      <c r="AZ352" s="285"/>
      <c r="BA352" s="285"/>
    </row>
    <row r="353" s="258" customFormat="1" ht="24" spans="1:53">
      <c r="A353" s="283">
        <v>346</v>
      </c>
      <c r="B353" s="284" t="s">
        <v>665</v>
      </c>
      <c r="C353" s="284" t="s">
        <v>199</v>
      </c>
      <c r="D353" s="284" t="s">
        <v>679</v>
      </c>
      <c r="E353" s="284" t="s">
        <v>670</v>
      </c>
      <c r="F353" s="285">
        <f t="shared" si="260"/>
        <v>39.6</v>
      </c>
      <c r="G353" s="285">
        <v>39.6</v>
      </c>
      <c r="H353" s="285"/>
      <c r="I353" s="285"/>
      <c r="J353" s="285"/>
      <c r="K353" s="285"/>
      <c r="L353" s="285"/>
      <c r="M353" s="285"/>
      <c r="N353" s="285"/>
      <c r="O353" s="285"/>
      <c r="P353" s="285">
        <f t="shared" si="261"/>
        <v>39.6</v>
      </c>
      <c r="Q353" s="285">
        <v>39.6</v>
      </c>
      <c r="R353" s="285"/>
      <c r="S353" s="285"/>
      <c r="T353" s="285"/>
      <c r="U353" s="285"/>
      <c r="V353" s="298">
        <f t="shared" si="262"/>
        <v>0</v>
      </c>
      <c r="W353" s="298"/>
      <c r="X353" s="298"/>
      <c r="Y353" s="298"/>
      <c r="Z353" s="298"/>
      <c r="AA353" s="298"/>
      <c r="AB353" s="298"/>
      <c r="AC353" s="298"/>
      <c r="AD353" s="298"/>
      <c r="AE353" s="285"/>
      <c r="AF353" s="299">
        <f t="shared" si="263"/>
        <v>0</v>
      </c>
      <c r="AG353" s="299">
        <f t="shared" si="264"/>
        <v>0</v>
      </c>
      <c r="AH353" s="299">
        <f t="shared" si="265"/>
        <v>0</v>
      </c>
      <c r="AI353" s="299">
        <f t="shared" si="266"/>
        <v>0</v>
      </c>
      <c r="AJ353" s="299">
        <f t="shared" si="267"/>
        <v>0</v>
      </c>
      <c r="AK353" s="299">
        <f t="shared" si="268"/>
        <v>0</v>
      </c>
      <c r="AL353" s="298">
        <f t="shared" si="269"/>
        <v>39.6</v>
      </c>
      <c r="AM353" s="298">
        <f t="shared" si="270"/>
        <v>39.6</v>
      </c>
      <c r="AN353" s="298">
        <f t="shared" si="271"/>
        <v>0</v>
      </c>
      <c r="AO353" s="298">
        <f t="shared" si="272"/>
        <v>0</v>
      </c>
      <c r="AP353" s="298">
        <f t="shared" si="273"/>
        <v>0</v>
      </c>
      <c r="AQ353" s="298">
        <f t="shared" si="274"/>
        <v>0</v>
      </c>
      <c r="AR353" s="298">
        <f t="shared" si="275"/>
        <v>0</v>
      </c>
      <c r="AS353" s="298">
        <f t="shared" si="278"/>
        <v>0</v>
      </c>
      <c r="AT353" s="298">
        <f t="shared" si="276"/>
        <v>0</v>
      </c>
      <c r="AU353" s="285">
        <f t="shared" si="277"/>
        <v>39.6</v>
      </c>
      <c r="AV353" s="285">
        <v>39.6</v>
      </c>
      <c r="AW353" s="285"/>
      <c r="AX353" s="285"/>
      <c r="AY353" s="285"/>
      <c r="AZ353" s="285"/>
      <c r="BA353" s="285"/>
    </row>
    <row r="354" s="258" customFormat="1" ht="72" spans="1:53">
      <c r="A354" s="283">
        <v>347</v>
      </c>
      <c r="B354" s="284" t="s">
        <v>640</v>
      </c>
      <c r="C354" s="284" t="s">
        <v>196</v>
      </c>
      <c r="D354" s="284" t="s">
        <v>682</v>
      </c>
      <c r="E354" s="284" t="s">
        <v>683</v>
      </c>
      <c r="F354" s="285">
        <f t="shared" si="260"/>
        <v>267.89</v>
      </c>
      <c r="G354" s="285">
        <v>4.8</v>
      </c>
      <c r="H354" s="285">
        <v>8</v>
      </c>
      <c r="I354" s="285">
        <v>5.09</v>
      </c>
      <c r="J354" s="285"/>
      <c r="K354" s="285"/>
      <c r="L354" s="285"/>
      <c r="M354" s="285">
        <v>200</v>
      </c>
      <c r="N354" s="285">
        <v>50</v>
      </c>
      <c r="O354" s="285" t="s">
        <v>1195</v>
      </c>
      <c r="P354" s="285">
        <f t="shared" si="261"/>
        <v>267.89</v>
      </c>
      <c r="Q354" s="285">
        <v>67.89</v>
      </c>
      <c r="R354" s="285">
        <v>70</v>
      </c>
      <c r="S354" s="285">
        <v>130</v>
      </c>
      <c r="T354" s="285"/>
      <c r="U354" s="285"/>
      <c r="V354" s="298">
        <f t="shared" si="262"/>
        <v>-16.66</v>
      </c>
      <c r="W354" s="298"/>
      <c r="X354" s="298"/>
      <c r="Y354" s="298">
        <v>0.99</v>
      </c>
      <c r="Z354" s="298"/>
      <c r="AA354" s="298"/>
      <c r="AB354" s="298">
        <f>-200+182.35</f>
        <v>-17.65</v>
      </c>
      <c r="AC354" s="298"/>
      <c r="AD354" s="298"/>
      <c r="AE354" s="285" t="s">
        <v>1196</v>
      </c>
      <c r="AF354" s="299">
        <f t="shared" si="263"/>
        <v>-16.66</v>
      </c>
      <c r="AG354" s="299">
        <f t="shared" si="264"/>
        <v>0.990000000000009</v>
      </c>
      <c r="AH354" s="299">
        <f t="shared" si="265"/>
        <v>-70</v>
      </c>
      <c r="AI354" s="299">
        <f t="shared" si="266"/>
        <v>52.35</v>
      </c>
      <c r="AJ354" s="299">
        <f t="shared" si="267"/>
        <v>0</v>
      </c>
      <c r="AK354" s="299">
        <f t="shared" si="268"/>
        <v>0</v>
      </c>
      <c r="AL354" s="298">
        <f t="shared" si="269"/>
        <v>251.23</v>
      </c>
      <c r="AM354" s="298">
        <f t="shared" si="270"/>
        <v>4.8</v>
      </c>
      <c r="AN354" s="298">
        <f t="shared" si="271"/>
        <v>8</v>
      </c>
      <c r="AO354" s="298">
        <f t="shared" si="272"/>
        <v>6.08</v>
      </c>
      <c r="AP354" s="298">
        <f t="shared" si="273"/>
        <v>0</v>
      </c>
      <c r="AQ354" s="298">
        <f t="shared" si="274"/>
        <v>0</v>
      </c>
      <c r="AR354" s="298">
        <f t="shared" si="275"/>
        <v>182.35</v>
      </c>
      <c r="AS354" s="298">
        <f t="shared" si="278"/>
        <v>0</v>
      </c>
      <c r="AT354" s="298">
        <f t="shared" si="276"/>
        <v>50</v>
      </c>
      <c r="AU354" s="285">
        <f t="shared" si="277"/>
        <v>251.23</v>
      </c>
      <c r="AV354" s="285">
        <v>68.88</v>
      </c>
      <c r="AW354" s="285"/>
      <c r="AX354" s="285">
        <v>182.35</v>
      </c>
      <c r="AY354" s="285"/>
      <c r="AZ354" s="285"/>
      <c r="BA354" s="285"/>
    </row>
    <row r="355" s="258" customFormat="1" ht="24" spans="1:53">
      <c r="A355" s="283">
        <v>348</v>
      </c>
      <c r="B355" s="284" t="s">
        <v>640</v>
      </c>
      <c r="C355" s="284" t="s">
        <v>199</v>
      </c>
      <c r="D355" s="284" t="s">
        <v>684</v>
      </c>
      <c r="E355" s="284" t="s">
        <v>685</v>
      </c>
      <c r="F355" s="285">
        <f t="shared" si="260"/>
        <v>5.4</v>
      </c>
      <c r="G355" s="285">
        <v>5.4</v>
      </c>
      <c r="H355" s="285"/>
      <c r="I355" s="285"/>
      <c r="J355" s="285"/>
      <c r="K355" s="285"/>
      <c r="L355" s="285"/>
      <c r="M355" s="285"/>
      <c r="N355" s="285"/>
      <c r="O355" s="285"/>
      <c r="P355" s="285">
        <f t="shared" si="261"/>
        <v>5.4</v>
      </c>
      <c r="Q355" s="285">
        <v>5.4</v>
      </c>
      <c r="R355" s="285"/>
      <c r="S355" s="285"/>
      <c r="T355" s="285"/>
      <c r="U355" s="285"/>
      <c r="V355" s="298">
        <f t="shared" si="262"/>
        <v>0</v>
      </c>
      <c r="W355" s="298"/>
      <c r="X355" s="298"/>
      <c r="Y355" s="298"/>
      <c r="Z355" s="298"/>
      <c r="AA355" s="298"/>
      <c r="AB355" s="298"/>
      <c r="AC355" s="298"/>
      <c r="AD355" s="298"/>
      <c r="AE355" s="285"/>
      <c r="AF355" s="299">
        <f t="shared" si="263"/>
        <v>0</v>
      </c>
      <c r="AG355" s="299">
        <f t="shared" si="264"/>
        <v>0</v>
      </c>
      <c r="AH355" s="299">
        <f t="shared" si="265"/>
        <v>0</v>
      </c>
      <c r="AI355" s="299">
        <f t="shared" si="266"/>
        <v>0</v>
      </c>
      <c r="AJ355" s="299">
        <f t="shared" si="267"/>
        <v>0</v>
      </c>
      <c r="AK355" s="299">
        <f t="shared" si="268"/>
        <v>0</v>
      </c>
      <c r="AL355" s="298">
        <f t="shared" si="269"/>
        <v>5.4</v>
      </c>
      <c r="AM355" s="298">
        <f t="shared" si="270"/>
        <v>5.4</v>
      </c>
      <c r="AN355" s="298">
        <f t="shared" si="271"/>
        <v>0</v>
      </c>
      <c r="AO355" s="298">
        <f t="shared" si="272"/>
        <v>0</v>
      </c>
      <c r="AP355" s="298">
        <f t="shared" si="273"/>
        <v>0</v>
      </c>
      <c r="AQ355" s="298">
        <f t="shared" si="274"/>
        <v>0</v>
      </c>
      <c r="AR355" s="298">
        <f t="shared" si="275"/>
        <v>0</v>
      </c>
      <c r="AS355" s="298">
        <f t="shared" si="278"/>
        <v>0</v>
      </c>
      <c r="AT355" s="298">
        <f t="shared" si="276"/>
        <v>0</v>
      </c>
      <c r="AU355" s="285">
        <f t="shared" si="277"/>
        <v>5.4</v>
      </c>
      <c r="AV355" s="285">
        <v>5.4</v>
      </c>
      <c r="AW355" s="285"/>
      <c r="AX355" s="285"/>
      <c r="AY355" s="285"/>
      <c r="AZ355" s="285"/>
      <c r="BA355" s="285"/>
    </row>
    <row r="356" s="258" customFormat="1" ht="24" spans="1:53">
      <c r="A356" s="283">
        <v>349</v>
      </c>
      <c r="B356" s="284" t="s">
        <v>640</v>
      </c>
      <c r="C356" s="284" t="s">
        <v>199</v>
      </c>
      <c r="D356" s="284" t="s">
        <v>686</v>
      </c>
      <c r="E356" s="284" t="s">
        <v>685</v>
      </c>
      <c r="F356" s="285">
        <f t="shared" si="260"/>
        <v>1.8</v>
      </c>
      <c r="G356" s="285">
        <v>1.8</v>
      </c>
      <c r="H356" s="285"/>
      <c r="I356" s="285"/>
      <c r="J356" s="285"/>
      <c r="K356" s="285"/>
      <c r="L356" s="285"/>
      <c r="M356" s="285"/>
      <c r="N356" s="285"/>
      <c r="O356" s="285"/>
      <c r="P356" s="285">
        <f t="shared" si="261"/>
        <v>1.8</v>
      </c>
      <c r="Q356" s="285">
        <v>1.8</v>
      </c>
      <c r="R356" s="285"/>
      <c r="S356" s="285"/>
      <c r="T356" s="285"/>
      <c r="U356" s="285"/>
      <c r="V356" s="298">
        <f t="shared" si="262"/>
        <v>0</v>
      </c>
      <c r="W356" s="298"/>
      <c r="X356" s="298"/>
      <c r="Y356" s="298"/>
      <c r="Z356" s="298"/>
      <c r="AA356" s="298"/>
      <c r="AB356" s="298"/>
      <c r="AC356" s="298"/>
      <c r="AD356" s="298"/>
      <c r="AE356" s="285"/>
      <c r="AF356" s="299">
        <f t="shared" si="263"/>
        <v>0</v>
      </c>
      <c r="AG356" s="299">
        <f t="shared" si="264"/>
        <v>0</v>
      </c>
      <c r="AH356" s="299">
        <f t="shared" si="265"/>
        <v>0</v>
      </c>
      <c r="AI356" s="299">
        <f t="shared" si="266"/>
        <v>0</v>
      </c>
      <c r="AJ356" s="299">
        <f t="shared" si="267"/>
        <v>0</v>
      </c>
      <c r="AK356" s="299">
        <f t="shared" si="268"/>
        <v>0</v>
      </c>
      <c r="AL356" s="298">
        <f t="shared" si="269"/>
        <v>1.8</v>
      </c>
      <c r="AM356" s="298">
        <f t="shared" si="270"/>
        <v>1.8</v>
      </c>
      <c r="AN356" s="298">
        <f t="shared" si="271"/>
        <v>0</v>
      </c>
      <c r="AO356" s="298">
        <f t="shared" si="272"/>
        <v>0</v>
      </c>
      <c r="AP356" s="298">
        <f t="shared" si="273"/>
        <v>0</v>
      </c>
      <c r="AQ356" s="298">
        <f t="shared" si="274"/>
        <v>0</v>
      </c>
      <c r="AR356" s="298">
        <f t="shared" si="275"/>
        <v>0</v>
      </c>
      <c r="AS356" s="298">
        <f t="shared" si="278"/>
        <v>0</v>
      </c>
      <c r="AT356" s="298">
        <f t="shared" si="276"/>
        <v>0</v>
      </c>
      <c r="AU356" s="285">
        <f t="shared" si="277"/>
        <v>1.8</v>
      </c>
      <c r="AV356" s="285">
        <v>1.8</v>
      </c>
      <c r="AW356" s="285"/>
      <c r="AX356" s="285"/>
      <c r="AY356" s="285"/>
      <c r="AZ356" s="285"/>
      <c r="BA356" s="285"/>
    </row>
    <row r="357" s="258" customFormat="1" ht="24" spans="1:53">
      <c r="A357" s="283">
        <v>350</v>
      </c>
      <c r="B357" s="284" t="s">
        <v>640</v>
      </c>
      <c r="C357" s="284" t="s">
        <v>199</v>
      </c>
      <c r="D357" s="284" t="s">
        <v>687</v>
      </c>
      <c r="E357" s="284" t="s">
        <v>685</v>
      </c>
      <c r="F357" s="285">
        <f t="shared" si="260"/>
        <v>13.8</v>
      </c>
      <c r="G357" s="285">
        <v>13.8</v>
      </c>
      <c r="H357" s="285"/>
      <c r="I357" s="285"/>
      <c r="J357" s="285"/>
      <c r="K357" s="285"/>
      <c r="L357" s="285"/>
      <c r="M357" s="285"/>
      <c r="N357" s="285"/>
      <c r="O357" s="285"/>
      <c r="P357" s="285">
        <f t="shared" si="261"/>
        <v>13.8</v>
      </c>
      <c r="Q357" s="285">
        <v>13.8</v>
      </c>
      <c r="R357" s="285"/>
      <c r="S357" s="285"/>
      <c r="T357" s="285"/>
      <c r="U357" s="285"/>
      <c r="V357" s="298">
        <f t="shared" si="262"/>
        <v>0</v>
      </c>
      <c r="W357" s="298"/>
      <c r="X357" s="298"/>
      <c r="Y357" s="298"/>
      <c r="Z357" s="298"/>
      <c r="AA357" s="298"/>
      <c r="AB357" s="298"/>
      <c r="AC357" s="298"/>
      <c r="AD357" s="298"/>
      <c r="AE357" s="285"/>
      <c r="AF357" s="299">
        <f t="shared" si="263"/>
        <v>0</v>
      </c>
      <c r="AG357" s="299">
        <f t="shared" si="264"/>
        <v>0</v>
      </c>
      <c r="AH357" s="299">
        <f t="shared" si="265"/>
        <v>0</v>
      </c>
      <c r="AI357" s="299">
        <f t="shared" si="266"/>
        <v>0</v>
      </c>
      <c r="AJ357" s="299">
        <f t="shared" si="267"/>
        <v>0</v>
      </c>
      <c r="AK357" s="299">
        <f t="shared" si="268"/>
        <v>0</v>
      </c>
      <c r="AL357" s="298">
        <f t="shared" si="269"/>
        <v>13.8</v>
      </c>
      <c r="AM357" s="298">
        <f t="shared" si="270"/>
        <v>13.8</v>
      </c>
      <c r="AN357" s="298">
        <f t="shared" si="271"/>
        <v>0</v>
      </c>
      <c r="AO357" s="298">
        <f t="shared" si="272"/>
        <v>0</v>
      </c>
      <c r="AP357" s="298">
        <f t="shared" si="273"/>
        <v>0</v>
      </c>
      <c r="AQ357" s="298">
        <f t="shared" si="274"/>
        <v>0</v>
      </c>
      <c r="AR357" s="298">
        <f t="shared" si="275"/>
        <v>0</v>
      </c>
      <c r="AS357" s="298">
        <f t="shared" si="278"/>
        <v>0</v>
      </c>
      <c r="AT357" s="298">
        <f t="shared" si="276"/>
        <v>0</v>
      </c>
      <c r="AU357" s="285">
        <f t="shared" si="277"/>
        <v>13.8</v>
      </c>
      <c r="AV357" s="285">
        <v>13.8</v>
      </c>
      <c r="AW357" s="285"/>
      <c r="AX357" s="285"/>
      <c r="AY357" s="285"/>
      <c r="AZ357" s="285"/>
      <c r="BA357" s="285"/>
    </row>
    <row r="358" s="258" customFormat="1" ht="24" spans="1:53">
      <c r="A358" s="283">
        <v>351</v>
      </c>
      <c r="B358" s="284" t="s">
        <v>640</v>
      </c>
      <c r="C358" s="284" t="s">
        <v>199</v>
      </c>
      <c r="D358" s="284" t="s">
        <v>688</v>
      </c>
      <c r="E358" s="284" t="s">
        <v>685</v>
      </c>
      <c r="F358" s="285">
        <f t="shared" si="260"/>
        <v>6.6</v>
      </c>
      <c r="G358" s="285">
        <v>6.6</v>
      </c>
      <c r="H358" s="285"/>
      <c r="I358" s="285"/>
      <c r="J358" s="285"/>
      <c r="K358" s="285"/>
      <c r="L358" s="285"/>
      <c r="M358" s="285"/>
      <c r="N358" s="285"/>
      <c r="O358" s="285"/>
      <c r="P358" s="285">
        <f t="shared" si="261"/>
        <v>6.6</v>
      </c>
      <c r="Q358" s="285">
        <v>6.6</v>
      </c>
      <c r="R358" s="285"/>
      <c r="S358" s="285"/>
      <c r="T358" s="285"/>
      <c r="U358" s="285"/>
      <c r="V358" s="298">
        <f t="shared" si="262"/>
        <v>0</v>
      </c>
      <c r="W358" s="298"/>
      <c r="X358" s="298"/>
      <c r="Y358" s="298"/>
      <c r="Z358" s="298"/>
      <c r="AA358" s="298"/>
      <c r="AB358" s="298"/>
      <c r="AC358" s="298"/>
      <c r="AD358" s="298"/>
      <c r="AE358" s="285"/>
      <c r="AF358" s="299">
        <f t="shared" si="263"/>
        <v>0</v>
      </c>
      <c r="AG358" s="299">
        <f t="shared" si="264"/>
        <v>0</v>
      </c>
      <c r="AH358" s="299">
        <f t="shared" si="265"/>
        <v>0</v>
      </c>
      <c r="AI358" s="299">
        <f t="shared" si="266"/>
        <v>0</v>
      </c>
      <c r="AJ358" s="299">
        <f t="shared" si="267"/>
        <v>0</v>
      </c>
      <c r="AK358" s="299">
        <f t="shared" si="268"/>
        <v>0</v>
      </c>
      <c r="AL358" s="298">
        <f t="shared" si="269"/>
        <v>6.6</v>
      </c>
      <c r="AM358" s="298">
        <f t="shared" si="270"/>
        <v>6.6</v>
      </c>
      <c r="AN358" s="298">
        <f t="shared" si="271"/>
        <v>0</v>
      </c>
      <c r="AO358" s="298">
        <f t="shared" si="272"/>
        <v>0</v>
      </c>
      <c r="AP358" s="298">
        <f t="shared" si="273"/>
        <v>0</v>
      </c>
      <c r="AQ358" s="298">
        <f t="shared" si="274"/>
        <v>0</v>
      </c>
      <c r="AR358" s="298">
        <f t="shared" si="275"/>
        <v>0</v>
      </c>
      <c r="AS358" s="298">
        <f t="shared" si="278"/>
        <v>0</v>
      </c>
      <c r="AT358" s="298">
        <f t="shared" si="276"/>
        <v>0</v>
      </c>
      <c r="AU358" s="285">
        <f t="shared" si="277"/>
        <v>6.6</v>
      </c>
      <c r="AV358" s="285">
        <v>6.6</v>
      </c>
      <c r="AW358" s="285"/>
      <c r="AX358" s="285"/>
      <c r="AY358" s="285"/>
      <c r="AZ358" s="285"/>
      <c r="BA358" s="285"/>
    </row>
    <row r="359" s="258" customFormat="1" ht="24" spans="1:53">
      <c r="A359" s="283">
        <v>352</v>
      </c>
      <c r="B359" s="284" t="s">
        <v>640</v>
      </c>
      <c r="C359" s="284" t="s">
        <v>199</v>
      </c>
      <c r="D359" s="284" t="s">
        <v>689</v>
      </c>
      <c r="E359" s="284" t="s">
        <v>685</v>
      </c>
      <c r="F359" s="285">
        <f t="shared" si="260"/>
        <v>4.2</v>
      </c>
      <c r="G359" s="285">
        <v>4.2</v>
      </c>
      <c r="H359" s="285"/>
      <c r="I359" s="285"/>
      <c r="J359" s="285"/>
      <c r="K359" s="285"/>
      <c r="L359" s="285"/>
      <c r="M359" s="285"/>
      <c r="N359" s="285"/>
      <c r="O359" s="285"/>
      <c r="P359" s="285">
        <f t="shared" si="261"/>
        <v>4.2</v>
      </c>
      <c r="Q359" s="285">
        <v>4.2</v>
      </c>
      <c r="R359" s="285"/>
      <c r="S359" s="285"/>
      <c r="T359" s="285"/>
      <c r="U359" s="285"/>
      <c r="V359" s="298">
        <f t="shared" si="262"/>
        <v>0</v>
      </c>
      <c r="W359" s="298"/>
      <c r="X359" s="298"/>
      <c r="Y359" s="298"/>
      <c r="Z359" s="298"/>
      <c r="AA359" s="298"/>
      <c r="AB359" s="298"/>
      <c r="AC359" s="298"/>
      <c r="AD359" s="298"/>
      <c r="AE359" s="285"/>
      <c r="AF359" s="299">
        <f t="shared" si="263"/>
        <v>0</v>
      </c>
      <c r="AG359" s="299">
        <f t="shared" si="264"/>
        <v>0</v>
      </c>
      <c r="AH359" s="299">
        <f t="shared" si="265"/>
        <v>0</v>
      </c>
      <c r="AI359" s="299">
        <f t="shared" si="266"/>
        <v>0</v>
      </c>
      <c r="AJ359" s="299">
        <f t="shared" si="267"/>
        <v>0</v>
      </c>
      <c r="AK359" s="299">
        <f t="shared" si="268"/>
        <v>0</v>
      </c>
      <c r="AL359" s="298">
        <f t="shared" si="269"/>
        <v>4.2</v>
      </c>
      <c r="AM359" s="298">
        <f t="shared" si="270"/>
        <v>4.2</v>
      </c>
      <c r="AN359" s="298">
        <f t="shared" si="271"/>
        <v>0</v>
      </c>
      <c r="AO359" s="298">
        <f t="shared" si="272"/>
        <v>0</v>
      </c>
      <c r="AP359" s="298">
        <f t="shared" si="273"/>
        <v>0</v>
      </c>
      <c r="AQ359" s="298">
        <f t="shared" si="274"/>
        <v>0</v>
      </c>
      <c r="AR359" s="298">
        <f t="shared" si="275"/>
        <v>0</v>
      </c>
      <c r="AS359" s="298">
        <f t="shared" si="278"/>
        <v>0</v>
      </c>
      <c r="AT359" s="298">
        <f t="shared" si="276"/>
        <v>0</v>
      </c>
      <c r="AU359" s="285">
        <f t="shared" si="277"/>
        <v>4.2</v>
      </c>
      <c r="AV359" s="285">
        <v>4.2</v>
      </c>
      <c r="AW359" s="285"/>
      <c r="AX359" s="285"/>
      <c r="AY359" s="285"/>
      <c r="AZ359" s="285"/>
      <c r="BA359" s="285"/>
    </row>
    <row r="360" s="258" customFormat="1" ht="36" spans="1:53">
      <c r="A360" s="283">
        <v>353</v>
      </c>
      <c r="B360" s="284" t="s">
        <v>640</v>
      </c>
      <c r="C360" s="284" t="s">
        <v>518</v>
      </c>
      <c r="D360" s="284" t="s">
        <v>690</v>
      </c>
      <c r="E360" s="284" t="s">
        <v>691</v>
      </c>
      <c r="F360" s="285">
        <f t="shared" si="260"/>
        <v>5</v>
      </c>
      <c r="G360" s="285">
        <v>3</v>
      </c>
      <c r="H360" s="285">
        <v>2</v>
      </c>
      <c r="I360" s="285"/>
      <c r="J360" s="285"/>
      <c r="K360" s="285"/>
      <c r="L360" s="285"/>
      <c r="M360" s="285"/>
      <c r="N360" s="285"/>
      <c r="O360" s="285"/>
      <c r="P360" s="285">
        <f t="shared" si="261"/>
        <v>5</v>
      </c>
      <c r="Q360" s="285">
        <v>5</v>
      </c>
      <c r="R360" s="285"/>
      <c r="S360" s="285"/>
      <c r="T360" s="285"/>
      <c r="U360" s="285"/>
      <c r="V360" s="298">
        <f t="shared" si="262"/>
        <v>0</v>
      </c>
      <c r="W360" s="298"/>
      <c r="X360" s="298"/>
      <c r="Y360" s="298"/>
      <c r="Z360" s="298"/>
      <c r="AA360" s="298"/>
      <c r="AB360" s="298"/>
      <c r="AC360" s="298"/>
      <c r="AD360" s="298"/>
      <c r="AE360" s="285"/>
      <c r="AF360" s="299">
        <f t="shared" si="263"/>
        <v>0</v>
      </c>
      <c r="AG360" s="299">
        <f t="shared" si="264"/>
        <v>0</v>
      </c>
      <c r="AH360" s="299">
        <f t="shared" si="265"/>
        <v>0</v>
      </c>
      <c r="AI360" s="299">
        <f t="shared" si="266"/>
        <v>0</v>
      </c>
      <c r="AJ360" s="299">
        <f t="shared" si="267"/>
        <v>0</v>
      </c>
      <c r="AK360" s="299">
        <f t="shared" si="268"/>
        <v>0</v>
      </c>
      <c r="AL360" s="298">
        <f t="shared" si="269"/>
        <v>5</v>
      </c>
      <c r="AM360" s="298">
        <f t="shared" si="270"/>
        <v>3</v>
      </c>
      <c r="AN360" s="298">
        <f t="shared" si="271"/>
        <v>2</v>
      </c>
      <c r="AO360" s="298">
        <f t="shared" si="272"/>
        <v>0</v>
      </c>
      <c r="AP360" s="298">
        <f t="shared" si="273"/>
        <v>0</v>
      </c>
      <c r="AQ360" s="298">
        <f t="shared" si="274"/>
        <v>0</v>
      </c>
      <c r="AR360" s="298">
        <f t="shared" si="275"/>
        <v>0</v>
      </c>
      <c r="AS360" s="298">
        <f t="shared" si="278"/>
        <v>0</v>
      </c>
      <c r="AT360" s="298">
        <f t="shared" si="276"/>
        <v>0</v>
      </c>
      <c r="AU360" s="285">
        <f t="shared" si="277"/>
        <v>5</v>
      </c>
      <c r="AV360" s="285">
        <v>5</v>
      </c>
      <c r="AW360" s="285"/>
      <c r="AX360" s="285"/>
      <c r="AY360" s="285"/>
      <c r="AZ360" s="285"/>
      <c r="BA360" s="285"/>
    </row>
    <row r="361" s="258" customFormat="1" ht="36" spans="1:53">
      <c r="A361" s="283">
        <v>354</v>
      </c>
      <c r="B361" s="284" t="s">
        <v>640</v>
      </c>
      <c r="C361" s="284" t="s">
        <v>518</v>
      </c>
      <c r="D361" s="284" t="s">
        <v>692</v>
      </c>
      <c r="E361" s="284" t="s">
        <v>691</v>
      </c>
      <c r="F361" s="285">
        <f t="shared" si="260"/>
        <v>1.26</v>
      </c>
      <c r="G361" s="285">
        <v>1.26</v>
      </c>
      <c r="H361" s="285"/>
      <c r="I361" s="285"/>
      <c r="J361" s="285"/>
      <c r="K361" s="285"/>
      <c r="L361" s="285"/>
      <c r="M361" s="285"/>
      <c r="N361" s="285"/>
      <c r="O361" s="285"/>
      <c r="P361" s="285">
        <f t="shared" si="261"/>
        <v>1.26</v>
      </c>
      <c r="Q361" s="285">
        <v>1.26</v>
      </c>
      <c r="R361" s="285"/>
      <c r="S361" s="285"/>
      <c r="T361" s="285"/>
      <c r="U361" s="285"/>
      <c r="V361" s="298">
        <f t="shared" si="262"/>
        <v>0</v>
      </c>
      <c r="W361" s="298"/>
      <c r="X361" s="298"/>
      <c r="Y361" s="298"/>
      <c r="Z361" s="298"/>
      <c r="AA361" s="298"/>
      <c r="AB361" s="298"/>
      <c r="AC361" s="298"/>
      <c r="AD361" s="298"/>
      <c r="AE361" s="285"/>
      <c r="AF361" s="299">
        <f t="shared" si="263"/>
        <v>0</v>
      </c>
      <c r="AG361" s="299">
        <f t="shared" si="264"/>
        <v>0</v>
      </c>
      <c r="AH361" s="299">
        <f t="shared" si="265"/>
        <v>0</v>
      </c>
      <c r="AI361" s="299">
        <f t="shared" si="266"/>
        <v>0</v>
      </c>
      <c r="AJ361" s="299">
        <f t="shared" si="267"/>
        <v>0</v>
      </c>
      <c r="AK361" s="299">
        <f t="shared" si="268"/>
        <v>0</v>
      </c>
      <c r="AL361" s="298">
        <f t="shared" si="269"/>
        <v>1.26</v>
      </c>
      <c r="AM361" s="298">
        <f t="shared" si="270"/>
        <v>1.26</v>
      </c>
      <c r="AN361" s="298">
        <f t="shared" si="271"/>
        <v>0</v>
      </c>
      <c r="AO361" s="298">
        <f t="shared" si="272"/>
        <v>0</v>
      </c>
      <c r="AP361" s="298">
        <f t="shared" si="273"/>
        <v>0</v>
      </c>
      <c r="AQ361" s="298">
        <f t="shared" si="274"/>
        <v>0</v>
      </c>
      <c r="AR361" s="298">
        <f t="shared" si="275"/>
        <v>0</v>
      </c>
      <c r="AS361" s="298">
        <f t="shared" si="278"/>
        <v>0</v>
      </c>
      <c r="AT361" s="298">
        <f t="shared" si="276"/>
        <v>0</v>
      </c>
      <c r="AU361" s="285">
        <f t="shared" si="277"/>
        <v>1.26</v>
      </c>
      <c r="AV361" s="285">
        <v>1.26</v>
      </c>
      <c r="AW361" s="285"/>
      <c r="AX361" s="285"/>
      <c r="AY361" s="285"/>
      <c r="AZ361" s="285"/>
      <c r="BA361" s="285"/>
    </row>
    <row r="362" s="260" customFormat="1" ht="22" customHeight="1" spans="1:53">
      <c r="A362" s="283">
        <v>355</v>
      </c>
      <c r="B362" s="305"/>
      <c r="C362" s="306" t="s">
        <v>753</v>
      </c>
      <c r="D362" s="305" t="s">
        <v>142</v>
      </c>
      <c r="E362" s="306">
        <v>214</v>
      </c>
      <c r="F362" s="281">
        <f t="shared" ref="F362:K362" si="279">SUM(F363:F369)</f>
        <v>252.65</v>
      </c>
      <c r="G362" s="281">
        <f t="shared" si="279"/>
        <v>47</v>
      </c>
      <c r="H362" s="281">
        <f t="shared" si="279"/>
        <v>0</v>
      </c>
      <c r="I362" s="281">
        <f t="shared" si="279"/>
        <v>15.65</v>
      </c>
      <c r="J362" s="281">
        <f t="shared" si="279"/>
        <v>0</v>
      </c>
      <c r="K362" s="281">
        <f t="shared" si="279"/>
        <v>0</v>
      </c>
      <c r="L362" s="281"/>
      <c r="M362" s="281">
        <f>SUM(M363:M369)</f>
        <v>160</v>
      </c>
      <c r="N362" s="281">
        <f>SUM(N363:N369)</f>
        <v>30</v>
      </c>
      <c r="O362" s="281"/>
      <c r="P362" s="307">
        <f t="shared" ref="P362:U362" si="280">SUM(P363:P369)</f>
        <v>252.65</v>
      </c>
      <c r="Q362" s="307">
        <f t="shared" si="280"/>
        <v>92.65</v>
      </c>
      <c r="R362" s="307">
        <f t="shared" si="280"/>
        <v>62</v>
      </c>
      <c r="S362" s="307">
        <f t="shared" si="280"/>
        <v>98</v>
      </c>
      <c r="T362" s="307">
        <f t="shared" si="280"/>
        <v>0</v>
      </c>
      <c r="U362" s="307">
        <f t="shared" si="280"/>
        <v>0</v>
      </c>
      <c r="V362" s="281">
        <f t="shared" ref="R362:AL362" si="281">SUM(V363:V369)</f>
        <v>-78.94</v>
      </c>
      <c r="W362" s="281">
        <f t="shared" si="281"/>
        <v>0</v>
      </c>
      <c r="X362" s="281">
        <f t="shared" si="281"/>
        <v>0</v>
      </c>
      <c r="Y362" s="281">
        <f t="shared" si="281"/>
        <v>0</v>
      </c>
      <c r="Z362" s="281">
        <f t="shared" si="281"/>
        <v>0</v>
      </c>
      <c r="AA362" s="281">
        <f t="shared" si="281"/>
        <v>0</v>
      </c>
      <c r="AB362" s="281">
        <f t="shared" si="281"/>
        <v>-78.94</v>
      </c>
      <c r="AC362" s="281">
        <f t="shared" si="281"/>
        <v>0</v>
      </c>
      <c r="AD362" s="281">
        <f t="shared" si="281"/>
        <v>0</v>
      </c>
      <c r="AE362" s="281"/>
      <c r="AF362" s="281">
        <f t="shared" si="281"/>
        <v>-78.94</v>
      </c>
      <c r="AG362" s="281">
        <f t="shared" si="281"/>
        <v>0</v>
      </c>
      <c r="AH362" s="281">
        <f t="shared" si="281"/>
        <v>-62</v>
      </c>
      <c r="AI362" s="281">
        <f t="shared" si="281"/>
        <v>-16.94</v>
      </c>
      <c r="AJ362" s="281">
        <f t="shared" si="281"/>
        <v>0</v>
      </c>
      <c r="AK362" s="281">
        <f t="shared" si="281"/>
        <v>0</v>
      </c>
      <c r="AL362" s="308">
        <f t="shared" si="281"/>
        <v>173.71</v>
      </c>
      <c r="AM362" s="308">
        <f t="shared" ref="AM362:AZ362" si="282">SUM(AM363:AM369)</f>
        <v>47</v>
      </c>
      <c r="AN362" s="308">
        <f t="shared" si="282"/>
        <v>0</v>
      </c>
      <c r="AO362" s="308">
        <f t="shared" si="282"/>
        <v>15.65</v>
      </c>
      <c r="AP362" s="308">
        <f t="shared" si="282"/>
        <v>0</v>
      </c>
      <c r="AQ362" s="308">
        <f t="shared" si="282"/>
        <v>0</v>
      </c>
      <c r="AR362" s="308">
        <f t="shared" si="282"/>
        <v>81.06</v>
      </c>
      <c r="AS362" s="308">
        <f t="shared" si="282"/>
        <v>0</v>
      </c>
      <c r="AT362" s="308">
        <f t="shared" si="282"/>
        <v>30</v>
      </c>
      <c r="AU362" s="308">
        <f t="shared" si="282"/>
        <v>173.71</v>
      </c>
      <c r="AV362" s="308">
        <f t="shared" si="282"/>
        <v>92.65</v>
      </c>
      <c r="AW362" s="308">
        <f t="shared" si="282"/>
        <v>0</v>
      </c>
      <c r="AX362" s="308">
        <f t="shared" si="282"/>
        <v>81.06</v>
      </c>
      <c r="AY362" s="308">
        <f t="shared" si="282"/>
        <v>0</v>
      </c>
      <c r="AZ362" s="308">
        <f t="shared" si="282"/>
        <v>0</v>
      </c>
      <c r="BA362" s="309"/>
    </row>
    <row r="363" s="258" customFormat="1" ht="24" spans="1:53">
      <c r="A363" s="283">
        <v>356</v>
      </c>
      <c r="B363" s="284" t="s">
        <v>290</v>
      </c>
      <c r="C363" s="284" t="s">
        <v>196</v>
      </c>
      <c r="D363" s="284" t="s">
        <v>693</v>
      </c>
      <c r="E363" s="284" t="s">
        <v>694</v>
      </c>
      <c r="F363" s="285">
        <f t="shared" ref="F363:F369" si="283">SUM(G363:N363)</f>
        <v>115.01</v>
      </c>
      <c r="G363" s="285">
        <v>8.8</v>
      </c>
      <c r="H363" s="285"/>
      <c r="I363" s="285">
        <v>8.21</v>
      </c>
      <c r="J363" s="285"/>
      <c r="K363" s="285"/>
      <c r="L363" s="285"/>
      <c r="M363" s="285">
        <v>98</v>
      </c>
      <c r="N363" s="285"/>
      <c r="O363" s="285"/>
      <c r="P363" s="285">
        <f t="shared" ref="P363:P369" si="284">SUM(Q363:S363)</f>
        <v>115.01</v>
      </c>
      <c r="Q363" s="285">
        <v>17.01</v>
      </c>
      <c r="R363" s="285"/>
      <c r="S363" s="285">
        <v>98</v>
      </c>
      <c r="T363" s="285"/>
      <c r="U363" s="285"/>
      <c r="V363" s="298">
        <f t="shared" ref="V363:V369" si="285">SUM(W363:AD363)</f>
        <v>-29.48</v>
      </c>
      <c r="W363" s="298"/>
      <c r="X363" s="298"/>
      <c r="Y363" s="298"/>
      <c r="Z363" s="298"/>
      <c r="AA363" s="298"/>
      <c r="AB363" s="298">
        <f>-98+68.52</f>
        <v>-29.48</v>
      </c>
      <c r="AC363" s="298"/>
      <c r="AD363" s="298"/>
      <c r="AE363" s="285" t="s">
        <v>1197</v>
      </c>
      <c r="AF363" s="299">
        <f t="shared" ref="AF363:AF369" si="286">SUM(AG363:AI363)</f>
        <v>-29.48</v>
      </c>
      <c r="AG363" s="299">
        <f t="shared" ref="AG363:AG369" si="287">AV363-Q363</f>
        <v>0</v>
      </c>
      <c r="AH363" s="299">
        <f t="shared" ref="AH363:AH369" si="288">AW363-R363</f>
        <v>0</v>
      </c>
      <c r="AI363" s="299">
        <f t="shared" ref="AI363:AI369" si="289">AX363-S363</f>
        <v>-29.48</v>
      </c>
      <c r="AJ363" s="299">
        <f t="shared" ref="AJ363:AJ369" si="290">AY363-T363</f>
        <v>0</v>
      </c>
      <c r="AK363" s="299">
        <f t="shared" ref="AK363:AK369" si="291">AZ363-U363</f>
        <v>0</v>
      </c>
      <c r="AL363" s="298">
        <f t="shared" ref="AL363:AL369" si="292">SUM(AM363:AT363)</f>
        <v>85.53</v>
      </c>
      <c r="AM363" s="298">
        <f t="shared" ref="AM363:AM369" si="293">G363+W363</f>
        <v>8.8</v>
      </c>
      <c r="AN363" s="298">
        <f t="shared" ref="AN363:AN369" si="294">H363+X363</f>
        <v>0</v>
      </c>
      <c r="AO363" s="298">
        <f t="shared" ref="AO363:AO369" si="295">I363+Y363</f>
        <v>8.21</v>
      </c>
      <c r="AP363" s="298">
        <f t="shared" ref="AP363:AP369" si="296">J363+Z363</f>
        <v>0</v>
      </c>
      <c r="AQ363" s="298">
        <f t="shared" ref="AQ363:AQ369" si="297">K363+AA363</f>
        <v>0</v>
      </c>
      <c r="AR363" s="298">
        <f t="shared" ref="AR363:AR369" si="298">M363+AB363</f>
        <v>68.52</v>
      </c>
      <c r="AS363" s="298">
        <f t="shared" si="278"/>
        <v>0</v>
      </c>
      <c r="AT363" s="298">
        <f t="shared" ref="AT363:AT369" si="299">N363+AD363</f>
        <v>0</v>
      </c>
      <c r="AU363" s="285">
        <f t="shared" ref="AU363:AU369" si="300">SUM(AV363:AX363)</f>
        <v>85.53</v>
      </c>
      <c r="AV363" s="285">
        <v>17.01</v>
      </c>
      <c r="AW363" s="285"/>
      <c r="AX363" s="285">
        <v>68.52</v>
      </c>
      <c r="AY363" s="285"/>
      <c r="AZ363" s="285"/>
      <c r="BA363" s="285"/>
    </row>
    <row r="364" s="258" customFormat="1" ht="24" spans="1:53">
      <c r="A364" s="283">
        <v>357</v>
      </c>
      <c r="B364" s="284" t="s">
        <v>290</v>
      </c>
      <c r="C364" s="284" t="s">
        <v>196</v>
      </c>
      <c r="D364" s="284" t="s">
        <v>695</v>
      </c>
      <c r="E364" s="284" t="s">
        <v>694</v>
      </c>
      <c r="F364" s="285">
        <f t="shared" si="283"/>
        <v>16.24</v>
      </c>
      <c r="G364" s="285">
        <v>8.8</v>
      </c>
      <c r="H364" s="285"/>
      <c r="I364" s="285">
        <v>7.44</v>
      </c>
      <c r="J364" s="285"/>
      <c r="K364" s="285"/>
      <c r="L364" s="285"/>
      <c r="M364" s="285"/>
      <c r="N364" s="285"/>
      <c r="O364" s="285"/>
      <c r="P364" s="285">
        <f t="shared" si="284"/>
        <v>16.24</v>
      </c>
      <c r="Q364" s="285">
        <v>16.24</v>
      </c>
      <c r="R364" s="285"/>
      <c r="S364" s="285"/>
      <c r="T364" s="285"/>
      <c r="U364" s="285"/>
      <c r="V364" s="298">
        <f t="shared" si="285"/>
        <v>0</v>
      </c>
      <c r="W364" s="298"/>
      <c r="X364" s="298"/>
      <c r="Y364" s="298"/>
      <c r="Z364" s="298"/>
      <c r="AA364" s="298"/>
      <c r="AB364" s="298"/>
      <c r="AC364" s="298"/>
      <c r="AD364" s="298"/>
      <c r="AE364" s="285"/>
      <c r="AF364" s="299">
        <f t="shared" si="286"/>
        <v>0</v>
      </c>
      <c r="AG364" s="299">
        <f t="shared" si="287"/>
        <v>0</v>
      </c>
      <c r="AH364" s="299">
        <f t="shared" si="288"/>
        <v>0</v>
      </c>
      <c r="AI364" s="299">
        <f t="shared" si="289"/>
        <v>0</v>
      </c>
      <c r="AJ364" s="299">
        <f t="shared" si="290"/>
        <v>0</v>
      </c>
      <c r="AK364" s="299">
        <f t="shared" si="291"/>
        <v>0</v>
      </c>
      <c r="AL364" s="298">
        <f t="shared" si="292"/>
        <v>16.24</v>
      </c>
      <c r="AM364" s="298">
        <f t="shared" si="293"/>
        <v>8.8</v>
      </c>
      <c r="AN364" s="298">
        <f t="shared" si="294"/>
        <v>0</v>
      </c>
      <c r="AO364" s="298">
        <f t="shared" si="295"/>
        <v>7.44</v>
      </c>
      <c r="AP364" s="298">
        <f t="shared" si="296"/>
        <v>0</v>
      </c>
      <c r="AQ364" s="298">
        <f t="shared" si="297"/>
        <v>0</v>
      </c>
      <c r="AR364" s="298">
        <f t="shared" si="298"/>
        <v>0</v>
      </c>
      <c r="AS364" s="298">
        <f t="shared" si="278"/>
        <v>0</v>
      </c>
      <c r="AT364" s="298">
        <f t="shared" si="299"/>
        <v>0</v>
      </c>
      <c r="AU364" s="285">
        <f t="shared" si="300"/>
        <v>16.24</v>
      </c>
      <c r="AV364" s="285">
        <v>16.24</v>
      </c>
      <c r="AW364" s="285"/>
      <c r="AX364" s="285"/>
      <c r="AY364" s="285"/>
      <c r="AZ364" s="285"/>
      <c r="BA364" s="285"/>
    </row>
    <row r="365" s="258" customFormat="1" ht="36" spans="1:53">
      <c r="A365" s="283">
        <v>358</v>
      </c>
      <c r="B365" s="284" t="s">
        <v>290</v>
      </c>
      <c r="C365" s="284" t="s">
        <v>199</v>
      </c>
      <c r="D365" s="284" t="s">
        <v>696</v>
      </c>
      <c r="E365" s="284" t="s">
        <v>697</v>
      </c>
      <c r="F365" s="285">
        <f t="shared" si="283"/>
        <v>9</v>
      </c>
      <c r="G365" s="285">
        <v>9</v>
      </c>
      <c r="H365" s="285"/>
      <c r="I365" s="285"/>
      <c r="J365" s="285"/>
      <c r="K365" s="285"/>
      <c r="L365" s="285"/>
      <c r="M365" s="285"/>
      <c r="N365" s="285"/>
      <c r="O365" s="285"/>
      <c r="P365" s="285">
        <f t="shared" si="284"/>
        <v>9</v>
      </c>
      <c r="Q365" s="285">
        <v>9</v>
      </c>
      <c r="R365" s="285"/>
      <c r="S365" s="285"/>
      <c r="T365" s="285"/>
      <c r="U365" s="285"/>
      <c r="V365" s="298">
        <f t="shared" si="285"/>
        <v>0</v>
      </c>
      <c r="W365" s="298"/>
      <c r="X365" s="298"/>
      <c r="Y365" s="298"/>
      <c r="Z365" s="298"/>
      <c r="AA365" s="298"/>
      <c r="AB365" s="298"/>
      <c r="AC365" s="298"/>
      <c r="AD365" s="298"/>
      <c r="AE365" s="285"/>
      <c r="AF365" s="299">
        <f t="shared" si="286"/>
        <v>0</v>
      </c>
      <c r="AG365" s="299">
        <f t="shared" si="287"/>
        <v>0</v>
      </c>
      <c r="AH365" s="299">
        <f t="shared" si="288"/>
        <v>0</v>
      </c>
      <c r="AI365" s="299">
        <f t="shared" si="289"/>
        <v>0</v>
      </c>
      <c r="AJ365" s="299">
        <f t="shared" si="290"/>
        <v>0</v>
      </c>
      <c r="AK365" s="299">
        <f t="shared" si="291"/>
        <v>0</v>
      </c>
      <c r="AL365" s="298">
        <f t="shared" si="292"/>
        <v>9</v>
      </c>
      <c r="AM365" s="298">
        <f t="shared" si="293"/>
        <v>9</v>
      </c>
      <c r="AN365" s="298">
        <f t="shared" si="294"/>
        <v>0</v>
      </c>
      <c r="AO365" s="298">
        <f t="shared" si="295"/>
        <v>0</v>
      </c>
      <c r="AP365" s="298">
        <f t="shared" si="296"/>
        <v>0</v>
      </c>
      <c r="AQ365" s="298">
        <f t="shared" si="297"/>
        <v>0</v>
      </c>
      <c r="AR365" s="298">
        <f t="shared" si="298"/>
        <v>0</v>
      </c>
      <c r="AS365" s="298">
        <f t="shared" si="278"/>
        <v>0</v>
      </c>
      <c r="AT365" s="298">
        <f t="shared" si="299"/>
        <v>0</v>
      </c>
      <c r="AU365" s="285">
        <f t="shared" si="300"/>
        <v>9</v>
      </c>
      <c r="AV365" s="285">
        <v>9</v>
      </c>
      <c r="AW365" s="285"/>
      <c r="AX365" s="285"/>
      <c r="AY365" s="285"/>
      <c r="AZ365" s="285"/>
      <c r="BA365" s="285"/>
    </row>
    <row r="366" s="258" customFormat="1" ht="36" spans="1:53">
      <c r="A366" s="283">
        <v>359</v>
      </c>
      <c r="B366" s="284" t="s">
        <v>290</v>
      </c>
      <c r="C366" s="284" t="s">
        <v>199</v>
      </c>
      <c r="D366" s="284" t="s">
        <v>698</v>
      </c>
      <c r="E366" s="284" t="s">
        <v>697</v>
      </c>
      <c r="F366" s="285">
        <f t="shared" si="283"/>
        <v>5.4</v>
      </c>
      <c r="G366" s="285">
        <v>5.4</v>
      </c>
      <c r="H366" s="285"/>
      <c r="I366" s="285"/>
      <c r="J366" s="285"/>
      <c r="K366" s="285"/>
      <c r="L366" s="285"/>
      <c r="M366" s="285"/>
      <c r="N366" s="285"/>
      <c r="O366" s="285"/>
      <c r="P366" s="285">
        <f t="shared" si="284"/>
        <v>5.4</v>
      </c>
      <c r="Q366" s="285">
        <v>5.4</v>
      </c>
      <c r="R366" s="285"/>
      <c r="S366" s="285"/>
      <c r="T366" s="285"/>
      <c r="U366" s="285"/>
      <c r="V366" s="298">
        <f t="shared" si="285"/>
        <v>0</v>
      </c>
      <c r="W366" s="298"/>
      <c r="X366" s="298"/>
      <c r="Y366" s="298"/>
      <c r="Z366" s="298"/>
      <c r="AA366" s="298"/>
      <c r="AB366" s="298"/>
      <c r="AC366" s="298"/>
      <c r="AD366" s="298"/>
      <c r="AE366" s="285"/>
      <c r="AF366" s="299">
        <f t="shared" si="286"/>
        <v>0</v>
      </c>
      <c r="AG366" s="299">
        <f t="shared" si="287"/>
        <v>0</v>
      </c>
      <c r="AH366" s="299">
        <f t="shared" si="288"/>
        <v>0</v>
      </c>
      <c r="AI366" s="299">
        <f t="shared" si="289"/>
        <v>0</v>
      </c>
      <c r="AJ366" s="299">
        <f t="shared" si="290"/>
        <v>0</v>
      </c>
      <c r="AK366" s="299">
        <f t="shared" si="291"/>
        <v>0</v>
      </c>
      <c r="AL366" s="298">
        <f t="shared" si="292"/>
        <v>5.4</v>
      </c>
      <c r="AM366" s="298">
        <f t="shared" si="293"/>
        <v>5.4</v>
      </c>
      <c r="AN366" s="298">
        <f t="shared" si="294"/>
        <v>0</v>
      </c>
      <c r="AO366" s="298">
        <f t="shared" si="295"/>
        <v>0</v>
      </c>
      <c r="AP366" s="298">
        <f t="shared" si="296"/>
        <v>0</v>
      </c>
      <c r="AQ366" s="298">
        <f t="shared" si="297"/>
        <v>0</v>
      </c>
      <c r="AR366" s="298">
        <f t="shared" si="298"/>
        <v>0</v>
      </c>
      <c r="AS366" s="298">
        <f t="shared" si="278"/>
        <v>0</v>
      </c>
      <c r="AT366" s="298">
        <f t="shared" si="299"/>
        <v>0</v>
      </c>
      <c r="AU366" s="285">
        <f t="shared" si="300"/>
        <v>5.4</v>
      </c>
      <c r="AV366" s="285">
        <v>5.4</v>
      </c>
      <c r="AW366" s="285"/>
      <c r="AX366" s="285"/>
      <c r="AY366" s="285"/>
      <c r="AZ366" s="285"/>
      <c r="BA366" s="285"/>
    </row>
    <row r="367" s="258" customFormat="1" ht="36" spans="1:53">
      <c r="A367" s="283">
        <v>360</v>
      </c>
      <c r="B367" s="284" t="s">
        <v>290</v>
      </c>
      <c r="C367" s="284" t="s">
        <v>199</v>
      </c>
      <c r="D367" s="284" t="s">
        <v>699</v>
      </c>
      <c r="E367" s="284" t="s">
        <v>697</v>
      </c>
      <c r="F367" s="285">
        <f t="shared" si="283"/>
        <v>1.8</v>
      </c>
      <c r="G367" s="285">
        <v>1.8</v>
      </c>
      <c r="H367" s="285"/>
      <c r="I367" s="285"/>
      <c r="J367" s="285"/>
      <c r="K367" s="285"/>
      <c r="L367" s="285"/>
      <c r="M367" s="285"/>
      <c r="N367" s="285"/>
      <c r="O367" s="285"/>
      <c r="P367" s="285">
        <f t="shared" si="284"/>
        <v>1.8</v>
      </c>
      <c r="Q367" s="285">
        <v>1.8</v>
      </c>
      <c r="R367" s="285"/>
      <c r="S367" s="285"/>
      <c r="T367" s="285"/>
      <c r="U367" s="285"/>
      <c r="V367" s="298">
        <f t="shared" si="285"/>
        <v>0</v>
      </c>
      <c r="W367" s="298"/>
      <c r="X367" s="298"/>
      <c r="Y367" s="298"/>
      <c r="Z367" s="298"/>
      <c r="AA367" s="298"/>
      <c r="AB367" s="298"/>
      <c r="AC367" s="298"/>
      <c r="AD367" s="298"/>
      <c r="AE367" s="285"/>
      <c r="AF367" s="299">
        <f t="shared" si="286"/>
        <v>0</v>
      </c>
      <c r="AG367" s="299">
        <f t="shared" si="287"/>
        <v>0</v>
      </c>
      <c r="AH367" s="299">
        <f t="shared" si="288"/>
        <v>0</v>
      </c>
      <c r="AI367" s="299">
        <f t="shared" si="289"/>
        <v>0</v>
      </c>
      <c r="AJ367" s="299">
        <f t="shared" si="290"/>
        <v>0</v>
      </c>
      <c r="AK367" s="299">
        <f t="shared" si="291"/>
        <v>0</v>
      </c>
      <c r="AL367" s="298">
        <f t="shared" si="292"/>
        <v>1.8</v>
      </c>
      <c r="AM367" s="298">
        <f t="shared" si="293"/>
        <v>1.8</v>
      </c>
      <c r="AN367" s="298">
        <f t="shared" si="294"/>
        <v>0</v>
      </c>
      <c r="AO367" s="298">
        <f t="shared" si="295"/>
        <v>0</v>
      </c>
      <c r="AP367" s="298">
        <f t="shared" si="296"/>
        <v>0</v>
      </c>
      <c r="AQ367" s="298">
        <f t="shared" si="297"/>
        <v>0</v>
      </c>
      <c r="AR367" s="298">
        <f t="shared" si="298"/>
        <v>0</v>
      </c>
      <c r="AS367" s="298">
        <f t="shared" si="278"/>
        <v>0</v>
      </c>
      <c r="AT367" s="298">
        <f t="shared" si="299"/>
        <v>0</v>
      </c>
      <c r="AU367" s="285">
        <f t="shared" si="300"/>
        <v>1.8</v>
      </c>
      <c r="AV367" s="285">
        <v>1.8</v>
      </c>
      <c r="AW367" s="285"/>
      <c r="AX367" s="285"/>
      <c r="AY367" s="285"/>
      <c r="AZ367" s="285"/>
      <c r="BA367" s="285"/>
    </row>
    <row r="368" s="258" customFormat="1" ht="36" spans="1:53">
      <c r="A368" s="283">
        <v>361</v>
      </c>
      <c r="B368" s="284" t="s">
        <v>290</v>
      </c>
      <c r="C368" s="284" t="s">
        <v>199</v>
      </c>
      <c r="D368" s="284" t="s">
        <v>700</v>
      </c>
      <c r="E368" s="284" t="s">
        <v>701</v>
      </c>
      <c r="F368" s="285">
        <f t="shared" si="283"/>
        <v>34.2</v>
      </c>
      <c r="G368" s="285">
        <v>4.2</v>
      </c>
      <c r="H368" s="285"/>
      <c r="I368" s="285"/>
      <c r="J368" s="285"/>
      <c r="K368" s="285"/>
      <c r="L368" s="285"/>
      <c r="M368" s="285"/>
      <c r="N368" s="285">
        <v>30</v>
      </c>
      <c r="O368" s="285" t="s">
        <v>1198</v>
      </c>
      <c r="P368" s="285">
        <f t="shared" si="284"/>
        <v>34.2</v>
      </c>
      <c r="Q368" s="285">
        <v>34.2</v>
      </c>
      <c r="R368" s="285"/>
      <c r="S368" s="285"/>
      <c r="T368" s="285"/>
      <c r="U368" s="285"/>
      <c r="V368" s="298">
        <f t="shared" si="285"/>
        <v>0</v>
      </c>
      <c r="W368" s="298"/>
      <c r="X368" s="298"/>
      <c r="Y368" s="298"/>
      <c r="Z368" s="298"/>
      <c r="AA368" s="298"/>
      <c r="AB368" s="298"/>
      <c r="AC368" s="298"/>
      <c r="AD368" s="298"/>
      <c r="AE368" s="285"/>
      <c r="AF368" s="299">
        <f t="shared" si="286"/>
        <v>0</v>
      </c>
      <c r="AG368" s="299">
        <f t="shared" si="287"/>
        <v>0</v>
      </c>
      <c r="AH368" s="299">
        <f t="shared" si="288"/>
        <v>0</v>
      </c>
      <c r="AI368" s="299">
        <f t="shared" si="289"/>
        <v>0</v>
      </c>
      <c r="AJ368" s="299">
        <f t="shared" si="290"/>
        <v>0</v>
      </c>
      <c r="AK368" s="299">
        <f t="shared" si="291"/>
        <v>0</v>
      </c>
      <c r="AL368" s="298">
        <f t="shared" si="292"/>
        <v>34.2</v>
      </c>
      <c r="AM368" s="298">
        <f t="shared" si="293"/>
        <v>4.2</v>
      </c>
      <c r="AN368" s="298">
        <f t="shared" si="294"/>
        <v>0</v>
      </c>
      <c r="AO368" s="298">
        <f t="shared" si="295"/>
        <v>0</v>
      </c>
      <c r="AP368" s="298">
        <f t="shared" si="296"/>
        <v>0</v>
      </c>
      <c r="AQ368" s="298">
        <f t="shared" si="297"/>
        <v>0</v>
      </c>
      <c r="AR368" s="298">
        <f t="shared" si="298"/>
        <v>0</v>
      </c>
      <c r="AS368" s="298">
        <f t="shared" si="278"/>
        <v>0</v>
      </c>
      <c r="AT368" s="298">
        <f t="shared" si="299"/>
        <v>30</v>
      </c>
      <c r="AU368" s="298">
        <f t="shared" si="300"/>
        <v>34.2</v>
      </c>
      <c r="AV368" s="298">
        <f>-24+58.2</f>
        <v>34.2</v>
      </c>
      <c r="AW368" s="298"/>
      <c r="AX368" s="298"/>
      <c r="AY368" s="298"/>
      <c r="AZ368" s="298"/>
      <c r="BA368" s="285">
        <v>24</v>
      </c>
    </row>
    <row r="369" s="258" customFormat="1" ht="36" spans="1:53">
      <c r="A369" s="283">
        <v>362</v>
      </c>
      <c r="B369" s="284" t="s">
        <v>290</v>
      </c>
      <c r="C369" s="284" t="s">
        <v>199</v>
      </c>
      <c r="D369" s="284" t="s">
        <v>704</v>
      </c>
      <c r="E369" s="284" t="s">
        <v>703</v>
      </c>
      <c r="F369" s="285">
        <f t="shared" si="283"/>
        <v>71</v>
      </c>
      <c r="G369" s="285">
        <v>9</v>
      </c>
      <c r="H369" s="285"/>
      <c r="I369" s="285"/>
      <c r="J369" s="285"/>
      <c r="K369" s="285"/>
      <c r="L369" s="285"/>
      <c r="M369" s="285">
        <v>62</v>
      </c>
      <c r="N369" s="285"/>
      <c r="O369" s="285"/>
      <c r="P369" s="285">
        <f t="shared" si="284"/>
        <v>71</v>
      </c>
      <c r="Q369" s="285">
        <v>9</v>
      </c>
      <c r="R369" s="285">
        <v>62</v>
      </c>
      <c r="S369" s="285"/>
      <c r="T369" s="285"/>
      <c r="U369" s="285"/>
      <c r="V369" s="298">
        <f t="shared" si="285"/>
        <v>-49.46</v>
      </c>
      <c r="W369" s="298"/>
      <c r="X369" s="298"/>
      <c r="Y369" s="298"/>
      <c r="Z369" s="298"/>
      <c r="AA369" s="298"/>
      <c r="AB369" s="298">
        <f>-62+12.54</f>
        <v>-49.46</v>
      </c>
      <c r="AC369" s="298"/>
      <c r="AD369" s="298"/>
      <c r="AE369" s="285" t="s">
        <v>1199</v>
      </c>
      <c r="AF369" s="299">
        <f t="shared" si="286"/>
        <v>-49.46</v>
      </c>
      <c r="AG369" s="299">
        <f t="shared" si="287"/>
        <v>0</v>
      </c>
      <c r="AH369" s="299">
        <f t="shared" si="288"/>
        <v>-62</v>
      </c>
      <c r="AI369" s="299">
        <f t="shared" si="289"/>
        <v>12.54</v>
      </c>
      <c r="AJ369" s="299">
        <f t="shared" si="290"/>
        <v>0</v>
      </c>
      <c r="AK369" s="299">
        <f t="shared" si="291"/>
        <v>0</v>
      </c>
      <c r="AL369" s="298">
        <f t="shared" si="292"/>
        <v>21.54</v>
      </c>
      <c r="AM369" s="298">
        <f t="shared" si="293"/>
        <v>9</v>
      </c>
      <c r="AN369" s="298">
        <f t="shared" si="294"/>
        <v>0</v>
      </c>
      <c r="AO369" s="298">
        <f t="shared" si="295"/>
        <v>0</v>
      </c>
      <c r="AP369" s="298">
        <f t="shared" si="296"/>
        <v>0</v>
      </c>
      <c r="AQ369" s="298">
        <f t="shared" si="297"/>
        <v>0</v>
      </c>
      <c r="AR369" s="298">
        <f t="shared" si="298"/>
        <v>12.54</v>
      </c>
      <c r="AS369" s="298">
        <f t="shared" si="278"/>
        <v>0</v>
      </c>
      <c r="AT369" s="298">
        <f t="shared" si="299"/>
        <v>0</v>
      </c>
      <c r="AU369" s="285">
        <f t="shared" si="300"/>
        <v>21.54</v>
      </c>
      <c r="AV369" s="285">
        <v>9</v>
      </c>
      <c r="AW369" s="285"/>
      <c r="AX369" s="285">
        <v>12.54</v>
      </c>
      <c r="AY369" s="285"/>
      <c r="AZ369" s="285"/>
      <c r="BA369" s="285"/>
    </row>
    <row r="370" s="260" customFormat="1" ht="26" customHeight="1" spans="1:53">
      <c r="A370" s="283">
        <v>363</v>
      </c>
      <c r="B370" s="305"/>
      <c r="C370" s="306" t="s">
        <v>754</v>
      </c>
      <c r="D370" s="305" t="s">
        <v>144</v>
      </c>
      <c r="E370" s="306">
        <v>216</v>
      </c>
      <c r="F370" s="281">
        <f t="shared" ref="F370:K370" si="301">SUM(F371:F372)</f>
        <v>101.364</v>
      </c>
      <c r="G370" s="281">
        <f t="shared" si="301"/>
        <v>88.1</v>
      </c>
      <c r="H370" s="281">
        <f t="shared" si="301"/>
        <v>0</v>
      </c>
      <c r="I370" s="281">
        <f t="shared" si="301"/>
        <v>9.264</v>
      </c>
      <c r="J370" s="281">
        <f t="shared" si="301"/>
        <v>0</v>
      </c>
      <c r="K370" s="281">
        <f t="shared" si="301"/>
        <v>0</v>
      </c>
      <c r="L370" s="281"/>
      <c r="M370" s="281">
        <f>SUM(M371:M372)</f>
        <v>4</v>
      </c>
      <c r="N370" s="281">
        <f>SUM(N371:N372)</f>
        <v>0</v>
      </c>
      <c r="O370" s="281"/>
      <c r="P370" s="307">
        <f t="shared" ref="P370:U370" si="302">SUM(P371:P372)</f>
        <v>101.364</v>
      </c>
      <c r="Q370" s="307">
        <f t="shared" si="302"/>
        <v>97.364</v>
      </c>
      <c r="R370" s="307">
        <f t="shared" si="302"/>
        <v>0</v>
      </c>
      <c r="S370" s="307">
        <f t="shared" si="302"/>
        <v>4</v>
      </c>
      <c r="T370" s="307">
        <f t="shared" si="302"/>
        <v>0</v>
      </c>
      <c r="U370" s="307">
        <f t="shared" si="302"/>
        <v>0</v>
      </c>
      <c r="V370" s="281">
        <f t="shared" ref="R370:AC370" si="303">SUM(V371:V372)</f>
        <v>-3.1</v>
      </c>
      <c r="W370" s="281">
        <f t="shared" si="303"/>
        <v>0</v>
      </c>
      <c r="X370" s="281">
        <f t="shared" si="303"/>
        <v>0</v>
      </c>
      <c r="Y370" s="281">
        <f t="shared" si="303"/>
        <v>0</v>
      </c>
      <c r="Z370" s="281">
        <f t="shared" si="303"/>
        <v>0</v>
      </c>
      <c r="AA370" s="281">
        <f t="shared" si="303"/>
        <v>0</v>
      </c>
      <c r="AB370" s="281">
        <f t="shared" si="303"/>
        <v>-3.1</v>
      </c>
      <c r="AC370" s="281">
        <f t="shared" si="303"/>
        <v>0</v>
      </c>
      <c r="AD370" s="281">
        <f t="shared" ref="AD370" si="304">SUM(AD371:AD372)</f>
        <v>0</v>
      </c>
      <c r="AE370" s="281"/>
      <c r="AF370" s="281">
        <f t="shared" ref="AF370:AL370" si="305">SUM(AF371:AF372)</f>
        <v>-3.1</v>
      </c>
      <c r="AG370" s="281">
        <f t="shared" si="305"/>
        <v>0</v>
      </c>
      <c r="AH370" s="281">
        <f t="shared" si="305"/>
        <v>0</v>
      </c>
      <c r="AI370" s="281">
        <f t="shared" si="305"/>
        <v>-3.1</v>
      </c>
      <c r="AJ370" s="281">
        <f t="shared" si="305"/>
        <v>0</v>
      </c>
      <c r="AK370" s="281">
        <f t="shared" si="305"/>
        <v>0</v>
      </c>
      <c r="AL370" s="308">
        <f t="shared" si="305"/>
        <v>98.264</v>
      </c>
      <c r="AM370" s="308">
        <f t="shared" ref="AM370:AZ370" si="306">SUM(AM371:AM372)</f>
        <v>88.1</v>
      </c>
      <c r="AN370" s="308">
        <f t="shared" si="306"/>
        <v>0</v>
      </c>
      <c r="AO370" s="308">
        <f t="shared" si="306"/>
        <v>9.264</v>
      </c>
      <c r="AP370" s="308">
        <f t="shared" si="306"/>
        <v>0</v>
      </c>
      <c r="AQ370" s="308">
        <f t="shared" si="306"/>
        <v>0</v>
      </c>
      <c r="AR370" s="308">
        <f t="shared" si="306"/>
        <v>0.9</v>
      </c>
      <c r="AS370" s="308">
        <f t="shared" si="306"/>
        <v>0</v>
      </c>
      <c r="AT370" s="308">
        <f t="shared" si="306"/>
        <v>0</v>
      </c>
      <c r="AU370" s="308">
        <f t="shared" si="306"/>
        <v>98.264</v>
      </c>
      <c r="AV370" s="308">
        <f t="shared" si="306"/>
        <v>97.364</v>
      </c>
      <c r="AW370" s="308">
        <f t="shared" si="306"/>
        <v>0</v>
      </c>
      <c r="AX370" s="308">
        <f t="shared" si="306"/>
        <v>0.9</v>
      </c>
      <c r="AY370" s="308">
        <f t="shared" si="306"/>
        <v>0</v>
      </c>
      <c r="AZ370" s="308">
        <f t="shared" si="306"/>
        <v>0</v>
      </c>
      <c r="BA370" s="309"/>
    </row>
    <row r="371" s="258" customFormat="1" ht="24" spans="1:53">
      <c r="A371" s="283">
        <v>364</v>
      </c>
      <c r="B371" s="284" t="s">
        <v>290</v>
      </c>
      <c r="C371" s="284" t="s">
        <v>196</v>
      </c>
      <c r="D371" s="284" t="s">
        <v>705</v>
      </c>
      <c r="E371" s="284" t="s">
        <v>706</v>
      </c>
      <c r="F371" s="285">
        <f>SUM(G371:N371)</f>
        <v>100.164</v>
      </c>
      <c r="G371" s="285">
        <v>86.9</v>
      </c>
      <c r="H371" s="285"/>
      <c r="I371" s="285">
        <v>9.264</v>
      </c>
      <c r="J371" s="285"/>
      <c r="K371" s="285"/>
      <c r="L371" s="285"/>
      <c r="M371" s="285">
        <v>4</v>
      </c>
      <c r="N371" s="285"/>
      <c r="O371" s="285"/>
      <c r="P371" s="285">
        <f t="shared" ref="P371:P375" si="307">SUM(Q371:S371)</f>
        <v>100.164</v>
      </c>
      <c r="Q371" s="285">
        <v>96.164</v>
      </c>
      <c r="R371" s="285"/>
      <c r="S371" s="285">
        <v>4</v>
      </c>
      <c r="T371" s="285"/>
      <c r="U371" s="285"/>
      <c r="V371" s="298">
        <f>SUM(W371:AD371)</f>
        <v>-3.1</v>
      </c>
      <c r="W371" s="298"/>
      <c r="X371" s="298"/>
      <c r="Y371" s="298"/>
      <c r="Z371" s="298"/>
      <c r="AA371" s="298"/>
      <c r="AB371" s="298">
        <f>-4+0.9</f>
        <v>-3.1</v>
      </c>
      <c r="AC371" s="298"/>
      <c r="AD371" s="298"/>
      <c r="AE371" s="285" t="s">
        <v>1200</v>
      </c>
      <c r="AF371" s="299">
        <f t="shared" ref="AF371:AF375" si="308">SUM(AG371:AI371)</f>
        <v>-3.1</v>
      </c>
      <c r="AG371" s="299">
        <f t="shared" ref="AG371:AK371" si="309">AV371-Q371</f>
        <v>0</v>
      </c>
      <c r="AH371" s="299">
        <f t="shared" si="309"/>
        <v>0</v>
      </c>
      <c r="AI371" s="299">
        <f t="shared" si="309"/>
        <v>-3.1</v>
      </c>
      <c r="AJ371" s="299">
        <f t="shared" si="309"/>
        <v>0</v>
      </c>
      <c r="AK371" s="299">
        <f t="shared" si="309"/>
        <v>0</v>
      </c>
      <c r="AL371" s="298">
        <f>SUM(AM371:AT371)</f>
        <v>97.064</v>
      </c>
      <c r="AM371" s="298">
        <f t="shared" ref="AM371:AQ372" si="310">G371+W371</f>
        <v>86.9</v>
      </c>
      <c r="AN371" s="298">
        <f t="shared" si="310"/>
        <v>0</v>
      </c>
      <c r="AO371" s="298">
        <f t="shared" si="310"/>
        <v>9.264</v>
      </c>
      <c r="AP371" s="298">
        <f t="shared" si="310"/>
        <v>0</v>
      </c>
      <c r="AQ371" s="298">
        <f t="shared" si="310"/>
        <v>0</v>
      </c>
      <c r="AR371" s="298">
        <f>M371+AB371</f>
        <v>0.9</v>
      </c>
      <c r="AS371" s="298">
        <f t="shared" si="278"/>
        <v>0</v>
      </c>
      <c r="AT371" s="298">
        <f>N371+AD371</f>
        <v>0</v>
      </c>
      <c r="AU371" s="285">
        <f t="shared" ref="AU371:AU375" si="311">SUM(AV371:AX371)</f>
        <v>97.064</v>
      </c>
      <c r="AV371" s="285">
        <v>96.164</v>
      </c>
      <c r="AW371" s="285"/>
      <c r="AX371" s="285">
        <v>0.9</v>
      </c>
      <c r="AY371" s="285"/>
      <c r="AZ371" s="285"/>
      <c r="BA371" s="285"/>
    </row>
    <row r="372" s="258" customFormat="1" ht="24" spans="1:53">
      <c r="A372" s="283">
        <v>365</v>
      </c>
      <c r="B372" s="284" t="s">
        <v>290</v>
      </c>
      <c r="C372" s="284" t="s">
        <v>199</v>
      </c>
      <c r="D372" s="284" t="s">
        <v>707</v>
      </c>
      <c r="E372" s="284" t="s">
        <v>708</v>
      </c>
      <c r="F372" s="285">
        <f>SUM(G372:N372)</f>
        <v>1.2</v>
      </c>
      <c r="G372" s="285">
        <v>1.2</v>
      </c>
      <c r="H372" s="285"/>
      <c r="I372" s="285"/>
      <c r="J372" s="285"/>
      <c r="K372" s="285"/>
      <c r="L372" s="285"/>
      <c r="M372" s="285"/>
      <c r="N372" s="285"/>
      <c r="O372" s="285"/>
      <c r="P372" s="285">
        <f t="shared" si="307"/>
        <v>1.2</v>
      </c>
      <c r="Q372" s="285">
        <v>1.2</v>
      </c>
      <c r="R372" s="285"/>
      <c r="S372" s="285"/>
      <c r="T372" s="285"/>
      <c r="U372" s="285"/>
      <c r="V372" s="298">
        <f>SUM(W372:AD372)</f>
        <v>0</v>
      </c>
      <c r="W372" s="298"/>
      <c r="X372" s="298"/>
      <c r="Y372" s="298"/>
      <c r="Z372" s="298"/>
      <c r="AA372" s="298"/>
      <c r="AB372" s="298"/>
      <c r="AC372" s="298"/>
      <c r="AD372" s="298"/>
      <c r="AE372" s="285"/>
      <c r="AF372" s="299">
        <f t="shared" si="308"/>
        <v>0</v>
      </c>
      <c r="AG372" s="299">
        <f t="shared" ref="AG372:AK372" si="312">AV372-Q372</f>
        <v>0</v>
      </c>
      <c r="AH372" s="299">
        <f t="shared" si="312"/>
        <v>0</v>
      </c>
      <c r="AI372" s="299">
        <f t="shared" si="312"/>
        <v>0</v>
      </c>
      <c r="AJ372" s="299">
        <f t="shared" si="312"/>
        <v>0</v>
      </c>
      <c r="AK372" s="299">
        <f t="shared" si="312"/>
        <v>0</v>
      </c>
      <c r="AL372" s="298">
        <f>SUM(AM372:AT372)</f>
        <v>1.2</v>
      </c>
      <c r="AM372" s="298">
        <f t="shared" si="310"/>
        <v>1.2</v>
      </c>
      <c r="AN372" s="298">
        <f t="shared" si="310"/>
        <v>0</v>
      </c>
      <c r="AO372" s="298">
        <f t="shared" si="310"/>
        <v>0</v>
      </c>
      <c r="AP372" s="298">
        <f t="shared" si="310"/>
        <v>0</v>
      </c>
      <c r="AQ372" s="298">
        <f t="shared" si="310"/>
        <v>0</v>
      </c>
      <c r="AR372" s="298">
        <f>M372+AB372</f>
        <v>0</v>
      </c>
      <c r="AS372" s="298">
        <f t="shared" si="278"/>
        <v>0</v>
      </c>
      <c r="AT372" s="298">
        <f>N372+AD372</f>
        <v>0</v>
      </c>
      <c r="AU372" s="285">
        <f t="shared" si="311"/>
        <v>1.2</v>
      </c>
      <c r="AV372" s="285">
        <v>1.2</v>
      </c>
      <c r="AW372" s="285"/>
      <c r="AX372" s="285"/>
      <c r="AY372" s="285"/>
      <c r="AZ372" s="285"/>
      <c r="BA372" s="285"/>
    </row>
    <row r="373" s="260" customFormat="1" ht="28" customHeight="1" spans="1:53">
      <c r="A373" s="283">
        <v>366</v>
      </c>
      <c r="B373" s="305"/>
      <c r="C373" s="306" t="s">
        <v>755</v>
      </c>
      <c r="D373" s="305" t="s">
        <v>145</v>
      </c>
      <c r="E373" s="306">
        <v>217</v>
      </c>
      <c r="F373" s="281">
        <f t="shared" ref="F373:K373" si="313">SUM(F374:F375)</f>
        <v>110</v>
      </c>
      <c r="G373" s="281">
        <f t="shared" si="313"/>
        <v>0</v>
      </c>
      <c r="H373" s="281">
        <f t="shared" si="313"/>
        <v>0</v>
      </c>
      <c r="I373" s="281">
        <f t="shared" si="313"/>
        <v>0</v>
      </c>
      <c r="J373" s="281">
        <f t="shared" si="313"/>
        <v>0</v>
      </c>
      <c r="K373" s="281">
        <f t="shared" si="313"/>
        <v>110</v>
      </c>
      <c r="L373" s="281"/>
      <c r="M373" s="281">
        <f>SUM(M374:M375)</f>
        <v>0</v>
      </c>
      <c r="N373" s="281">
        <f>SUM(N374:N375)</f>
        <v>0</v>
      </c>
      <c r="O373" s="281"/>
      <c r="P373" s="307">
        <f t="shared" ref="P373:U373" si="314">SUM(P374:P375)</f>
        <v>110</v>
      </c>
      <c r="Q373" s="307">
        <f t="shared" si="314"/>
        <v>110</v>
      </c>
      <c r="R373" s="307">
        <f t="shared" si="314"/>
        <v>0</v>
      </c>
      <c r="S373" s="307">
        <f t="shared" si="314"/>
        <v>0</v>
      </c>
      <c r="T373" s="307">
        <f t="shared" si="314"/>
        <v>0</v>
      </c>
      <c r="U373" s="307">
        <f t="shared" si="314"/>
        <v>0</v>
      </c>
      <c r="V373" s="281">
        <f t="shared" ref="R373:AC373" si="315">SUM(V374:V375)</f>
        <v>0</v>
      </c>
      <c r="W373" s="281">
        <f t="shared" si="315"/>
        <v>0</v>
      </c>
      <c r="X373" s="281">
        <f t="shared" si="315"/>
        <v>0</v>
      </c>
      <c r="Y373" s="281">
        <f t="shared" si="315"/>
        <v>0</v>
      </c>
      <c r="Z373" s="281">
        <f t="shared" si="315"/>
        <v>0</v>
      </c>
      <c r="AA373" s="281">
        <f t="shared" si="315"/>
        <v>0</v>
      </c>
      <c r="AB373" s="281">
        <f t="shared" si="315"/>
        <v>0</v>
      </c>
      <c r="AC373" s="281">
        <f t="shared" si="315"/>
        <v>0</v>
      </c>
      <c r="AD373" s="281">
        <f t="shared" ref="AD373" si="316">SUM(AD374:AD375)</f>
        <v>0</v>
      </c>
      <c r="AE373" s="281"/>
      <c r="AF373" s="281">
        <f t="shared" ref="AF373:AL373" si="317">SUM(AF374:AF375)</f>
        <v>0</v>
      </c>
      <c r="AG373" s="281">
        <f t="shared" si="317"/>
        <v>0</v>
      </c>
      <c r="AH373" s="281">
        <f t="shared" si="317"/>
        <v>0</v>
      </c>
      <c r="AI373" s="281">
        <f t="shared" si="317"/>
        <v>0</v>
      </c>
      <c r="AJ373" s="281">
        <f t="shared" si="317"/>
        <v>0</v>
      </c>
      <c r="AK373" s="281">
        <f t="shared" si="317"/>
        <v>0</v>
      </c>
      <c r="AL373" s="308">
        <f t="shared" si="317"/>
        <v>110</v>
      </c>
      <c r="AM373" s="308">
        <f t="shared" ref="AM373:AZ373" si="318">SUM(AM374:AM375)</f>
        <v>0</v>
      </c>
      <c r="AN373" s="308">
        <f t="shared" si="318"/>
        <v>0</v>
      </c>
      <c r="AO373" s="308">
        <f t="shared" si="318"/>
        <v>0</v>
      </c>
      <c r="AP373" s="308">
        <f t="shared" si="318"/>
        <v>0</v>
      </c>
      <c r="AQ373" s="308">
        <f t="shared" si="318"/>
        <v>110</v>
      </c>
      <c r="AR373" s="308">
        <f t="shared" si="318"/>
        <v>0</v>
      </c>
      <c r="AS373" s="308">
        <f t="shared" si="318"/>
        <v>0</v>
      </c>
      <c r="AT373" s="308">
        <f t="shared" si="318"/>
        <v>0</v>
      </c>
      <c r="AU373" s="308">
        <f t="shared" si="318"/>
        <v>110</v>
      </c>
      <c r="AV373" s="308">
        <f t="shared" si="318"/>
        <v>110</v>
      </c>
      <c r="AW373" s="308">
        <f t="shared" si="318"/>
        <v>0</v>
      </c>
      <c r="AX373" s="308">
        <f t="shared" si="318"/>
        <v>0</v>
      </c>
      <c r="AY373" s="308">
        <f t="shared" si="318"/>
        <v>0</v>
      </c>
      <c r="AZ373" s="308">
        <f t="shared" si="318"/>
        <v>0</v>
      </c>
      <c r="BA373" s="309"/>
    </row>
    <row r="374" s="258" customFormat="1" ht="36" spans="1:53">
      <c r="A374" s="283">
        <v>367</v>
      </c>
      <c r="B374" s="284" t="s">
        <v>221</v>
      </c>
      <c r="C374" s="284"/>
      <c r="D374" s="284" t="s">
        <v>1201</v>
      </c>
      <c r="E374" s="284" t="s">
        <v>1202</v>
      </c>
      <c r="F374" s="285">
        <f>SUM(G374:N374)</f>
        <v>100</v>
      </c>
      <c r="G374" s="285"/>
      <c r="H374" s="285"/>
      <c r="I374" s="285"/>
      <c r="J374" s="285"/>
      <c r="K374" s="285">
        <v>100</v>
      </c>
      <c r="L374" s="285" t="s">
        <v>1203</v>
      </c>
      <c r="M374" s="285"/>
      <c r="N374" s="285"/>
      <c r="O374" s="285"/>
      <c r="P374" s="285">
        <f t="shared" si="307"/>
        <v>100</v>
      </c>
      <c r="Q374" s="285">
        <v>100</v>
      </c>
      <c r="R374" s="285"/>
      <c r="S374" s="285"/>
      <c r="T374" s="285"/>
      <c r="U374" s="285"/>
      <c r="V374" s="298">
        <f>SUM(W374:AD374)</f>
        <v>0</v>
      </c>
      <c r="W374" s="298"/>
      <c r="X374" s="298"/>
      <c r="Y374" s="298"/>
      <c r="Z374" s="298"/>
      <c r="AA374" s="298"/>
      <c r="AB374" s="298"/>
      <c r="AC374" s="298"/>
      <c r="AD374" s="298"/>
      <c r="AE374" s="285"/>
      <c r="AF374" s="299">
        <f t="shared" si="308"/>
        <v>0</v>
      </c>
      <c r="AG374" s="299">
        <f t="shared" ref="AG374:AK374" si="319">AV374-Q374</f>
        <v>0</v>
      </c>
      <c r="AH374" s="299">
        <f t="shared" si="319"/>
        <v>0</v>
      </c>
      <c r="AI374" s="299">
        <f t="shared" si="319"/>
        <v>0</v>
      </c>
      <c r="AJ374" s="299">
        <f t="shared" si="319"/>
        <v>0</v>
      </c>
      <c r="AK374" s="299">
        <f t="shared" si="319"/>
        <v>0</v>
      </c>
      <c r="AL374" s="298">
        <f>SUM(AM374:AT374)</f>
        <v>100</v>
      </c>
      <c r="AM374" s="298">
        <f t="shared" ref="AM374:AQ375" si="320">G374+W374</f>
        <v>0</v>
      </c>
      <c r="AN374" s="298">
        <f t="shared" si="320"/>
        <v>0</v>
      </c>
      <c r="AO374" s="298">
        <f t="shared" si="320"/>
        <v>0</v>
      </c>
      <c r="AP374" s="298">
        <f t="shared" si="320"/>
        <v>0</v>
      </c>
      <c r="AQ374" s="298">
        <f t="shared" si="320"/>
        <v>100</v>
      </c>
      <c r="AR374" s="298">
        <f>M374+AB374</f>
        <v>0</v>
      </c>
      <c r="AS374" s="298">
        <f t="shared" si="278"/>
        <v>0</v>
      </c>
      <c r="AT374" s="298">
        <f>N374+AD374</f>
        <v>0</v>
      </c>
      <c r="AU374" s="285">
        <f t="shared" si="311"/>
        <v>100</v>
      </c>
      <c r="AV374" s="285">
        <v>100</v>
      </c>
      <c r="AW374" s="285"/>
      <c r="AX374" s="285"/>
      <c r="AY374" s="285"/>
      <c r="AZ374" s="285"/>
      <c r="BA374" s="285"/>
    </row>
    <row r="375" s="258" customFormat="1" ht="36" spans="1:53">
      <c r="A375" s="283">
        <v>368</v>
      </c>
      <c r="B375" s="284" t="s">
        <v>221</v>
      </c>
      <c r="C375" s="284"/>
      <c r="D375" s="284" t="s">
        <v>1204</v>
      </c>
      <c r="E375" s="284" t="s">
        <v>1202</v>
      </c>
      <c r="F375" s="285">
        <f>SUM(G375:N375)</f>
        <v>10</v>
      </c>
      <c r="G375" s="285"/>
      <c r="H375" s="285"/>
      <c r="I375" s="285"/>
      <c r="J375" s="285"/>
      <c r="K375" s="285">
        <v>10</v>
      </c>
      <c r="L375" s="285" t="s">
        <v>1205</v>
      </c>
      <c r="M375" s="285"/>
      <c r="N375" s="285"/>
      <c r="O375" s="285"/>
      <c r="P375" s="285">
        <f t="shared" si="307"/>
        <v>10</v>
      </c>
      <c r="Q375" s="285">
        <v>10</v>
      </c>
      <c r="R375" s="285"/>
      <c r="S375" s="285"/>
      <c r="T375" s="285"/>
      <c r="U375" s="285"/>
      <c r="V375" s="298">
        <f>SUM(W375:AD375)</f>
        <v>0</v>
      </c>
      <c r="W375" s="298"/>
      <c r="X375" s="298"/>
      <c r="Y375" s="298"/>
      <c r="Z375" s="298"/>
      <c r="AA375" s="298"/>
      <c r="AB375" s="298"/>
      <c r="AC375" s="298"/>
      <c r="AD375" s="298"/>
      <c r="AE375" s="285"/>
      <c r="AF375" s="299">
        <f t="shared" si="308"/>
        <v>0</v>
      </c>
      <c r="AG375" s="299">
        <f t="shared" ref="AG375:AK375" si="321">AV375-Q375</f>
        <v>0</v>
      </c>
      <c r="AH375" s="299">
        <f t="shared" si="321"/>
        <v>0</v>
      </c>
      <c r="AI375" s="299">
        <f t="shared" si="321"/>
        <v>0</v>
      </c>
      <c r="AJ375" s="299">
        <f t="shared" si="321"/>
        <v>0</v>
      </c>
      <c r="AK375" s="299">
        <f t="shared" si="321"/>
        <v>0</v>
      </c>
      <c r="AL375" s="298">
        <f>SUM(AM375:AT375)</f>
        <v>10</v>
      </c>
      <c r="AM375" s="298">
        <f t="shared" si="320"/>
        <v>0</v>
      </c>
      <c r="AN375" s="298">
        <f t="shared" si="320"/>
        <v>0</v>
      </c>
      <c r="AO375" s="298">
        <f t="shared" si="320"/>
        <v>0</v>
      </c>
      <c r="AP375" s="298">
        <f t="shared" si="320"/>
        <v>0</v>
      </c>
      <c r="AQ375" s="298">
        <f t="shared" si="320"/>
        <v>10</v>
      </c>
      <c r="AR375" s="298">
        <f>M375+AB375</f>
        <v>0</v>
      </c>
      <c r="AS375" s="298">
        <f t="shared" si="278"/>
        <v>0</v>
      </c>
      <c r="AT375" s="298">
        <f>N375+AD375</f>
        <v>0</v>
      </c>
      <c r="AU375" s="285">
        <f t="shared" si="311"/>
        <v>10</v>
      </c>
      <c r="AV375" s="285">
        <v>10</v>
      </c>
      <c r="AW375" s="285"/>
      <c r="AX375" s="285"/>
      <c r="AY375" s="285"/>
      <c r="AZ375" s="285"/>
      <c r="BA375" s="285"/>
    </row>
    <row r="376" s="260" customFormat="1" ht="22" customHeight="1" spans="1:53">
      <c r="A376" s="283">
        <v>369</v>
      </c>
      <c r="B376" s="305"/>
      <c r="C376" s="306" t="s">
        <v>756</v>
      </c>
      <c r="D376" s="305" t="s">
        <v>146</v>
      </c>
      <c r="E376" s="306">
        <v>220</v>
      </c>
      <c r="F376" s="281">
        <f t="shared" ref="F376:K376" si="322">SUM(F377:F387)</f>
        <v>602.572</v>
      </c>
      <c r="G376" s="281">
        <f t="shared" si="322"/>
        <v>83</v>
      </c>
      <c r="H376" s="281">
        <f t="shared" si="322"/>
        <v>0</v>
      </c>
      <c r="I376" s="281">
        <f t="shared" si="322"/>
        <v>40.572</v>
      </c>
      <c r="J376" s="281">
        <f t="shared" si="322"/>
        <v>0</v>
      </c>
      <c r="K376" s="281">
        <f t="shared" si="322"/>
        <v>25</v>
      </c>
      <c r="L376" s="281"/>
      <c r="M376" s="281">
        <f>SUM(M377:M387)</f>
        <v>432</v>
      </c>
      <c r="N376" s="281">
        <f>SUM(N377:N387)</f>
        <v>22</v>
      </c>
      <c r="O376" s="281"/>
      <c r="P376" s="307">
        <f t="shared" ref="P376:U376" si="323">SUM(P377:P387)</f>
        <v>602.572</v>
      </c>
      <c r="Q376" s="307">
        <f t="shared" si="323"/>
        <v>170.572</v>
      </c>
      <c r="R376" s="307">
        <f t="shared" si="323"/>
        <v>432</v>
      </c>
      <c r="S376" s="307">
        <f t="shared" si="323"/>
        <v>0</v>
      </c>
      <c r="T376" s="307">
        <f t="shared" si="323"/>
        <v>0</v>
      </c>
      <c r="U376" s="307">
        <f t="shared" si="323"/>
        <v>0</v>
      </c>
      <c r="V376" s="281">
        <f t="shared" ref="R376:AD376" si="324">SUM(V377:V387)</f>
        <v>-297.05</v>
      </c>
      <c r="W376" s="281">
        <f t="shared" si="324"/>
        <v>0</v>
      </c>
      <c r="X376" s="281">
        <f t="shared" si="324"/>
        <v>0</v>
      </c>
      <c r="Y376" s="281">
        <f t="shared" si="324"/>
        <v>-3.71</v>
      </c>
      <c r="Z376" s="281">
        <f t="shared" si="324"/>
        <v>0</v>
      </c>
      <c r="AA376" s="281">
        <f t="shared" si="324"/>
        <v>0</v>
      </c>
      <c r="AB376" s="281">
        <f t="shared" si="324"/>
        <v>-367.54</v>
      </c>
      <c r="AC376" s="281">
        <f t="shared" si="324"/>
        <v>0</v>
      </c>
      <c r="AD376" s="281">
        <f t="shared" si="324"/>
        <v>74.2</v>
      </c>
      <c r="AE376" s="281"/>
      <c r="AF376" s="281">
        <f t="shared" ref="AF376:AL376" si="325">SUM(AF377:AF387)</f>
        <v>-297.05</v>
      </c>
      <c r="AG376" s="281">
        <f t="shared" si="325"/>
        <v>102.63</v>
      </c>
      <c r="AH376" s="281">
        <f t="shared" si="325"/>
        <v>-405</v>
      </c>
      <c r="AI376" s="281">
        <f t="shared" si="325"/>
        <v>5.32</v>
      </c>
      <c r="AJ376" s="281">
        <f t="shared" si="325"/>
        <v>0</v>
      </c>
      <c r="AK376" s="281">
        <f t="shared" si="325"/>
        <v>0</v>
      </c>
      <c r="AL376" s="308">
        <f t="shared" si="325"/>
        <v>305.522</v>
      </c>
      <c r="AM376" s="308">
        <f t="shared" ref="AM376:AZ376" si="326">SUM(AM377:AM387)</f>
        <v>83</v>
      </c>
      <c r="AN376" s="308">
        <f t="shared" si="326"/>
        <v>0</v>
      </c>
      <c r="AO376" s="308">
        <f t="shared" si="326"/>
        <v>36.862</v>
      </c>
      <c r="AP376" s="308">
        <f t="shared" si="326"/>
        <v>0</v>
      </c>
      <c r="AQ376" s="308">
        <f t="shared" si="326"/>
        <v>25</v>
      </c>
      <c r="AR376" s="308">
        <f t="shared" si="326"/>
        <v>64.46</v>
      </c>
      <c r="AS376" s="308">
        <f t="shared" si="326"/>
        <v>0</v>
      </c>
      <c r="AT376" s="308">
        <f t="shared" si="326"/>
        <v>96.2</v>
      </c>
      <c r="AU376" s="308">
        <f t="shared" si="326"/>
        <v>305.522</v>
      </c>
      <c r="AV376" s="308">
        <f t="shared" si="326"/>
        <v>273.202</v>
      </c>
      <c r="AW376" s="308">
        <f t="shared" si="326"/>
        <v>27</v>
      </c>
      <c r="AX376" s="308">
        <f t="shared" si="326"/>
        <v>5.32</v>
      </c>
      <c r="AY376" s="308">
        <f t="shared" si="326"/>
        <v>0</v>
      </c>
      <c r="AZ376" s="308">
        <f t="shared" si="326"/>
        <v>0</v>
      </c>
      <c r="BA376" s="309"/>
    </row>
    <row r="377" s="258" customFormat="1" ht="36" spans="1:53">
      <c r="A377" s="283">
        <v>370</v>
      </c>
      <c r="B377" s="284" t="s">
        <v>665</v>
      </c>
      <c r="C377" s="284" t="s">
        <v>196</v>
      </c>
      <c r="D377" s="284" t="s">
        <v>709</v>
      </c>
      <c r="E377" s="284" t="s">
        <v>710</v>
      </c>
      <c r="F377" s="285">
        <f t="shared" ref="F377:F387" si="327">SUM(G377:J377,K377:N377)</f>
        <v>331.372</v>
      </c>
      <c r="G377" s="285">
        <v>12.8</v>
      </c>
      <c r="H377" s="285"/>
      <c r="I377" s="285">
        <v>13.572</v>
      </c>
      <c r="J377" s="285"/>
      <c r="K377" s="285"/>
      <c r="L377" s="285"/>
      <c r="M377" s="285">
        <v>300</v>
      </c>
      <c r="N377" s="285">
        <v>5</v>
      </c>
      <c r="O377" s="285" t="s">
        <v>1206</v>
      </c>
      <c r="P377" s="285">
        <f t="shared" ref="P377:P387" si="328">SUM(Q377:S377)</f>
        <v>331.372</v>
      </c>
      <c r="Q377" s="285">
        <v>31.372</v>
      </c>
      <c r="R377" s="285">
        <v>300</v>
      </c>
      <c r="S377" s="285"/>
      <c r="T377" s="285"/>
      <c r="U377" s="285"/>
      <c r="V377" s="298">
        <f t="shared" ref="V377:V387" si="329">SUM(W377:AD377)</f>
        <v>-281.82</v>
      </c>
      <c r="W377" s="298"/>
      <c r="X377" s="298"/>
      <c r="Y377" s="298">
        <v>-2.14</v>
      </c>
      <c r="Z377" s="298"/>
      <c r="AA377" s="298"/>
      <c r="AB377" s="298">
        <f>-300+5.32+15</f>
        <v>-279.68</v>
      </c>
      <c r="AC377" s="298"/>
      <c r="AD377" s="298"/>
      <c r="AE377" s="285" t="s">
        <v>1207</v>
      </c>
      <c r="AF377" s="299">
        <f t="shared" ref="AF377:AF387" si="330">SUM(AG377:AI377)</f>
        <v>-281.82</v>
      </c>
      <c r="AG377" s="299">
        <f t="shared" ref="AG377:AG387" si="331">AV377-Q377</f>
        <v>-2.14</v>
      </c>
      <c r="AH377" s="299">
        <f t="shared" ref="AH377:AH387" si="332">AW377-R377</f>
        <v>-285</v>
      </c>
      <c r="AI377" s="299">
        <f t="shared" ref="AI377:AI387" si="333">AX377-S377</f>
        <v>5.32</v>
      </c>
      <c r="AJ377" s="299">
        <f t="shared" ref="AJ377:AJ387" si="334">AY377-T377</f>
        <v>0</v>
      </c>
      <c r="AK377" s="299">
        <f t="shared" ref="AK377:AK387" si="335">AZ377-U377</f>
        <v>0</v>
      </c>
      <c r="AL377" s="298">
        <f t="shared" ref="AL377:AL387" si="336">SUM(AM377:AT377)</f>
        <v>49.552</v>
      </c>
      <c r="AM377" s="298">
        <f t="shared" ref="AM377:AM387" si="337">G377+W377</f>
        <v>12.8</v>
      </c>
      <c r="AN377" s="298">
        <f t="shared" ref="AN377:AN387" si="338">H377+X377</f>
        <v>0</v>
      </c>
      <c r="AO377" s="298">
        <f t="shared" ref="AO377:AO387" si="339">I377+Y377</f>
        <v>11.432</v>
      </c>
      <c r="AP377" s="298">
        <f t="shared" ref="AP377:AP387" si="340">J377+Z377</f>
        <v>0</v>
      </c>
      <c r="AQ377" s="298">
        <f t="shared" ref="AQ377:AQ387" si="341">K377+AA377</f>
        <v>0</v>
      </c>
      <c r="AR377" s="298">
        <f t="shared" ref="AR377:AR387" si="342">M377+AB377</f>
        <v>20.32</v>
      </c>
      <c r="AS377" s="298">
        <f t="shared" ref="AS376:AS401" si="343">AC377</f>
        <v>0</v>
      </c>
      <c r="AT377" s="298">
        <f t="shared" ref="AT377:AT387" si="344">N377+AD377</f>
        <v>5</v>
      </c>
      <c r="AU377" s="298">
        <f t="shared" ref="AU377:AU387" si="345">SUM(AV377:AX377)</f>
        <v>49.552</v>
      </c>
      <c r="AV377" s="298">
        <v>29.232</v>
      </c>
      <c r="AW377" s="298">
        <v>15</v>
      </c>
      <c r="AX377" s="298">
        <v>5.32</v>
      </c>
      <c r="AY377" s="298"/>
      <c r="AZ377" s="298"/>
      <c r="BA377" s="285">
        <f>186.277824+1100.302176</f>
        <v>1286.58</v>
      </c>
    </row>
    <row r="378" s="258" customFormat="1" ht="24" spans="1:53">
      <c r="A378" s="283">
        <v>371</v>
      </c>
      <c r="B378" s="284" t="s">
        <v>665</v>
      </c>
      <c r="C378" s="284" t="s">
        <v>196</v>
      </c>
      <c r="D378" s="284" t="s">
        <v>711</v>
      </c>
      <c r="E378" s="284" t="s">
        <v>710</v>
      </c>
      <c r="F378" s="285">
        <f t="shared" si="327"/>
        <v>13.08</v>
      </c>
      <c r="G378" s="285">
        <v>7.2</v>
      </c>
      <c r="H378" s="285"/>
      <c r="I378" s="285">
        <v>5.88</v>
      </c>
      <c r="J378" s="285"/>
      <c r="K378" s="285"/>
      <c r="L378" s="285"/>
      <c r="M378" s="285"/>
      <c r="N378" s="285"/>
      <c r="O378" s="285"/>
      <c r="P378" s="285">
        <f t="shared" si="328"/>
        <v>13.08</v>
      </c>
      <c r="Q378" s="285">
        <v>13.08</v>
      </c>
      <c r="R378" s="285"/>
      <c r="S378" s="285"/>
      <c r="T378" s="285"/>
      <c r="U378" s="285"/>
      <c r="V378" s="298">
        <f t="shared" si="329"/>
        <v>-0.95</v>
      </c>
      <c r="W378" s="298"/>
      <c r="X378" s="298"/>
      <c r="Y378" s="298">
        <v>-0.95</v>
      </c>
      <c r="Z378" s="298"/>
      <c r="AA378" s="298"/>
      <c r="AB378" s="298"/>
      <c r="AC378" s="298"/>
      <c r="AD378" s="298"/>
      <c r="AE378" s="285"/>
      <c r="AF378" s="299">
        <f t="shared" si="330"/>
        <v>-0.949999999999999</v>
      </c>
      <c r="AG378" s="299">
        <f t="shared" si="331"/>
        <v>-0.949999999999999</v>
      </c>
      <c r="AH378" s="299">
        <f t="shared" si="332"/>
        <v>0</v>
      </c>
      <c r="AI378" s="299">
        <f t="shared" si="333"/>
        <v>0</v>
      </c>
      <c r="AJ378" s="299">
        <f t="shared" si="334"/>
        <v>0</v>
      </c>
      <c r="AK378" s="299">
        <f t="shared" si="335"/>
        <v>0</v>
      </c>
      <c r="AL378" s="298">
        <f t="shared" si="336"/>
        <v>12.13</v>
      </c>
      <c r="AM378" s="298">
        <f t="shared" si="337"/>
        <v>7.2</v>
      </c>
      <c r="AN378" s="298">
        <f t="shared" si="338"/>
        <v>0</v>
      </c>
      <c r="AO378" s="298">
        <f t="shared" si="339"/>
        <v>4.93</v>
      </c>
      <c r="AP378" s="298">
        <f t="shared" si="340"/>
        <v>0</v>
      </c>
      <c r="AQ378" s="298">
        <f t="shared" si="341"/>
        <v>0</v>
      </c>
      <c r="AR378" s="298">
        <f t="shared" si="342"/>
        <v>0</v>
      </c>
      <c r="AS378" s="298">
        <f t="shared" si="343"/>
        <v>0</v>
      </c>
      <c r="AT378" s="298">
        <f t="shared" si="344"/>
        <v>0</v>
      </c>
      <c r="AU378" s="285">
        <f t="shared" si="345"/>
        <v>12.13</v>
      </c>
      <c r="AV378" s="285">
        <v>12.13</v>
      </c>
      <c r="AW378" s="285"/>
      <c r="AX378" s="285"/>
      <c r="AY378" s="285"/>
      <c r="AZ378" s="285"/>
      <c r="BA378" s="285"/>
    </row>
    <row r="379" s="258" customFormat="1" ht="24" spans="1:53">
      <c r="A379" s="283">
        <v>372</v>
      </c>
      <c r="B379" s="284" t="s">
        <v>665</v>
      </c>
      <c r="C379" s="284" t="s">
        <v>196</v>
      </c>
      <c r="D379" s="284" t="s">
        <v>712</v>
      </c>
      <c r="E379" s="284" t="s">
        <v>710</v>
      </c>
      <c r="F379" s="285">
        <f t="shared" si="327"/>
        <v>47.52</v>
      </c>
      <c r="G379" s="285">
        <v>26.4</v>
      </c>
      <c r="H379" s="285"/>
      <c r="I379" s="285">
        <v>21.12</v>
      </c>
      <c r="J379" s="285"/>
      <c r="K379" s="285"/>
      <c r="L379" s="285"/>
      <c r="M379" s="285"/>
      <c r="N379" s="285"/>
      <c r="O379" s="285"/>
      <c r="P379" s="285">
        <f t="shared" si="328"/>
        <v>47.52</v>
      </c>
      <c r="Q379" s="285">
        <v>47.52</v>
      </c>
      <c r="R379" s="285"/>
      <c r="S379" s="285"/>
      <c r="T379" s="285"/>
      <c r="U379" s="285"/>
      <c r="V379" s="298">
        <f t="shared" si="329"/>
        <v>-0.62</v>
      </c>
      <c r="W379" s="298"/>
      <c r="X379" s="298"/>
      <c r="Y379" s="298">
        <v>-0.62</v>
      </c>
      <c r="Z379" s="298"/>
      <c r="AA379" s="298"/>
      <c r="AB379" s="298"/>
      <c r="AC379" s="298"/>
      <c r="AD379" s="298"/>
      <c r="AE379" s="285"/>
      <c r="AF379" s="299">
        <f t="shared" si="330"/>
        <v>-0.620000000000005</v>
      </c>
      <c r="AG379" s="299">
        <f t="shared" si="331"/>
        <v>-0.620000000000005</v>
      </c>
      <c r="AH379" s="299">
        <f t="shared" si="332"/>
        <v>0</v>
      </c>
      <c r="AI379" s="299">
        <f t="shared" si="333"/>
        <v>0</v>
      </c>
      <c r="AJ379" s="299">
        <f t="shared" si="334"/>
        <v>0</v>
      </c>
      <c r="AK379" s="299">
        <f t="shared" si="335"/>
        <v>0</v>
      </c>
      <c r="AL379" s="298">
        <f t="shared" si="336"/>
        <v>46.9</v>
      </c>
      <c r="AM379" s="298">
        <f t="shared" si="337"/>
        <v>26.4</v>
      </c>
      <c r="AN379" s="298">
        <f t="shared" si="338"/>
        <v>0</v>
      </c>
      <c r="AO379" s="298">
        <f t="shared" si="339"/>
        <v>20.5</v>
      </c>
      <c r="AP379" s="298">
        <f t="shared" si="340"/>
        <v>0</v>
      </c>
      <c r="AQ379" s="298">
        <f t="shared" si="341"/>
        <v>0</v>
      </c>
      <c r="AR379" s="298">
        <f t="shared" si="342"/>
        <v>0</v>
      </c>
      <c r="AS379" s="298">
        <f t="shared" si="343"/>
        <v>0</v>
      </c>
      <c r="AT379" s="298">
        <f t="shared" si="344"/>
        <v>0</v>
      </c>
      <c r="AU379" s="285">
        <f t="shared" si="345"/>
        <v>46.9</v>
      </c>
      <c r="AV379" s="285">
        <v>46.9</v>
      </c>
      <c r="AW379" s="285"/>
      <c r="AX379" s="285"/>
      <c r="AY379" s="285"/>
      <c r="AZ379" s="285"/>
      <c r="BA379" s="285"/>
    </row>
    <row r="380" s="258" customFormat="1" ht="24" spans="1:53">
      <c r="A380" s="283">
        <v>373</v>
      </c>
      <c r="B380" s="284" t="s">
        <v>665</v>
      </c>
      <c r="C380" s="284" t="s">
        <v>199</v>
      </c>
      <c r="D380" s="284" t="s">
        <v>713</v>
      </c>
      <c r="E380" s="284" t="s">
        <v>714</v>
      </c>
      <c r="F380" s="285">
        <f t="shared" si="327"/>
        <v>2.4</v>
      </c>
      <c r="G380" s="285">
        <v>2.4</v>
      </c>
      <c r="H380" s="285"/>
      <c r="I380" s="285"/>
      <c r="J380" s="285"/>
      <c r="K380" s="285"/>
      <c r="L380" s="285"/>
      <c r="M380" s="285"/>
      <c r="N380" s="285"/>
      <c r="O380" s="285"/>
      <c r="P380" s="285">
        <f t="shared" si="328"/>
        <v>2.4</v>
      </c>
      <c r="Q380" s="285">
        <v>2.4</v>
      </c>
      <c r="R380" s="285"/>
      <c r="S380" s="285"/>
      <c r="T380" s="285"/>
      <c r="U380" s="285"/>
      <c r="V380" s="298">
        <f t="shared" si="329"/>
        <v>0</v>
      </c>
      <c r="W380" s="298"/>
      <c r="X380" s="298"/>
      <c r="Y380" s="298"/>
      <c r="Z380" s="298"/>
      <c r="AA380" s="298"/>
      <c r="AB380" s="298"/>
      <c r="AC380" s="298"/>
      <c r="AD380" s="298"/>
      <c r="AE380" s="285"/>
      <c r="AF380" s="299">
        <f t="shared" si="330"/>
        <v>0</v>
      </c>
      <c r="AG380" s="299">
        <f t="shared" si="331"/>
        <v>0</v>
      </c>
      <c r="AH380" s="299">
        <f t="shared" si="332"/>
        <v>0</v>
      </c>
      <c r="AI380" s="299">
        <f t="shared" si="333"/>
        <v>0</v>
      </c>
      <c r="AJ380" s="299">
        <f t="shared" si="334"/>
        <v>0</v>
      </c>
      <c r="AK380" s="299">
        <f t="shared" si="335"/>
        <v>0</v>
      </c>
      <c r="AL380" s="298">
        <f t="shared" si="336"/>
        <v>2.4</v>
      </c>
      <c r="AM380" s="298">
        <f t="shared" si="337"/>
        <v>2.4</v>
      </c>
      <c r="AN380" s="298">
        <f t="shared" si="338"/>
        <v>0</v>
      </c>
      <c r="AO380" s="298">
        <f t="shared" si="339"/>
        <v>0</v>
      </c>
      <c r="AP380" s="298">
        <f t="shared" si="340"/>
        <v>0</v>
      </c>
      <c r="AQ380" s="298">
        <f t="shared" si="341"/>
        <v>0</v>
      </c>
      <c r="AR380" s="298">
        <f t="shared" si="342"/>
        <v>0</v>
      </c>
      <c r="AS380" s="298">
        <f t="shared" si="343"/>
        <v>0</v>
      </c>
      <c r="AT380" s="298">
        <f t="shared" si="344"/>
        <v>0</v>
      </c>
      <c r="AU380" s="285">
        <f t="shared" si="345"/>
        <v>2.4</v>
      </c>
      <c r="AV380" s="285">
        <v>2.4</v>
      </c>
      <c r="AW380" s="285"/>
      <c r="AX380" s="285"/>
      <c r="AY380" s="285"/>
      <c r="AZ380" s="285"/>
      <c r="BA380" s="285"/>
    </row>
    <row r="381" s="258" customFormat="1" ht="24" spans="1:53">
      <c r="A381" s="283">
        <v>374</v>
      </c>
      <c r="B381" s="284" t="s">
        <v>665</v>
      </c>
      <c r="C381" s="284" t="s">
        <v>199</v>
      </c>
      <c r="D381" s="284" t="s">
        <v>715</v>
      </c>
      <c r="E381" s="284" t="s">
        <v>714</v>
      </c>
      <c r="F381" s="285">
        <f t="shared" si="327"/>
        <v>6</v>
      </c>
      <c r="G381" s="285">
        <v>6</v>
      </c>
      <c r="H381" s="285"/>
      <c r="I381" s="285"/>
      <c r="J381" s="285"/>
      <c r="K381" s="285"/>
      <c r="L381" s="285"/>
      <c r="M381" s="285"/>
      <c r="N381" s="285"/>
      <c r="O381" s="285"/>
      <c r="P381" s="285">
        <f t="shared" si="328"/>
        <v>6</v>
      </c>
      <c r="Q381" s="285">
        <v>6</v>
      </c>
      <c r="R381" s="285"/>
      <c r="S381" s="285"/>
      <c r="T381" s="285"/>
      <c r="U381" s="285"/>
      <c r="V381" s="298">
        <f t="shared" si="329"/>
        <v>0</v>
      </c>
      <c r="W381" s="298"/>
      <c r="X381" s="298"/>
      <c r="Y381" s="298"/>
      <c r="Z381" s="298"/>
      <c r="AA381" s="298"/>
      <c r="AB381" s="298"/>
      <c r="AC381" s="298"/>
      <c r="AD381" s="298"/>
      <c r="AE381" s="285"/>
      <c r="AF381" s="299">
        <f t="shared" si="330"/>
        <v>0</v>
      </c>
      <c r="AG381" s="299">
        <f t="shared" si="331"/>
        <v>0</v>
      </c>
      <c r="AH381" s="299">
        <f t="shared" si="332"/>
        <v>0</v>
      </c>
      <c r="AI381" s="299">
        <f t="shared" si="333"/>
        <v>0</v>
      </c>
      <c r="AJ381" s="299">
        <f t="shared" si="334"/>
        <v>0</v>
      </c>
      <c r="AK381" s="299">
        <f t="shared" si="335"/>
        <v>0</v>
      </c>
      <c r="AL381" s="298">
        <f t="shared" si="336"/>
        <v>6</v>
      </c>
      <c r="AM381" s="298">
        <f t="shared" si="337"/>
        <v>6</v>
      </c>
      <c r="AN381" s="298">
        <f t="shared" si="338"/>
        <v>0</v>
      </c>
      <c r="AO381" s="298">
        <f t="shared" si="339"/>
        <v>0</v>
      </c>
      <c r="AP381" s="298">
        <f t="shared" si="340"/>
        <v>0</v>
      </c>
      <c r="AQ381" s="298">
        <f t="shared" si="341"/>
        <v>0</v>
      </c>
      <c r="AR381" s="298">
        <f t="shared" si="342"/>
        <v>0</v>
      </c>
      <c r="AS381" s="298">
        <f t="shared" si="343"/>
        <v>0</v>
      </c>
      <c r="AT381" s="298">
        <f t="shared" si="344"/>
        <v>0</v>
      </c>
      <c r="AU381" s="285">
        <f t="shared" si="345"/>
        <v>6</v>
      </c>
      <c r="AV381" s="285">
        <v>6</v>
      </c>
      <c r="AW381" s="285"/>
      <c r="AX381" s="285"/>
      <c r="AY381" s="285"/>
      <c r="AZ381" s="285"/>
      <c r="BA381" s="285"/>
    </row>
    <row r="382" s="258" customFormat="1" ht="96" spans="1:53">
      <c r="A382" s="283">
        <v>375</v>
      </c>
      <c r="B382" s="284" t="s">
        <v>665</v>
      </c>
      <c r="C382" s="284" t="s">
        <v>199</v>
      </c>
      <c r="D382" s="284" t="s">
        <v>716</v>
      </c>
      <c r="E382" s="284" t="s">
        <v>714</v>
      </c>
      <c r="F382" s="285">
        <f t="shared" si="327"/>
        <v>149</v>
      </c>
      <c r="G382" s="285"/>
      <c r="H382" s="285"/>
      <c r="I382" s="285"/>
      <c r="J382" s="285"/>
      <c r="K382" s="285"/>
      <c r="L382" s="285"/>
      <c r="M382" s="285">
        <v>132</v>
      </c>
      <c r="N382" s="285">
        <v>17</v>
      </c>
      <c r="O382" s="285" t="s">
        <v>1208</v>
      </c>
      <c r="P382" s="285">
        <f t="shared" si="328"/>
        <v>149</v>
      </c>
      <c r="Q382" s="285">
        <v>17</v>
      </c>
      <c r="R382" s="285">
        <v>132</v>
      </c>
      <c r="S382" s="285"/>
      <c r="T382" s="285"/>
      <c r="U382" s="285"/>
      <c r="V382" s="298">
        <f t="shared" si="329"/>
        <v>-23.66</v>
      </c>
      <c r="W382" s="298"/>
      <c r="X382" s="298"/>
      <c r="Y382" s="298"/>
      <c r="Z382" s="298"/>
      <c r="AA382" s="298"/>
      <c r="AB382" s="298">
        <f>-132+12+32.14</f>
        <v>-87.86</v>
      </c>
      <c r="AC382" s="298"/>
      <c r="AD382" s="298">
        <v>64.2</v>
      </c>
      <c r="AE382" s="285" t="s">
        <v>1209</v>
      </c>
      <c r="AF382" s="299">
        <f t="shared" si="330"/>
        <v>-23.66</v>
      </c>
      <c r="AG382" s="299">
        <f t="shared" si="331"/>
        <v>96.34</v>
      </c>
      <c r="AH382" s="299">
        <f t="shared" si="332"/>
        <v>-120</v>
      </c>
      <c r="AI382" s="299">
        <f t="shared" si="333"/>
        <v>0</v>
      </c>
      <c r="AJ382" s="299">
        <f t="shared" si="334"/>
        <v>0</v>
      </c>
      <c r="AK382" s="299">
        <f t="shared" si="335"/>
        <v>0</v>
      </c>
      <c r="AL382" s="298">
        <f t="shared" si="336"/>
        <v>125.34</v>
      </c>
      <c r="AM382" s="298">
        <f t="shared" si="337"/>
        <v>0</v>
      </c>
      <c r="AN382" s="298">
        <f t="shared" si="338"/>
        <v>0</v>
      </c>
      <c r="AO382" s="298">
        <f t="shared" si="339"/>
        <v>0</v>
      </c>
      <c r="AP382" s="298">
        <f t="shared" si="340"/>
        <v>0</v>
      </c>
      <c r="AQ382" s="298">
        <f t="shared" si="341"/>
        <v>0</v>
      </c>
      <c r="AR382" s="298">
        <f t="shared" si="342"/>
        <v>44.14</v>
      </c>
      <c r="AS382" s="298">
        <f t="shared" si="343"/>
        <v>0</v>
      </c>
      <c r="AT382" s="298">
        <f t="shared" si="344"/>
        <v>81.2</v>
      </c>
      <c r="AU382" s="298">
        <f t="shared" si="345"/>
        <v>125.34</v>
      </c>
      <c r="AV382" s="298">
        <v>113.34</v>
      </c>
      <c r="AW382" s="298">
        <v>12</v>
      </c>
      <c r="AX382" s="298"/>
      <c r="AY382" s="298"/>
      <c r="AZ382" s="298"/>
      <c r="BA382" s="285">
        <v>92.708801</v>
      </c>
    </row>
    <row r="383" s="258" customFormat="1" ht="24" spans="1:53">
      <c r="A383" s="283">
        <v>376</v>
      </c>
      <c r="B383" s="284" t="s">
        <v>665</v>
      </c>
      <c r="C383" s="284" t="s">
        <v>199</v>
      </c>
      <c r="D383" s="284" t="s">
        <v>717</v>
      </c>
      <c r="E383" s="284" t="s">
        <v>714</v>
      </c>
      <c r="F383" s="285">
        <f t="shared" si="327"/>
        <v>3.6</v>
      </c>
      <c r="G383" s="285">
        <v>3.6</v>
      </c>
      <c r="H383" s="285"/>
      <c r="I383" s="285"/>
      <c r="J383" s="285"/>
      <c r="K383" s="285"/>
      <c r="L383" s="285"/>
      <c r="M383" s="285"/>
      <c r="N383" s="285"/>
      <c r="O383" s="285"/>
      <c r="P383" s="285">
        <f t="shared" si="328"/>
        <v>3.6</v>
      </c>
      <c r="Q383" s="285">
        <v>3.6</v>
      </c>
      <c r="R383" s="285"/>
      <c r="S383" s="285"/>
      <c r="T383" s="285"/>
      <c r="U383" s="285"/>
      <c r="V383" s="298">
        <f t="shared" si="329"/>
        <v>0</v>
      </c>
      <c r="W383" s="298"/>
      <c r="X383" s="298"/>
      <c r="Y383" s="298"/>
      <c r="Z383" s="298"/>
      <c r="AA383" s="298"/>
      <c r="AB383" s="298"/>
      <c r="AC383" s="298"/>
      <c r="AD383" s="298"/>
      <c r="AE383" s="285"/>
      <c r="AF383" s="299">
        <f t="shared" si="330"/>
        <v>0</v>
      </c>
      <c r="AG383" s="299">
        <f t="shared" si="331"/>
        <v>0</v>
      </c>
      <c r="AH383" s="299">
        <f t="shared" si="332"/>
        <v>0</v>
      </c>
      <c r="AI383" s="299">
        <f t="shared" si="333"/>
        <v>0</v>
      </c>
      <c r="AJ383" s="299">
        <f t="shared" si="334"/>
        <v>0</v>
      </c>
      <c r="AK383" s="299">
        <f t="shared" si="335"/>
        <v>0</v>
      </c>
      <c r="AL383" s="298">
        <f t="shared" si="336"/>
        <v>3.6</v>
      </c>
      <c r="AM383" s="298">
        <f t="shared" si="337"/>
        <v>3.6</v>
      </c>
      <c r="AN383" s="298">
        <f t="shared" si="338"/>
        <v>0</v>
      </c>
      <c r="AO383" s="298">
        <f t="shared" si="339"/>
        <v>0</v>
      </c>
      <c r="AP383" s="298">
        <f t="shared" si="340"/>
        <v>0</v>
      </c>
      <c r="AQ383" s="298">
        <f t="shared" si="341"/>
        <v>0</v>
      </c>
      <c r="AR383" s="298">
        <f t="shared" si="342"/>
        <v>0</v>
      </c>
      <c r="AS383" s="298">
        <f t="shared" si="343"/>
        <v>0</v>
      </c>
      <c r="AT383" s="298">
        <f t="shared" si="344"/>
        <v>0</v>
      </c>
      <c r="AU383" s="285">
        <f t="shared" si="345"/>
        <v>3.6</v>
      </c>
      <c r="AV383" s="285">
        <v>3.6</v>
      </c>
      <c r="AW383" s="285"/>
      <c r="AX383" s="285"/>
      <c r="AY383" s="285"/>
      <c r="AZ383" s="285"/>
      <c r="BA383" s="285"/>
    </row>
    <row r="384" s="258" customFormat="1" ht="36" spans="1:53">
      <c r="A384" s="283">
        <v>377</v>
      </c>
      <c r="B384" s="284" t="s">
        <v>665</v>
      </c>
      <c r="C384" s="284" t="s">
        <v>199</v>
      </c>
      <c r="D384" s="284" t="s">
        <v>1210</v>
      </c>
      <c r="E384" s="284" t="s">
        <v>721</v>
      </c>
      <c r="F384" s="285">
        <f t="shared" si="327"/>
        <v>13.8</v>
      </c>
      <c r="G384" s="285">
        <v>13.8</v>
      </c>
      <c r="H384" s="285"/>
      <c r="I384" s="285"/>
      <c r="J384" s="285"/>
      <c r="K384" s="285"/>
      <c r="L384" s="285"/>
      <c r="M384" s="285"/>
      <c r="N384" s="285"/>
      <c r="O384" s="285"/>
      <c r="P384" s="285">
        <f t="shared" si="328"/>
        <v>13.8</v>
      </c>
      <c r="Q384" s="285">
        <v>13.8</v>
      </c>
      <c r="R384" s="285"/>
      <c r="S384" s="285"/>
      <c r="T384" s="285"/>
      <c r="U384" s="285"/>
      <c r="V384" s="298">
        <f t="shared" si="329"/>
        <v>10</v>
      </c>
      <c r="W384" s="298"/>
      <c r="X384" s="298"/>
      <c r="Y384" s="298"/>
      <c r="Z384" s="298"/>
      <c r="AA384" s="298"/>
      <c r="AB384" s="298"/>
      <c r="AC384" s="298"/>
      <c r="AD384" s="298">
        <v>10</v>
      </c>
      <c r="AE384" s="285" t="s">
        <v>1211</v>
      </c>
      <c r="AF384" s="299">
        <f t="shared" si="330"/>
        <v>10</v>
      </c>
      <c r="AG384" s="299">
        <f t="shared" si="331"/>
        <v>10</v>
      </c>
      <c r="AH384" s="299">
        <f t="shared" si="332"/>
        <v>0</v>
      </c>
      <c r="AI384" s="299">
        <f t="shared" si="333"/>
        <v>0</v>
      </c>
      <c r="AJ384" s="299">
        <f t="shared" si="334"/>
        <v>0</v>
      </c>
      <c r="AK384" s="299">
        <f t="shared" si="335"/>
        <v>0</v>
      </c>
      <c r="AL384" s="298">
        <f t="shared" si="336"/>
        <v>23.8</v>
      </c>
      <c r="AM384" s="298">
        <f t="shared" si="337"/>
        <v>13.8</v>
      </c>
      <c r="AN384" s="298">
        <f t="shared" si="338"/>
        <v>0</v>
      </c>
      <c r="AO384" s="298">
        <f t="shared" si="339"/>
        <v>0</v>
      </c>
      <c r="AP384" s="298">
        <f t="shared" si="340"/>
        <v>0</v>
      </c>
      <c r="AQ384" s="298">
        <f t="shared" si="341"/>
        <v>0</v>
      </c>
      <c r="AR384" s="298">
        <f t="shared" si="342"/>
        <v>0</v>
      </c>
      <c r="AS384" s="298">
        <f t="shared" si="343"/>
        <v>0</v>
      </c>
      <c r="AT384" s="298">
        <f t="shared" si="344"/>
        <v>10</v>
      </c>
      <c r="AU384" s="285">
        <f t="shared" si="345"/>
        <v>23.8</v>
      </c>
      <c r="AV384" s="285">
        <v>23.8</v>
      </c>
      <c r="AW384" s="285"/>
      <c r="AX384" s="285"/>
      <c r="AY384" s="285"/>
      <c r="AZ384" s="285"/>
      <c r="BA384" s="285"/>
    </row>
    <row r="385" s="258" customFormat="1" ht="24" spans="1:53">
      <c r="A385" s="283">
        <v>378</v>
      </c>
      <c r="B385" s="284" t="s">
        <v>665</v>
      </c>
      <c r="C385" s="284" t="s">
        <v>199</v>
      </c>
      <c r="D385" s="284" t="s">
        <v>718</v>
      </c>
      <c r="E385" s="284" t="s">
        <v>714</v>
      </c>
      <c r="F385" s="285">
        <f t="shared" si="327"/>
        <v>4.2</v>
      </c>
      <c r="G385" s="285">
        <v>4.2</v>
      </c>
      <c r="H385" s="285"/>
      <c r="I385" s="285"/>
      <c r="J385" s="285"/>
      <c r="K385" s="285"/>
      <c r="L385" s="285"/>
      <c r="M385" s="285"/>
      <c r="N385" s="285"/>
      <c r="O385" s="285"/>
      <c r="P385" s="285">
        <f t="shared" si="328"/>
        <v>4.2</v>
      </c>
      <c r="Q385" s="285">
        <v>4.2</v>
      </c>
      <c r="R385" s="285"/>
      <c r="S385" s="285"/>
      <c r="T385" s="285"/>
      <c r="U385" s="285"/>
      <c r="V385" s="298">
        <f t="shared" si="329"/>
        <v>0</v>
      </c>
      <c r="W385" s="298"/>
      <c r="X385" s="298"/>
      <c r="Y385" s="298"/>
      <c r="Z385" s="298"/>
      <c r="AA385" s="298"/>
      <c r="AB385" s="298"/>
      <c r="AC385" s="298"/>
      <c r="AD385" s="298"/>
      <c r="AE385" s="285"/>
      <c r="AF385" s="299">
        <f t="shared" si="330"/>
        <v>0</v>
      </c>
      <c r="AG385" s="299">
        <f t="shared" si="331"/>
        <v>0</v>
      </c>
      <c r="AH385" s="299">
        <f t="shared" si="332"/>
        <v>0</v>
      </c>
      <c r="AI385" s="299">
        <f t="shared" si="333"/>
        <v>0</v>
      </c>
      <c r="AJ385" s="299">
        <f t="shared" si="334"/>
        <v>0</v>
      </c>
      <c r="AK385" s="299">
        <f t="shared" si="335"/>
        <v>0</v>
      </c>
      <c r="AL385" s="298">
        <f t="shared" si="336"/>
        <v>4.2</v>
      </c>
      <c r="AM385" s="298">
        <f t="shared" si="337"/>
        <v>4.2</v>
      </c>
      <c r="AN385" s="298">
        <f t="shared" si="338"/>
        <v>0</v>
      </c>
      <c r="AO385" s="298">
        <f t="shared" si="339"/>
        <v>0</v>
      </c>
      <c r="AP385" s="298">
        <f t="shared" si="340"/>
        <v>0</v>
      </c>
      <c r="AQ385" s="298">
        <f t="shared" si="341"/>
        <v>0</v>
      </c>
      <c r="AR385" s="298">
        <f t="shared" si="342"/>
        <v>0</v>
      </c>
      <c r="AS385" s="298">
        <f t="shared" si="343"/>
        <v>0</v>
      </c>
      <c r="AT385" s="298">
        <f t="shared" si="344"/>
        <v>0</v>
      </c>
      <c r="AU385" s="285">
        <f t="shared" si="345"/>
        <v>4.2</v>
      </c>
      <c r="AV385" s="285">
        <v>4.2</v>
      </c>
      <c r="AW385" s="285"/>
      <c r="AX385" s="285"/>
      <c r="AY385" s="285"/>
      <c r="AZ385" s="285"/>
      <c r="BA385" s="285"/>
    </row>
    <row r="386" s="258" customFormat="1" ht="24" spans="1:53">
      <c r="A386" s="283">
        <v>379</v>
      </c>
      <c r="B386" s="284" t="s">
        <v>665</v>
      </c>
      <c r="C386" s="284" t="s">
        <v>199</v>
      </c>
      <c r="D386" s="284" t="s">
        <v>719</v>
      </c>
      <c r="E386" s="284" t="s">
        <v>714</v>
      </c>
      <c r="F386" s="285">
        <f t="shared" si="327"/>
        <v>6.6</v>
      </c>
      <c r="G386" s="285">
        <v>6.6</v>
      </c>
      <c r="H386" s="285"/>
      <c r="I386" s="285"/>
      <c r="J386" s="285"/>
      <c r="K386" s="285"/>
      <c r="L386" s="285"/>
      <c r="M386" s="285"/>
      <c r="N386" s="285"/>
      <c r="O386" s="285"/>
      <c r="P386" s="285">
        <f t="shared" si="328"/>
        <v>6.6</v>
      </c>
      <c r="Q386" s="285">
        <v>6.6</v>
      </c>
      <c r="R386" s="285"/>
      <c r="S386" s="285"/>
      <c r="T386" s="285"/>
      <c r="U386" s="285"/>
      <c r="V386" s="298">
        <f t="shared" si="329"/>
        <v>0</v>
      </c>
      <c r="W386" s="298"/>
      <c r="X386" s="298"/>
      <c r="Y386" s="298"/>
      <c r="Z386" s="298"/>
      <c r="AA386" s="298"/>
      <c r="AB386" s="298"/>
      <c r="AC386" s="298"/>
      <c r="AD386" s="298"/>
      <c r="AE386" s="285"/>
      <c r="AF386" s="299">
        <f t="shared" si="330"/>
        <v>0</v>
      </c>
      <c r="AG386" s="299">
        <f t="shared" si="331"/>
        <v>0</v>
      </c>
      <c r="AH386" s="299">
        <f t="shared" si="332"/>
        <v>0</v>
      </c>
      <c r="AI386" s="299">
        <f t="shared" si="333"/>
        <v>0</v>
      </c>
      <c r="AJ386" s="299">
        <f t="shared" si="334"/>
        <v>0</v>
      </c>
      <c r="AK386" s="299">
        <f t="shared" si="335"/>
        <v>0</v>
      </c>
      <c r="AL386" s="298">
        <f t="shared" si="336"/>
        <v>6.6</v>
      </c>
      <c r="AM386" s="298">
        <f t="shared" si="337"/>
        <v>6.6</v>
      </c>
      <c r="AN386" s="298">
        <f t="shared" si="338"/>
        <v>0</v>
      </c>
      <c r="AO386" s="298">
        <f t="shared" si="339"/>
        <v>0</v>
      </c>
      <c r="AP386" s="298">
        <f t="shared" si="340"/>
        <v>0</v>
      </c>
      <c r="AQ386" s="298">
        <f t="shared" si="341"/>
        <v>0</v>
      </c>
      <c r="AR386" s="298">
        <f t="shared" si="342"/>
        <v>0</v>
      </c>
      <c r="AS386" s="298">
        <f t="shared" si="343"/>
        <v>0</v>
      </c>
      <c r="AT386" s="298">
        <f t="shared" si="344"/>
        <v>0</v>
      </c>
      <c r="AU386" s="285">
        <f t="shared" si="345"/>
        <v>6.6</v>
      </c>
      <c r="AV386" s="285">
        <v>6.6</v>
      </c>
      <c r="AW386" s="285"/>
      <c r="AX386" s="285"/>
      <c r="AY386" s="285"/>
      <c r="AZ386" s="285"/>
      <c r="BA386" s="285"/>
    </row>
    <row r="387" s="258" customFormat="1" ht="60" spans="1:53">
      <c r="A387" s="283">
        <v>380</v>
      </c>
      <c r="B387" s="284" t="s">
        <v>640</v>
      </c>
      <c r="C387" s="284" t="s">
        <v>196</v>
      </c>
      <c r="D387" s="284" t="s">
        <v>722</v>
      </c>
      <c r="E387" s="284" t="s">
        <v>723</v>
      </c>
      <c r="F387" s="285">
        <f t="shared" si="327"/>
        <v>25</v>
      </c>
      <c r="G387" s="285"/>
      <c r="H387" s="285"/>
      <c r="I387" s="285"/>
      <c r="J387" s="285"/>
      <c r="K387" s="285">
        <v>25</v>
      </c>
      <c r="L387" s="285" t="s">
        <v>1212</v>
      </c>
      <c r="M387" s="285"/>
      <c r="N387" s="285"/>
      <c r="O387" s="285"/>
      <c r="P387" s="285">
        <f t="shared" si="328"/>
        <v>25</v>
      </c>
      <c r="Q387" s="285">
        <v>25</v>
      </c>
      <c r="R387" s="285"/>
      <c r="S387" s="285"/>
      <c r="T387" s="285"/>
      <c r="U387" s="285"/>
      <c r="V387" s="298">
        <f t="shared" si="329"/>
        <v>0</v>
      </c>
      <c r="W387" s="298"/>
      <c r="X387" s="298"/>
      <c r="Y387" s="298"/>
      <c r="Z387" s="298"/>
      <c r="AA387" s="298"/>
      <c r="AB387" s="298"/>
      <c r="AC387" s="298"/>
      <c r="AD387" s="298"/>
      <c r="AE387" s="285"/>
      <c r="AF387" s="299">
        <f t="shared" si="330"/>
        <v>0</v>
      </c>
      <c r="AG387" s="299">
        <f t="shared" si="331"/>
        <v>0</v>
      </c>
      <c r="AH387" s="299">
        <f t="shared" si="332"/>
        <v>0</v>
      </c>
      <c r="AI387" s="299">
        <f t="shared" si="333"/>
        <v>0</v>
      </c>
      <c r="AJ387" s="299">
        <f t="shared" si="334"/>
        <v>0</v>
      </c>
      <c r="AK387" s="299">
        <f t="shared" si="335"/>
        <v>0</v>
      </c>
      <c r="AL387" s="298">
        <f t="shared" si="336"/>
        <v>25</v>
      </c>
      <c r="AM387" s="298">
        <f t="shared" si="337"/>
        <v>0</v>
      </c>
      <c r="AN387" s="298">
        <f t="shared" si="338"/>
        <v>0</v>
      </c>
      <c r="AO387" s="298">
        <f t="shared" si="339"/>
        <v>0</v>
      </c>
      <c r="AP387" s="298">
        <f t="shared" si="340"/>
        <v>0</v>
      </c>
      <c r="AQ387" s="298">
        <f t="shared" si="341"/>
        <v>25</v>
      </c>
      <c r="AR387" s="298">
        <f t="shared" si="342"/>
        <v>0</v>
      </c>
      <c r="AS387" s="298">
        <f t="shared" si="343"/>
        <v>0</v>
      </c>
      <c r="AT387" s="298">
        <f t="shared" si="344"/>
        <v>0</v>
      </c>
      <c r="AU387" s="298">
        <f t="shared" si="345"/>
        <v>25</v>
      </c>
      <c r="AV387" s="298">
        <v>25</v>
      </c>
      <c r="AW387" s="298"/>
      <c r="AX387" s="298"/>
      <c r="AY387" s="298"/>
      <c r="AZ387" s="298"/>
      <c r="BA387" s="285">
        <v>5</v>
      </c>
    </row>
    <row r="388" s="260" customFormat="1" ht="24" customHeight="1" spans="1:53">
      <c r="A388" s="283">
        <v>381</v>
      </c>
      <c r="B388" s="305"/>
      <c r="C388" s="306" t="s">
        <v>1213</v>
      </c>
      <c r="D388" s="305" t="s">
        <v>148</v>
      </c>
      <c r="E388" s="306">
        <v>224</v>
      </c>
      <c r="F388" s="281">
        <f t="shared" ref="F388:K388" si="346">SUM(F389:F398)</f>
        <v>678.7</v>
      </c>
      <c r="G388" s="281">
        <f t="shared" si="346"/>
        <v>34</v>
      </c>
      <c r="H388" s="281">
        <f t="shared" si="346"/>
        <v>16</v>
      </c>
      <c r="I388" s="281">
        <f t="shared" si="346"/>
        <v>14.04</v>
      </c>
      <c r="J388" s="281">
        <f t="shared" si="346"/>
        <v>0</v>
      </c>
      <c r="K388" s="281">
        <f t="shared" si="346"/>
        <v>398.5</v>
      </c>
      <c r="L388" s="281"/>
      <c r="M388" s="281">
        <f>SUM(M389:M398)</f>
        <v>53</v>
      </c>
      <c r="N388" s="281">
        <f>SUM(N389:N398)</f>
        <v>163.16</v>
      </c>
      <c r="O388" s="281"/>
      <c r="P388" s="307">
        <f t="shared" ref="P388:U388" si="347">SUM(P389:P398)</f>
        <v>678.7</v>
      </c>
      <c r="Q388" s="307">
        <f t="shared" si="347"/>
        <v>625.7</v>
      </c>
      <c r="R388" s="307">
        <f t="shared" si="347"/>
        <v>53</v>
      </c>
      <c r="S388" s="307">
        <f t="shared" si="347"/>
        <v>0</v>
      </c>
      <c r="T388" s="307">
        <f t="shared" si="347"/>
        <v>0</v>
      </c>
      <c r="U388" s="307">
        <f t="shared" si="347"/>
        <v>0</v>
      </c>
      <c r="V388" s="281">
        <f t="shared" ref="R388:AC388" si="348">SUM(V389:V398)</f>
        <v>-18.18</v>
      </c>
      <c r="W388" s="281">
        <f t="shared" si="348"/>
        <v>0</v>
      </c>
      <c r="X388" s="281">
        <f t="shared" si="348"/>
        <v>0</v>
      </c>
      <c r="Y388" s="281">
        <f t="shared" si="348"/>
        <v>0</v>
      </c>
      <c r="Z388" s="281">
        <f t="shared" si="348"/>
        <v>0</v>
      </c>
      <c r="AA388" s="281">
        <f t="shared" si="348"/>
        <v>0</v>
      </c>
      <c r="AB388" s="281">
        <f t="shared" si="348"/>
        <v>-35.08</v>
      </c>
      <c r="AC388" s="281">
        <f t="shared" si="348"/>
        <v>0</v>
      </c>
      <c r="AD388" s="281">
        <f t="shared" ref="AD388" si="349">SUM(AD389:AD398)</f>
        <v>16.9</v>
      </c>
      <c r="AE388" s="281"/>
      <c r="AF388" s="281">
        <f t="shared" ref="AF388:AL388" si="350">SUM(AF389:AF398)</f>
        <v>-18.18</v>
      </c>
      <c r="AG388" s="281">
        <f t="shared" si="350"/>
        <v>16.9</v>
      </c>
      <c r="AH388" s="281">
        <f t="shared" si="350"/>
        <v>-35.62</v>
      </c>
      <c r="AI388" s="281">
        <f t="shared" si="350"/>
        <v>0.54</v>
      </c>
      <c r="AJ388" s="281">
        <f t="shared" si="350"/>
        <v>0</v>
      </c>
      <c r="AK388" s="281">
        <f t="shared" si="350"/>
        <v>0</v>
      </c>
      <c r="AL388" s="308">
        <f t="shared" si="350"/>
        <v>660.52</v>
      </c>
      <c r="AM388" s="308">
        <f t="shared" ref="AM388:AZ388" si="351">SUM(AM389:AM398)</f>
        <v>34</v>
      </c>
      <c r="AN388" s="308">
        <f t="shared" si="351"/>
        <v>16</v>
      </c>
      <c r="AO388" s="308">
        <f t="shared" si="351"/>
        <v>14.04</v>
      </c>
      <c r="AP388" s="308">
        <f t="shared" si="351"/>
        <v>0</v>
      </c>
      <c r="AQ388" s="308">
        <f t="shared" si="351"/>
        <v>398.5</v>
      </c>
      <c r="AR388" s="308">
        <f t="shared" si="351"/>
        <v>17.92</v>
      </c>
      <c r="AS388" s="308">
        <f t="shared" si="351"/>
        <v>0</v>
      </c>
      <c r="AT388" s="308">
        <f t="shared" si="351"/>
        <v>180.06</v>
      </c>
      <c r="AU388" s="308">
        <f t="shared" si="351"/>
        <v>660.52</v>
      </c>
      <c r="AV388" s="308">
        <f t="shared" si="351"/>
        <v>642.6</v>
      </c>
      <c r="AW388" s="308">
        <f t="shared" si="351"/>
        <v>17.38</v>
      </c>
      <c r="AX388" s="308">
        <f t="shared" si="351"/>
        <v>0.54</v>
      </c>
      <c r="AY388" s="308">
        <f t="shared" si="351"/>
        <v>0</v>
      </c>
      <c r="AZ388" s="308">
        <f t="shared" si="351"/>
        <v>0</v>
      </c>
      <c r="BA388" s="309"/>
    </row>
    <row r="389" s="258" customFormat="1" ht="60" spans="1:53">
      <c r="A389" s="283">
        <v>382</v>
      </c>
      <c r="B389" s="284" t="s">
        <v>290</v>
      </c>
      <c r="C389" s="284" t="s">
        <v>196</v>
      </c>
      <c r="D389" s="284" t="s">
        <v>724</v>
      </c>
      <c r="E389" s="284" t="s">
        <v>725</v>
      </c>
      <c r="F389" s="285">
        <f t="shared" ref="F389:F398" si="352">SUM(G389:N389)</f>
        <v>130.92</v>
      </c>
      <c r="G389" s="285">
        <v>7.2</v>
      </c>
      <c r="H389" s="285">
        <v>4</v>
      </c>
      <c r="I389" s="285">
        <v>6.72</v>
      </c>
      <c r="J389" s="285"/>
      <c r="K389" s="285"/>
      <c r="L389" s="285"/>
      <c r="M389" s="285">
        <v>53</v>
      </c>
      <c r="N389" s="285">
        <v>60</v>
      </c>
      <c r="O389" s="285" t="s">
        <v>1214</v>
      </c>
      <c r="P389" s="285">
        <f t="shared" ref="P389:P398" si="353">SUM(Q389:S389)</f>
        <v>130.92</v>
      </c>
      <c r="Q389" s="285">
        <v>77.92</v>
      </c>
      <c r="R389" s="285">
        <v>53</v>
      </c>
      <c r="S389" s="285"/>
      <c r="T389" s="285"/>
      <c r="U389" s="285"/>
      <c r="V389" s="298">
        <f t="shared" ref="V389:V398" si="354">SUM(W389:AD389)</f>
        <v>-30.56</v>
      </c>
      <c r="W389" s="298"/>
      <c r="X389" s="298"/>
      <c r="Y389" s="298"/>
      <c r="Z389" s="298"/>
      <c r="AA389" s="298"/>
      <c r="AB389" s="298">
        <f>-53+0.54+15</f>
        <v>-37.46</v>
      </c>
      <c r="AC389" s="298"/>
      <c r="AD389" s="298">
        <v>6.9</v>
      </c>
      <c r="AE389" s="285" t="s">
        <v>1215</v>
      </c>
      <c r="AF389" s="299">
        <f t="shared" ref="AF389:AF398" si="355">SUM(AG389:AI389)</f>
        <v>-30.56</v>
      </c>
      <c r="AG389" s="299">
        <f t="shared" ref="AG389:AG398" si="356">AV389-Q389</f>
        <v>6.89999999999999</v>
      </c>
      <c r="AH389" s="299">
        <f t="shared" ref="AH389:AH398" si="357">AW389-R389</f>
        <v>-38</v>
      </c>
      <c r="AI389" s="299">
        <f t="shared" ref="AI389:AI398" si="358">AX389-S389</f>
        <v>0.54</v>
      </c>
      <c r="AJ389" s="299">
        <f t="shared" ref="AJ389:AJ398" si="359">AY389-T389</f>
        <v>0</v>
      </c>
      <c r="AK389" s="299">
        <f t="shared" ref="AK389:AK398" si="360">AZ389-U389</f>
        <v>0</v>
      </c>
      <c r="AL389" s="298">
        <f t="shared" ref="AL389:AL398" si="361">SUM(AM389:AT389)</f>
        <v>100.36</v>
      </c>
      <c r="AM389" s="298">
        <f t="shared" ref="AM389:AM398" si="362">G389+W389</f>
        <v>7.2</v>
      </c>
      <c r="AN389" s="298">
        <f t="shared" ref="AN389:AN398" si="363">H389+X389</f>
        <v>4</v>
      </c>
      <c r="AO389" s="298">
        <f t="shared" ref="AO389:AO398" si="364">I389+Y389</f>
        <v>6.72</v>
      </c>
      <c r="AP389" s="298">
        <f t="shared" ref="AP389:AP398" si="365">J389+Z389</f>
        <v>0</v>
      </c>
      <c r="AQ389" s="298">
        <f t="shared" ref="AQ389:AQ398" si="366">K389+AA389</f>
        <v>0</v>
      </c>
      <c r="AR389" s="298">
        <f t="shared" ref="AR389:AR398" si="367">M389+AB389</f>
        <v>15.54</v>
      </c>
      <c r="AS389" s="298">
        <f t="shared" si="343"/>
        <v>0</v>
      </c>
      <c r="AT389" s="298">
        <f t="shared" ref="AT389:AT398" si="368">N389+AD389</f>
        <v>66.9</v>
      </c>
      <c r="AU389" s="285">
        <f t="shared" ref="AU389:AU398" si="369">SUM(AV389:AX389)</f>
        <v>100.36</v>
      </c>
      <c r="AV389" s="285">
        <v>84.82</v>
      </c>
      <c r="AW389" s="285">
        <v>15</v>
      </c>
      <c r="AX389" s="285">
        <v>0.54</v>
      </c>
      <c r="AY389" s="285"/>
      <c r="AZ389" s="285"/>
      <c r="BA389" s="285"/>
    </row>
    <row r="390" s="258" customFormat="1" ht="24" spans="1:53">
      <c r="A390" s="283">
        <v>383</v>
      </c>
      <c r="B390" s="284" t="s">
        <v>290</v>
      </c>
      <c r="C390" s="284" t="s">
        <v>196</v>
      </c>
      <c r="D390" s="284" t="s">
        <v>726</v>
      </c>
      <c r="E390" s="284" t="s">
        <v>725</v>
      </c>
      <c r="F390" s="285">
        <f t="shared" si="352"/>
        <v>6.32</v>
      </c>
      <c r="G390" s="285">
        <v>2.4</v>
      </c>
      <c r="H390" s="285">
        <v>2</v>
      </c>
      <c r="I390" s="285">
        <v>1.92</v>
      </c>
      <c r="J390" s="285"/>
      <c r="K390" s="285"/>
      <c r="L390" s="285"/>
      <c r="M390" s="285"/>
      <c r="N390" s="285"/>
      <c r="O390" s="285"/>
      <c r="P390" s="285">
        <f t="shared" si="353"/>
        <v>6.32</v>
      </c>
      <c r="Q390" s="285">
        <v>6.32</v>
      </c>
      <c r="R390" s="285"/>
      <c r="S390" s="285"/>
      <c r="T390" s="285"/>
      <c r="U390" s="285"/>
      <c r="V390" s="298">
        <f t="shared" si="354"/>
        <v>0</v>
      </c>
      <c r="W390" s="298"/>
      <c r="X390" s="298"/>
      <c r="Y390" s="298"/>
      <c r="Z390" s="298"/>
      <c r="AA390" s="298"/>
      <c r="AB390" s="298"/>
      <c r="AC390" s="298"/>
      <c r="AD390" s="298"/>
      <c r="AE390" s="285"/>
      <c r="AF390" s="299">
        <f t="shared" si="355"/>
        <v>0</v>
      </c>
      <c r="AG390" s="299">
        <f t="shared" si="356"/>
        <v>0</v>
      </c>
      <c r="AH390" s="299">
        <f t="shared" si="357"/>
        <v>0</v>
      </c>
      <c r="AI390" s="299">
        <f t="shared" si="358"/>
        <v>0</v>
      </c>
      <c r="AJ390" s="299">
        <f t="shared" si="359"/>
        <v>0</v>
      </c>
      <c r="AK390" s="299">
        <f t="shared" si="360"/>
        <v>0</v>
      </c>
      <c r="AL390" s="298">
        <f t="shared" si="361"/>
        <v>6.32</v>
      </c>
      <c r="AM390" s="298">
        <f t="shared" si="362"/>
        <v>2.4</v>
      </c>
      <c r="AN390" s="298">
        <f t="shared" si="363"/>
        <v>2</v>
      </c>
      <c r="AO390" s="298">
        <f t="shared" si="364"/>
        <v>1.92</v>
      </c>
      <c r="AP390" s="298">
        <f t="shared" si="365"/>
        <v>0</v>
      </c>
      <c r="AQ390" s="298">
        <f t="shared" si="366"/>
        <v>0</v>
      </c>
      <c r="AR390" s="298">
        <f t="shared" si="367"/>
        <v>0</v>
      </c>
      <c r="AS390" s="298">
        <f t="shared" si="343"/>
        <v>0</v>
      </c>
      <c r="AT390" s="298">
        <f t="shared" si="368"/>
        <v>0</v>
      </c>
      <c r="AU390" s="285">
        <f t="shared" si="369"/>
        <v>6.32</v>
      </c>
      <c r="AV390" s="285">
        <v>6.32</v>
      </c>
      <c r="AW390" s="285"/>
      <c r="AX390" s="285"/>
      <c r="AY390" s="285"/>
      <c r="AZ390" s="285"/>
      <c r="BA390" s="285"/>
    </row>
    <row r="391" s="258" customFormat="1" ht="24" spans="1:53">
      <c r="A391" s="283">
        <v>384</v>
      </c>
      <c r="B391" s="284" t="s">
        <v>290</v>
      </c>
      <c r="C391" s="284" t="s">
        <v>196</v>
      </c>
      <c r="D391" s="284" t="s">
        <v>727</v>
      </c>
      <c r="E391" s="284" t="s">
        <v>725</v>
      </c>
      <c r="F391" s="285">
        <f t="shared" si="352"/>
        <v>7.48</v>
      </c>
      <c r="G391" s="285">
        <v>4</v>
      </c>
      <c r="H391" s="285"/>
      <c r="I391" s="285">
        <v>3.48</v>
      </c>
      <c r="J391" s="285"/>
      <c r="K391" s="285"/>
      <c r="L391" s="285"/>
      <c r="M391" s="285"/>
      <c r="N391" s="285"/>
      <c r="O391" s="285"/>
      <c r="P391" s="285">
        <f t="shared" si="353"/>
        <v>7.48</v>
      </c>
      <c r="Q391" s="285">
        <v>7.48</v>
      </c>
      <c r="R391" s="285"/>
      <c r="S391" s="285"/>
      <c r="T391" s="285"/>
      <c r="U391" s="285"/>
      <c r="V391" s="298">
        <f t="shared" si="354"/>
        <v>0</v>
      </c>
      <c r="W391" s="298"/>
      <c r="X391" s="298"/>
      <c r="Y391" s="298"/>
      <c r="Z391" s="298"/>
      <c r="AA391" s="298"/>
      <c r="AB391" s="298"/>
      <c r="AC391" s="298"/>
      <c r="AD391" s="298"/>
      <c r="AE391" s="285"/>
      <c r="AF391" s="299">
        <f t="shared" si="355"/>
        <v>0</v>
      </c>
      <c r="AG391" s="299">
        <f t="shared" si="356"/>
        <v>0</v>
      </c>
      <c r="AH391" s="299">
        <f t="shared" si="357"/>
        <v>0</v>
      </c>
      <c r="AI391" s="299">
        <f t="shared" si="358"/>
        <v>0</v>
      </c>
      <c r="AJ391" s="299">
        <f t="shared" si="359"/>
        <v>0</v>
      </c>
      <c r="AK391" s="299">
        <f t="shared" si="360"/>
        <v>0</v>
      </c>
      <c r="AL391" s="298">
        <f t="shared" si="361"/>
        <v>7.48</v>
      </c>
      <c r="AM391" s="298">
        <f t="shared" si="362"/>
        <v>4</v>
      </c>
      <c r="AN391" s="298">
        <f t="shared" si="363"/>
        <v>0</v>
      </c>
      <c r="AO391" s="298">
        <f t="shared" si="364"/>
        <v>3.48</v>
      </c>
      <c r="AP391" s="298">
        <f t="shared" si="365"/>
        <v>0</v>
      </c>
      <c r="AQ391" s="298">
        <f t="shared" si="366"/>
        <v>0</v>
      </c>
      <c r="AR391" s="298">
        <f t="shared" si="367"/>
        <v>0</v>
      </c>
      <c r="AS391" s="298">
        <f t="shared" si="343"/>
        <v>0</v>
      </c>
      <c r="AT391" s="298">
        <f t="shared" si="368"/>
        <v>0</v>
      </c>
      <c r="AU391" s="285">
        <f t="shared" si="369"/>
        <v>7.48</v>
      </c>
      <c r="AV391" s="285">
        <v>7.48</v>
      </c>
      <c r="AW391" s="285"/>
      <c r="AX391" s="285"/>
      <c r="AY391" s="285"/>
      <c r="AZ391" s="285"/>
      <c r="BA391" s="285"/>
    </row>
    <row r="392" s="258" customFormat="1" ht="24" spans="1:53">
      <c r="A392" s="283">
        <v>385</v>
      </c>
      <c r="B392" s="284" t="s">
        <v>290</v>
      </c>
      <c r="C392" s="284" t="s">
        <v>196</v>
      </c>
      <c r="D392" s="284" t="s">
        <v>728</v>
      </c>
      <c r="E392" s="284" t="s">
        <v>725</v>
      </c>
      <c r="F392" s="285">
        <f t="shared" si="352"/>
        <v>10.32</v>
      </c>
      <c r="G392" s="285">
        <v>2.4</v>
      </c>
      <c r="H392" s="285">
        <v>6</v>
      </c>
      <c r="I392" s="285">
        <v>1.92</v>
      </c>
      <c r="J392" s="285"/>
      <c r="K392" s="285"/>
      <c r="L392" s="285"/>
      <c r="M392" s="285"/>
      <c r="N392" s="285"/>
      <c r="O392" s="285"/>
      <c r="P392" s="285">
        <f t="shared" si="353"/>
        <v>10.32</v>
      </c>
      <c r="Q392" s="285">
        <v>10.32</v>
      </c>
      <c r="R392" s="285"/>
      <c r="S392" s="285"/>
      <c r="T392" s="285"/>
      <c r="U392" s="285"/>
      <c r="V392" s="298">
        <f t="shared" si="354"/>
        <v>0</v>
      </c>
      <c r="W392" s="298"/>
      <c r="X392" s="298"/>
      <c r="Y392" s="298"/>
      <c r="Z392" s="298"/>
      <c r="AA392" s="298"/>
      <c r="AB392" s="298"/>
      <c r="AC392" s="298"/>
      <c r="AD392" s="298"/>
      <c r="AE392" s="285"/>
      <c r="AF392" s="299">
        <f t="shared" si="355"/>
        <v>0</v>
      </c>
      <c r="AG392" s="299">
        <f t="shared" si="356"/>
        <v>0</v>
      </c>
      <c r="AH392" s="299">
        <f t="shared" si="357"/>
        <v>0</v>
      </c>
      <c r="AI392" s="299">
        <f t="shared" si="358"/>
        <v>0</v>
      </c>
      <c r="AJ392" s="299">
        <f t="shared" si="359"/>
        <v>0</v>
      </c>
      <c r="AK392" s="299">
        <f t="shared" si="360"/>
        <v>0</v>
      </c>
      <c r="AL392" s="298">
        <f t="shared" si="361"/>
        <v>10.32</v>
      </c>
      <c r="AM392" s="298">
        <f t="shared" si="362"/>
        <v>2.4</v>
      </c>
      <c r="AN392" s="298">
        <f t="shared" si="363"/>
        <v>6</v>
      </c>
      <c r="AO392" s="298">
        <f t="shared" si="364"/>
        <v>1.92</v>
      </c>
      <c r="AP392" s="298">
        <f t="shared" si="365"/>
        <v>0</v>
      </c>
      <c r="AQ392" s="298">
        <f t="shared" si="366"/>
        <v>0</v>
      </c>
      <c r="AR392" s="298">
        <f t="shared" si="367"/>
        <v>0</v>
      </c>
      <c r="AS392" s="298">
        <f t="shared" si="343"/>
        <v>0</v>
      </c>
      <c r="AT392" s="298">
        <f t="shared" si="368"/>
        <v>0</v>
      </c>
      <c r="AU392" s="285">
        <f t="shared" si="369"/>
        <v>10.32</v>
      </c>
      <c r="AV392" s="285">
        <v>10.32</v>
      </c>
      <c r="AW392" s="285"/>
      <c r="AX392" s="285"/>
      <c r="AY392" s="285"/>
      <c r="AZ392" s="285"/>
      <c r="BA392" s="285"/>
    </row>
    <row r="393" s="258" customFormat="1" ht="24" spans="1:53">
      <c r="A393" s="283">
        <v>386</v>
      </c>
      <c r="B393" s="284" t="s">
        <v>290</v>
      </c>
      <c r="C393" s="284" t="s">
        <v>199</v>
      </c>
      <c r="D393" s="284" t="s">
        <v>729</v>
      </c>
      <c r="E393" s="284" t="s">
        <v>725</v>
      </c>
      <c r="F393" s="285">
        <f t="shared" si="352"/>
        <v>3.8</v>
      </c>
      <c r="G393" s="285">
        <v>1.8</v>
      </c>
      <c r="H393" s="285">
        <v>2</v>
      </c>
      <c r="I393" s="285"/>
      <c r="J393" s="285"/>
      <c r="K393" s="285"/>
      <c r="L393" s="285"/>
      <c r="M393" s="285"/>
      <c r="N393" s="285"/>
      <c r="O393" s="285"/>
      <c r="P393" s="285">
        <f t="shared" si="353"/>
        <v>3.8</v>
      </c>
      <c r="Q393" s="285">
        <v>3.8</v>
      </c>
      <c r="R393" s="285"/>
      <c r="S393" s="285"/>
      <c r="T393" s="285"/>
      <c r="U393" s="285"/>
      <c r="V393" s="298">
        <f t="shared" si="354"/>
        <v>0</v>
      </c>
      <c r="W393" s="298"/>
      <c r="X393" s="298"/>
      <c r="Y393" s="298"/>
      <c r="Z393" s="298"/>
      <c r="AA393" s="298"/>
      <c r="AB393" s="298"/>
      <c r="AC393" s="298"/>
      <c r="AD393" s="298"/>
      <c r="AE393" s="285"/>
      <c r="AF393" s="299">
        <f t="shared" si="355"/>
        <v>0</v>
      </c>
      <c r="AG393" s="299">
        <f t="shared" si="356"/>
        <v>0</v>
      </c>
      <c r="AH393" s="299">
        <f t="shared" si="357"/>
        <v>0</v>
      </c>
      <c r="AI393" s="299">
        <f t="shared" si="358"/>
        <v>0</v>
      </c>
      <c r="AJ393" s="299">
        <f t="shared" si="359"/>
        <v>0</v>
      </c>
      <c r="AK393" s="299">
        <f t="shared" si="360"/>
        <v>0</v>
      </c>
      <c r="AL393" s="298">
        <f t="shared" si="361"/>
        <v>3.8</v>
      </c>
      <c r="AM393" s="298">
        <f t="shared" si="362"/>
        <v>1.8</v>
      </c>
      <c r="AN393" s="298">
        <f t="shared" si="363"/>
        <v>2</v>
      </c>
      <c r="AO393" s="298">
        <f t="shared" si="364"/>
        <v>0</v>
      </c>
      <c r="AP393" s="298">
        <f t="shared" si="365"/>
        <v>0</v>
      </c>
      <c r="AQ393" s="298">
        <f t="shared" si="366"/>
        <v>0</v>
      </c>
      <c r="AR393" s="298">
        <f t="shared" si="367"/>
        <v>0</v>
      </c>
      <c r="AS393" s="298">
        <f t="shared" si="343"/>
        <v>0</v>
      </c>
      <c r="AT393" s="298">
        <f t="shared" si="368"/>
        <v>0</v>
      </c>
      <c r="AU393" s="285">
        <f t="shared" si="369"/>
        <v>3.8</v>
      </c>
      <c r="AV393" s="285">
        <v>3.8</v>
      </c>
      <c r="AW393" s="285"/>
      <c r="AX393" s="285"/>
      <c r="AY393" s="285"/>
      <c r="AZ393" s="285"/>
      <c r="BA393" s="285"/>
    </row>
    <row r="394" s="258" customFormat="1" ht="24" spans="1:53">
      <c r="A394" s="283">
        <v>387</v>
      </c>
      <c r="B394" s="284" t="s">
        <v>290</v>
      </c>
      <c r="C394" s="284" t="s">
        <v>199</v>
      </c>
      <c r="D394" s="284" t="s">
        <v>731</v>
      </c>
      <c r="E394" s="284" t="s">
        <v>725</v>
      </c>
      <c r="F394" s="285">
        <f t="shared" si="352"/>
        <v>4.8</v>
      </c>
      <c r="G394" s="285">
        <v>4.8</v>
      </c>
      <c r="H394" s="285"/>
      <c r="I394" s="285"/>
      <c r="J394" s="285"/>
      <c r="K394" s="285"/>
      <c r="L394" s="285"/>
      <c r="M394" s="285"/>
      <c r="N394" s="285"/>
      <c r="O394" s="285"/>
      <c r="P394" s="285">
        <f t="shared" si="353"/>
        <v>4.8</v>
      </c>
      <c r="Q394" s="285">
        <v>4.8</v>
      </c>
      <c r="R394" s="285"/>
      <c r="S394" s="285"/>
      <c r="T394" s="285"/>
      <c r="U394" s="285"/>
      <c r="V394" s="298">
        <f t="shared" si="354"/>
        <v>0</v>
      </c>
      <c r="W394" s="298"/>
      <c r="X394" s="298"/>
      <c r="Y394" s="298"/>
      <c r="Z394" s="298"/>
      <c r="AA394" s="298"/>
      <c r="AB394" s="298"/>
      <c r="AC394" s="298"/>
      <c r="AD394" s="298"/>
      <c r="AE394" s="285"/>
      <c r="AF394" s="299">
        <f t="shared" si="355"/>
        <v>0</v>
      </c>
      <c r="AG394" s="299">
        <f t="shared" si="356"/>
        <v>0</v>
      </c>
      <c r="AH394" s="299">
        <f t="shared" si="357"/>
        <v>0</v>
      </c>
      <c r="AI394" s="299">
        <f t="shared" si="358"/>
        <v>0</v>
      </c>
      <c r="AJ394" s="299">
        <f t="shared" si="359"/>
        <v>0</v>
      </c>
      <c r="AK394" s="299">
        <f t="shared" si="360"/>
        <v>0</v>
      </c>
      <c r="AL394" s="298">
        <f t="shared" si="361"/>
        <v>4.8</v>
      </c>
      <c r="AM394" s="298">
        <f t="shared" si="362"/>
        <v>4.8</v>
      </c>
      <c r="AN394" s="298">
        <f t="shared" si="363"/>
        <v>0</v>
      </c>
      <c r="AO394" s="298">
        <f t="shared" si="364"/>
        <v>0</v>
      </c>
      <c r="AP394" s="298">
        <f t="shared" si="365"/>
        <v>0</v>
      </c>
      <c r="AQ394" s="298">
        <f t="shared" si="366"/>
        <v>0</v>
      </c>
      <c r="AR394" s="298">
        <f t="shared" si="367"/>
        <v>0</v>
      </c>
      <c r="AS394" s="298">
        <f t="shared" si="343"/>
        <v>0</v>
      </c>
      <c r="AT394" s="298">
        <f t="shared" si="368"/>
        <v>0</v>
      </c>
      <c r="AU394" s="285">
        <f t="shared" si="369"/>
        <v>4.8</v>
      </c>
      <c r="AV394" s="285">
        <v>4.8</v>
      </c>
      <c r="AW394" s="285"/>
      <c r="AX394" s="285"/>
      <c r="AY394" s="285"/>
      <c r="AZ394" s="285"/>
      <c r="BA394" s="285"/>
    </row>
    <row r="395" s="258" customFormat="1" ht="24" spans="1:53">
      <c r="A395" s="283">
        <v>388</v>
      </c>
      <c r="B395" s="284" t="s">
        <v>290</v>
      </c>
      <c r="C395" s="284" t="s">
        <v>199</v>
      </c>
      <c r="D395" s="284" t="s">
        <v>732</v>
      </c>
      <c r="E395" s="284" t="s">
        <v>730</v>
      </c>
      <c r="F395" s="285">
        <f t="shared" si="352"/>
        <v>1.8</v>
      </c>
      <c r="G395" s="285">
        <v>1.8</v>
      </c>
      <c r="H395" s="285"/>
      <c r="I395" s="285"/>
      <c r="J395" s="285"/>
      <c r="K395" s="285"/>
      <c r="L395" s="285"/>
      <c r="M395" s="285"/>
      <c r="N395" s="285"/>
      <c r="O395" s="285"/>
      <c r="P395" s="285">
        <f t="shared" si="353"/>
        <v>1.8</v>
      </c>
      <c r="Q395" s="285">
        <v>1.8</v>
      </c>
      <c r="R395" s="285"/>
      <c r="S395" s="285"/>
      <c r="T395" s="285"/>
      <c r="U395" s="285"/>
      <c r="V395" s="298">
        <f t="shared" si="354"/>
        <v>0</v>
      </c>
      <c r="W395" s="298"/>
      <c r="X395" s="298"/>
      <c r="Y395" s="298"/>
      <c r="Z395" s="298"/>
      <c r="AA395" s="298"/>
      <c r="AB395" s="298"/>
      <c r="AC395" s="298"/>
      <c r="AD395" s="298"/>
      <c r="AE395" s="285"/>
      <c r="AF395" s="299">
        <f t="shared" si="355"/>
        <v>0</v>
      </c>
      <c r="AG395" s="299">
        <f t="shared" si="356"/>
        <v>0</v>
      </c>
      <c r="AH395" s="299">
        <f t="shared" si="357"/>
        <v>0</v>
      </c>
      <c r="AI395" s="299">
        <f t="shared" si="358"/>
        <v>0</v>
      </c>
      <c r="AJ395" s="299">
        <f t="shared" si="359"/>
        <v>0</v>
      </c>
      <c r="AK395" s="299">
        <f t="shared" si="360"/>
        <v>0</v>
      </c>
      <c r="AL395" s="298">
        <f t="shared" si="361"/>
        <v>1.8</v>
      </c>
      <c r="AM395" s="298">
        <f t="shared" si="362"/>
        <v>1.8</v>
      </c>
      <c r="AN395" s="298">
        <f t="shared" si="363"/>
        <v>0</v>
      </c>
      <c r="AO395" s="298">
        <f t="shared" si="364"/>
        <v>0</v>
      </c>
      <c r="AP395" s="298">
        <f t="shared" si="365"/>
        <v>0</v>
      </c>
      <c r="AQ395" s="298">
        <f t="shared" si="366"/>
        <v>0</v>
      </c>
      <c r="AR395" s="298">
        <f t="shared" si="367"/>
        <v>0</v>
      </c>
      <c r="AS395" s="298">
        <f t="shared" si="343"/>
        <v>0</v>
      </c>
      <c r="AT395" s="298">
        <f t="shared" si="368"/>
        <v>0</v>
      </c>
      <c r="AU395" s="285">
        <f t="shared" si="369"/>
        <v>1.8</v>
      </c>
      <c r="AV395" s="285">
        <v>1.8</v>
      </c>
      <c r="AW395" s="285"/>
      <c r="AX395" s="285"/>
      <c r="AY395" s="285"/>
      <c r="AZ395" s="285"/>
      <c r="BA395" s="285"/>
    </row>
    <row r="396" s="258" customFormat="1" ht="24" spans="1:53">
      <c r="A396" s="283">
        <v>389</v>
      </c>
      <c r="B396" s="284" t="s">
        <v>290</v>
      </c>
      <c r="C396" s="284" t="s">
        <v>199</v>
      </c>
      <c r="D396" s="284" t="s">
        <v>733</v>
      </c>
      <c r="E396" s="284" t="s">
        <v>730</v>
      </c>
      <c r="F396" s="285">
        <f t="shared" si="352"/>
        <v>4.2</v>
      </c>
      <c r="G396" s="285">
        <v>4.2</v>
      </c>
      <c r="H396" s="285"/>
      <c r="I396" s="285"/>
      <c r="J396" s="285"/>
      <c r="K396" s="285"/>
      <c r="L396" s="285"/>
      <c r="M396" s="285"/>
      <c r="N396" s="285"/>
      <c r="O396" s="285"/>
      <c r="P396" s="285">
        <f t="shared" si="353"/>
        <v>4.2</v>
      </c>
      <c r="Q396" s="285">
        <v>4.2</v>
      </c>
      <c r="R396" s="285"/>
      <c r="S396" s="285"/>
      <c r="T396" s="285"/>
      <c r="U396" s="285"/>
      <c r="V396" s="298">
        <f t="shared" si="354"/>
        <v>0</v>
      </c>
      <c r="W396" s="298"/>
      <c r="X396" s="298"/>
      <c r="Y396" s="298"/>
      <c r="Z396" s="298"/>
      <c r="AA396" s="298"/>
      <c r="AB396" s="298"/>
      <c r="AC396" s="298"/>
      <c r="AD396" s="298"/>
      <c r="AE396" s="285"/>
      <c r="AF396" s="299">
        <f t="shared" si="355"/>
        <v>0</v>
      </c>
      <c r="AG396" s="299">
        <f t="shared" si="356"/>
        <v>0</v>
      </c>
      <c r="AH396" s="299">
        <f t="shared" si="357"/>
        <v>0</v>
      </c>
      <c r="AI396" s="299">
        <f t="shared" si="358"/>
        <v>0</v>
      </c>
      <c r="AJ396" s="299">
        <f t="shared" si="359"/>
        <v>0</v>
      </c>
      <c r="AK396" s="299">
        <f t="shared" si="360"/>
        <v>0</v>
      </c>
      <c r="AL396" s="298">
        <f t="shared" si="361"/>
        <v>4.2</v>
      </c>
      <c r="AM396" s="298">
        <f t="shared" si="362"/>
        <v>4.2</v>
      </c>
      <c r="AN396" s="298">
        <f t="shared" si="363"/>
        <v>0</v>
      </c>
      <c r="AO396" s="298">
        <f t="shared" si="364"/>
        <v>0</v>
      </c>
      <c r="AP396" s="298">
        <f t="shared" si="365"/>
        <v>0</v>
      </c>
      <c r="AQ396" s="298">
        <f t="shared" si="366"/>
        <v>0</v>
      </c>
      <c r="AR396" s="298">
        <f t="shared" si="367"/>
        <v>0</v>
      </c>
      <c r="AS396" s="298">
        <f t="shared" si="343"/>
        <v>0</v>
      </c>
      <c r="AT396" s="298">
        <f t="shared" si="368"/>
        <v>0</v>
      </c>
      <c r="AU396" s="285">
        <f t="shared" si="369"/>
        <v>4.2</v>
      </c>
      <c r="AV396" s="285">
        <v>4.2</v>
      </c>
      <c r="AW396" s="285"/>
      <c r="AX396" s="285"/>
      <c r="AY396" s="285"/>
      <c r="AZ396" s="285"/>
      <c r="BA396" s="285"/>
    </row>
    <row r="397" s="258" customFormat="1" ht="60" spans="1:53">
      <c r="A397" s="283">
        <v>390</v>
      </c>
      <c r="B397" s="284" t="s">
        <v>195</v>
      </c>
      <c r="C397" s="284" t="s">
        <v>196</v>
      </c>
      <c r="D397" s="284" t="s">
        <v>734</v>
      </c>
      <c r="E397" s="284" t="s">
        <v>735</v>
      </c>
      <c r="F397" s="285">
        <f t="shared" si="352"/>
        <v>498.5</v>
      </c>
      <c r="G397" s="285"/>
      <c r="H397" s="285"/>
      <c r="I397" s="285"/>
      <c r="J397" s="285"/>
      <c r="K397" s="285">
        <v>398.5</v>
      </c>
      <c r="L397" s="285" t="s">
        <v>1216</v>
      </c>
      <c r="M397" s="285"/>
      <c r="N397" s="285">
        <v>100</v>
      </c>
      <c r="O397" s="285" t="s">
        <v>1217</v>
      </c>
      <c r="P397" s="285">
        <f t="shared" si="353"/>
        <v>498.5</v>
      </c>
      <c r="Q397" s="285">
        <v>498.5</v>
      </c>
      <c r="R397" s="285"/>
      <c r="S397" s="285"/>
      <c r="T397" s="285"/>
      <c r="U397" s="285"/>
      <c r="V397" s="298">
        <f t="shared" si="354"/>
        <v>12.38</v>
      </c>
      <c r="W397" s="298"/>
      <c r="X397" s="298"/>
      <c r="Y397" s="298"/>
      <c r="Z397" s="298"/>
      <c r="AA397" s="298"/>
      <c r="AB397" s="298">
        <v>2.38</v>
      </c>
      <c r="AC397" s="298"/>
      <c r="AD397" s="298">
        <v>10</v>
      </c>
      <c r="AE397" s="285" t="s">
        <v>1218</v>
      </c>
      <c r="AF397" s="299">
        <f t="shared" si="355"/>
        <v>12.38</v>
      </c>
      <c r="AG397" s="299">
        <f t="shared" si="356"/>
        <v>10</v>
      </c>
      <c r="AH397" s="299">
        <f t="shared" si="357"/>
        <v>2.38</v>
      </c>
      <c r="AI397" s="299">
        <f t="shared" si="358"/>
        <v>0</v>
      </c>
      <c r="AJ397" s="299">
        <f t="shared" si="359"/>
        <v>0</v>
      </c>
      <c r="AK397" s="299">
        <f t="shared" si="360"/>
        <v>0</v>
      </c>
      <c r="AL397" s="298">
        <f t="shared" si="361"/>
        <v>510.88</v>
      </c>
      <c r="AM397" s="298">
        <f t="shared" si="362"/>
        <v>0</v>
      </c>
      <c r="AN397" s="298">
        <f t="shared" si="363"/>
        <v>0</v>
      </c>
      <c r="AO397" s="298">
        <f t="shared" si="364"/>
        <v>0</v>
      </c>
      <c r="AP397" s="298">
        <f t="shared" si="365"/>
        <v>0</v>
      </c>
      <c r="AQ397" s="298">
        <f t="shared" si="366"/>
        <v>398.5</v>
      </c>
      <c r="AR397" s="298">
        <f t="shared" si="367"/>
        <v>2.38</v>
      </c>
      <c r="AS397" s="298">
        <f t="shared" si="343"/>
        <v>0</v>
      </c>
      <c r="AT397" s="298">
        <f t="shared" si="368"/>
        <v>110</v>
      </c>
      <c r="AU397" s="285">
        <f t="shared" si="369"/>
        <v>510.88</v>
      </c>
      <c r="AV397" s="285">
        <v>508.5</v>
      </c>
      <c r="AW397" s="285">
        <v>2.38</v>
      </c>
      <c r="AX397" s="285"/>
      <c r="AY397" s="285"/>
      <c r="AZ397" s="285"/>
      <c r="BA397" s="285">
        <v>424.71</v>
      </c>
    </row>
    <row r="398" s="258" customFormat="1" ht="36" spans="1:53">
      <c r="A398" s="283">
        <v>391</v>
      </c>
      <c r="B398" s="284" t="s">
        <v>208</v>
      </c>
      <c r="C398" s="284" t="s">
        <v>199</v>
      </c>
      <c r="D398" s="284" t="s">
        <v>736</v>
      </c>
      <c r="E398" s="284" t="s">
        <v>737</v>
      </c>
      <c r="F398" s="285">
        <f t="shared" si="352"/>
        <v>10.56</v>
      </c>
      <c r="G398" s="285">
        <v>5.4</v>
      </c>
      <c r="H398" s="285">
        <v>2</v>
      </c>
      <c r="I398" s="285"/>
      <c r="J398" s="285"/>
      <c r="K398" s="285"/>
      <c r="L398" s="285"/>
      <c r="M398" s="285"/>
      <c r="N398" s="285">
        <v>3.16</v>
      </c>
      <c r="O398" s="285" t="s">
        <v>1219</v>
      </c>
      <c r="P398" s="285">
        <f t="shared" si="353"/>
        <v>10.56</v>
      </c>
      <c r="Q398" s="285">
        <v>10.56</v>
      </c>
      <c r="R398" s="285"/>
      <c r="S398" s="285"/>
      <c r="T398" s="285"/>
      <c r="U398" s="285"/>
      <c r="V398" s="298">
        <f t="shared" si="354"/>
        <v>0</v>
      </c>
      <c r="W398" s="298"/>
      <c r="X398" s="298"/>
      <c r="Y398" s="298"/>
      <c r="Z398" s="298"/>
      <c r="AA398" s="298"/>
      <c r="AB398" s="298"/>
      <c r="AC398" s="298"/>
      <c r="AD398" s="298"/>
      <c r="AE398" s="285"/>
      <c r="AF398" s="299">
        <f t="shared" si="355"/>
        <v>0</v>
      </c>
      <c r="AG398" s="299">
        <f t="shared" si="356"/>
        <v>0</v>
      </c>
      <c r="AH398" s="299">
        <f t="shared" si="357"/>
        <v>0</v>
      </c>
      <c r="AI398" s="299">
        <f t="shared" si="358"/>
        <v>0</v>
      </c>
      <c r="AJ398" s="299">
        <f t="shared" si="359"/>
        <v>0</v>
      </c>
      <c r="AK398" s="299">
        <f t="shared" si="360"/>
        <v>0</v>
      </c>
      <c r="AL398" s="298">
        <f t="shared" si="361"/>
        <v>10.56</v>
      </c>
      <c r="AM398" s="298">
        <f t="shared" si="362"/>
        <v>5.4</v>
      </c>
      <c r="AN398" s="298">
        <f t="shared" si="363"/>
        <v>2</v>
      </c>
      <c r="AO398" s="298">
        <f t="shared" si="364"/>
        <v>0</v>
      </c>
      <c r="AP398" s="298">
        <f t="shared" si="365"/>
        <v>0</v>
      </c>
      <c r="AQ398" s="298">
        <f t="shared" si="366"/>
        <v>0</v>
      </c>
      <c r="AR398" s="298">
        <f t="shared" si="367"/>
        <v>0</v>
      </c>
      <c r="AS398" s="298">
        <f t="shared" si="343"/>
        <v>0</v>
      </c>
      <c r="AT398" s="298">
        <f t="shared" si="368"/>
        <v>3.16</v>
      </c>
      <c r="AU398" s="298">
        <f t="shared" si="369"/>
        <v>10.56</v>
      </c>
      <c r="AV398" s="298">
        <v>10.56</v>
      </c>
      <c r="AW398" s="298"/>
      <c r="AX398" s="298"/>
      <c r="AY398" s="298"/>
      <c r="AZ398" s="298"/>
      <c r="BA398" s="285">
        <v>50</v>
      </c>
    </row>
    <row r="399" s="260" customFormat="1" ht="24" customHeight="1" spans="1:53">
      <c r="A399" s="283">
        <v>392</v>
      </c>
      <c r="B399" s="305"/>
      <c r="C399" s="306" t="s">
        <v>1220</v>
      </c>
      <c r="D399" s="305" t="s">
        <v>150</v>
      </c>
      <c r="E399" s="306">
        <v>229</v>
      </c>
      <c r="F399" s="281">
        <f t="shared" ref="F399:K399" si="370">SUM(F400:F401)</f>
        <v>0</v>
      </c>
      <c r="G399" s="281">
        <f t="shared" si="370"/>
        <v>0</v>
      </c>
      <c r="H399" s="281">
        <f t="shared" si="370"/>
        <v>0</v>
      </c>
      <c r="I399" s="281">
        <f t="shared" si="370"/>
        <v>0</v>
      </c>
      <c r="J399" s="281">
        <f t="shared" si="370"/>
        <v>0</v>
      </c>
      <c r="K399" s="281">
        <f t="shared" si="370"/>
        <v>0</v>
      </c>
      <c r="L399" s="281"/>
      <c r="M399" s="281">
        <f>SUM(M400:M401)</f>
        <v>0</v>
      </c>
      <c r="N399" s="281">
        <f>SUM(N400:N401)</f>
        <v>0</v>
      </c>
      <c r="O399" s="281"/>
      <c r="P399" s="307">
        <f t="shared" ref="P399:U399" si="371">SUM(P400:P401)</f>
        <v>0</v>
      </c>
      <c r="Q399" s="307">
        <f t="shared" si="371"/>
        <v>0</v>
      </c>
      <c r="R399" s="307">
        <f t="shared" si="371"/>
        <v>0</v>
      </c>
      <c r="S399" s="307">
        <f t="shared" si="371"/>
        <v>0</v>
      </c>
      <c r="T399" s="307">
        <f t="shared" si="371"/>
        <v>0</v>
      </c>
      <c r="U399" s="307">
        <f t="shared" si="371"/>
        <v>0</v>
      </c>
      <c r="V399" s="281">
        <f t="shared" ref="R399:AD399" si="372">SUM(V400:V401)</f>
        <v>0</v>
      </c>
      <c r="W399" s="281">
        <f t="shared" si="372"/>
        <v>0</v>
      </c>
      <c r="X399" s="281">
        <f t="shared" si="372"/>
        <v>0</v>
      </c>
      <c r="Y399" s="281">
        <f t="shared" si="372"/>
        <v>0</v>
      </c>
      <c r="Z399" s="281">
        <f t="shared" si="372"/>
        <v>0</v>
      </c>
      <c r="AA399" s="281">
        <f t="shared" si="372"/>
        <v>0</v>
      </c>
      <c r="AB399" s="281">
        <f t="shared" si="372"/>
        <v>0</v>
      </c>
      <c r="AC399" s="281">
        <f t="shared" si="372"/>
        <v>0</v>
      </c>
      <c r="AD399" s="281">
        <f t="shared" si="372"/>
        <v>0</v>
      </c>
      <c r="AE399" s="281"/>
      <c r="AF399" s="281">
        <f t="shared" ref="AF399:AL399" si="373">SUM(AF400:AF401)</f>
        <v>0</v>
      </c>
      <c r="AG399" s="281">
        <f t="shared" si="373"/>
        <v>0</v>
      </c>
      <c r="AH399" s="281">
        <f t="shared" si="373"/>
        <v>0</v>
      </c>
      <c r="AI399" s="281">
        <f t="shared" si="373"/>
        <v>0</v>
      </c>
      <c r="AJ399" s="281">
        <f t="shared" si="373"/>
        <v>0</v>
      </c>
      <c r="AK399" s="281">
        <f t="shared" si="373"/>
        <v>0</v>
      </c>
      <c r="AL399" s="308">
        <f t="shared" si="373"/>
        <v>0</v>
      </c>
      <c r="AM399" s="308">
        <f t="shared" ref="AM399:BA399" si="374">SUM(AM400:AM401)</f>
        <v>0</v>
      </c>
      <c r="AN399" s="308">
        <f t="shared" si="374"/>
        <v>0</v>
      </c>
      <c r="AO399" s="308">
        <f t="shared" si="374"/>
        <v>0</v>
      </c>
      <c r="AP399" s="308">
        <f t="shared" si="374"/>
        <v>0</v>
      </c>
      <c r="AQ399" s="308">
        <f t="shared" si="374"/>
        <v>0</v>
      </c>
      <c r="AR399" s="308">
        <f t="shared" si="374"/>
        <v>0</v>
      </c>
      <c r="AS399" s="308">
        <f t="shared" si="374"/>
        <v>0</v>
      </c>
      <c r="AT399" s="308">
        <f t="shared" si="374"/>
        <v>0</v>
      </c>
      <c r="AU399" s="308">
        <f t="shared" si="374"/>
        <v>0</v>
      </c>
      <c r="AV399" s="308">
        <f t="shared" si="374"/>
        <v>0</v>
      </c>
      <c r="AW399" s="308">
        <f t="shared" si="374"/>
        <v>0</v>
      </c>
      <c r="AX399" s="308">
        <f t="shared" si="374"/>
        <v>0</v>
      </c>
      <c r="AY399" s="308">
        <f t="shared" si="374"/>
        <v>0</v>
      </c>
      <c r="AZ399" s="308">
        <f t="shared" si="374"/>
        <v>0</v>
      </c>
      <c r="BA399" s="309"/>
    </row>
    <row r="400" s="258" customFormat="1" ht="24" spans="1:53">
      <c r="A400" s="283">
        <v>393</v>
      </c>
      <c r="B400" s="284" t="s">
        <v>1221</v>
      </c>
      <c r="C400" s="284"/>
      <c r="D400" s="284" t="s">
        <v>1222</v>
      </c>
      <c r="E400" s="284" t="s">
        <v>1223</v>
      </c>
      <c r="F400" s="285">
        <f>SUM(G400:N400)</f>
        <v>0</v>
      </c>
      <c r="G400" s="285"/>
      <c r="H400" s="285"/>
      <c r="I400" s="285"/>
      <c r="J400" s="285"/>
      <c r="K400" s="285"/>
      <c r="L400" s="285"/>
      <c r="M400" s="285"/>
      <c r="N400" s="285"/>
      <c r="O400" s="285"/>
      <c r="P400" s="285">
        <f>SUM(Q400:S400)</f>
        <v>0</v>
      </c>
      <c r="Q400" s="285"/>
      <c r="R400" s="285"/>
      <c r="S400" s="285"/>
      <c r="T400" s="285"/>
      <c r="U400" s="285"/>
      <c r="V400" s="298">
        <f>SUM(W400:AD400)</f>
        <v>0</v>
      </c>
      <c r="W400" s="298"/>
      <c r="X400" s="298"/>
      <c r="Y400" s="298"/>
      <c r="Z400" s="298"/>
      <c r="AA400" s="298"/>
      <c r="AB400" s="298"/>
      <c r="AC400" s="298"/>
      <c r="AD400" s="298"/>
      <c r="AE400" s="285" t="s">
        <v>1224</v>
      </c>
      <c r="AF400" s="285">
        <f>SUM(AG400:AI400)</f>
        <v>0</v>
      </c>
      <c r="AG400" s="285">
        <f t="shared" ref="AG400:AK400" si="375">AV400-Q400</f>
        <v>0</v>
      </c>
      <c r="AH400" s="285">
        <f t="shared" si="375"/>
        <v>0</v>
      </c>
      <c r="AI400" s="285">
        <f t="shared" si="375"/>
        <v>0</v>
      </c>
      <c r="AJ400" s="285">
        <f t="shared" si="375"/>
        <v>0</v>
      </c>
      <c r="AK400" s="285">
        <f t="shared" si="375"/>
        <v>0</v>
      </c>
      <c r="AL400" s="298">
        <f>SUM(AM400:AT400)</f>
        <v>0</v>
      </c>
      <c r="AM400" s="298">
        <f t="shared" ref="AM400:AQ401" si="376">G400+W400</f>
        <v>0</v>
      </c>
      <c r="AN400" s="298">
        <f t="shared" si="376"/>
        <v>0</v>
      </c>
      <c r="AO400" s="298">
        <f t="shared" si="376"/>
        <v>0</v>
      </c>
      <c r="AP400" s="298">
        <f t="shared" si="376"/>
        <v>0</v>
      </c>
      <c r="AQ400" s="298">
        <f t="shared" si="376"/>
        <v>0</v>
      </c>
      <c r="AR400" s="298">
        <f>M400+AB400</f>
        <v>0</v>
      </c>
      <c r="AS400" s="298">
        <f t="shared" si="343"/>
        <v>0</v>
      </c>
      <c r="AT400" s="298">
        <f>N400+AD400</f>
        <v>0</v>
      </c>
      <c r="AU400" s="298">
        <f>SUM(AV400:AX400)</f>
        <v>0</v>
      </c>
      <c r="AV400" s="298"/>
      <c r="AW400" s="298"/>
      <c r="AX400" s="298"/>
      <c r="AY400" s="298"/>
      <c r="AZ400" s="298"/>
      <c r="BA400" s="285">
        <v>200</v>
      </c>
    </row>
    <row r="401" s="258" customFormat="1" ht="26" customHeight="1" spans="1:53">
      <c r="A401" s="283">
        <v>394</v>
      </c>
      <c r="B401" s="284" t="s">
        <v>1221</v>
      </c>
      <c r="C401" s="284"/>
      <c r="D401" s="284" t="s">
        <v>720</v>
      </c>
      <c r="E401" s="284" t="s">
        <v>1223</v>
      </c>
      <c r="F401" s="285">
        <f>SUM(G401:N401)</f>
        <v>0</v>
      </c>
      <c r="G401" s="285"/>
      <c r="H401" s="285"/>
      <c r="I401" s="285"/>
      <c r="J401" s="285"/>
      <c r="K401" s="285"/>
      <c r="L401" s="285"/>
      <c r="M401" s="285"/>
      <c r="N401" s="285"/>
      <c r="O401" s="285"/>
      <c r="P401" s="285">
        <f>SUM(Q401:S401)</f>
        <v>0</v>
      </c>
      <c r="Q401" s="285"/>
      <c r="R401" s="285"/>
      <c r="S401" s="285"/>
      <c r="T401" s="285"/>
      <c r="U401" s="285"/>
      <c r="V401" s="298">
        <f>SUM(W401:AD401)</f>
        <v>0</v>
      </c>
      <c r="W401" s="298"/>
      <c r="X401" s="298"/>
      <c r="Y401" s="298"/>
      <c r="Z401" s="298"/>
      <c r="AA401" s="298"/>
      <c r="AB401" s="298"/>
      <c r="AC401" s="298"/>
      <c r="AD401" s="298"/>
      <c r="AE401" s="285" t="s">
        <v>1225</v>
      </c>
      <c r="AF401" s="285">
        <f>SUM(AG401:AI401)</f>
        <v>0</v>
      </c>
      <c r="AG401" s="285">
        <f t="shared" ref="AG401:AK401" si="377">AV401-Q401</f>
        <v>0</v>
      </c>
      <c r="AH401" s="285">
        <f t="shared" si="377"/>
        <v>0</v>
      </c>
      <c r="AI401" s="285">
        <f t="shared" si="377"/>
        <v>0</v>
      </c>
      <c r="AJ401" s="285">
        <f t="shared" si="377"/>
        <v>0</v>
      </c>
      <c r="AK401" s="285">
        <f t="shared" si="377"/>
        <v>0</v>
      </c>
      <c r="AL401" s="298">
        <f>SUM(AM401:AT401)</f>
        <v>0</v>
      </c>
      <c r="AM401" s="298">
        <f t="shared" si="376"/>
        <v>0</v>
      </c>
      <c r="AN401" s="298">
        <f t="shared" si="376"/>
        <v>0</v>
      </c>
      <c r="AO401" s="298">
        <f t="shared" si="376"/>
        <v>0</v>
      </c>
      <c r="AP401" s="298">
        <f t="shared" si="376"/>
        <v>0</v>
      </c>
      <c r="AQ401" s="298">
        <f t="shared" si="376"/>
        <v>0</v>
      </c>
      <c r="AR401" s="298">
        <f>M401+AB401</f>
        <v>0</v>
      </c>
      <c r="AS401" s="298">
        <f t="shared" si="343"/>
        <v>0</v>
      </c>
      <c r="AT401" s="298">
        <f>N401+AD401</f>
        <v>0</v>
      </c>
      <c r="AU401" s="298">
        <f>SUM(AV401:AX401)</f>
        <v>0</v>
      </c>
      <c r="AV401" s="298"/>
      <c r="AW401" s="298"/>
      <c r="AX401" s="298"/>
      <c r="AY401" s="298"/>
      <c r="AZ401" s="298"/>
      <c r="BA401" s="285">
        <v>180.046126</v>
      </c>
    </row>
  </sheetData>
  <autoFilter ref="A6:BA401">
    <extLst/>
  </autoFilter>
  <mergeCells count="52">
    <mergeCell ref="C1:AY1"/>
    <mergeCell ref="AX2:AY2"/>
    <mergeCell ref="F3:U3"/>
    <mergeCell ref="V3:AK3"/>
    <mergeCell ref="AL3:AZ3"/>
    <mergeCell ref="P4:U4"/>
    <mergeCell ref="AF4:AK4"/>
    <mergeCell ref="AU4:AZ4"/>
    <mergeCell ref="P5:S5"/>
    <mergeCell ref="AF5:AI5"/>
    <mergeCell ref="AU5:AX5"/>
    <mergeCell ref="A3:A6"/>
    <mergeCell ref="B3:B6"/>
    <mergeCell ref="C3:C6"/>
    <mergeCell ref="D3:D6"/>
    <mergeCell ref="E3:E6"/>
    <mergeCell ref="F4:F6"/>
    <mergeCell ref="G4:G6"/>
    <mergeCell ref="H4:H6"/>
    <mergeCell ref="I4:I6"/>
    <mergeCell ref="J4:J6"/>
    <mergeCell ref="K4:K6"/>
    <mergeCell ref="L4:L6"/>
    <mergeCell ref="M4:M6"/>
    <mergeCell ref="N4:N6"/>
    <mergeCell ref="O4:O6"/>
    <mergeCell ref="T5:T6"/>
    <mergeCell ref="U5:U6"/>
    <mergeCell ref="V4:V6"/>
    <mergeCell ref="W4:W6"/>
    <mergeCell ref="X4:X6"/>
    <mergeCell ref="Y4:Y6"/>
    <mergeCell ref="Z4:Z6"/>
    <mergeCell ref="AA4:AA6"/>
    <mergeCell ref="AB4:AB6"/>
    <mergeCell ref="AC4:AC6"/>
    <mergeCell ref="AD4:AD6"/>
    <mergeCell ref="AE4:AE6"/>
    <mergeCell ref="AJ5:AJ6"/>
    <mergeCell ref="AK5:AK6"/>
    <mergeCell ref="AL4:AL6"/>
    <mergeCell ref="AM4:AM6"/>
    <mergeCell ref="AN4:AN6"/>
    <mergeCell ref="AO4:AO6"/>
    <mergeCell ref="AP4:AP6"/>
    <mergeCell ref="AQ4:AQ6"/>
    <mergeCell ref="AR4:AR6"/>
    <mergeCell ref="AS4:AS6"/>
    <mergeCell ref="AT4:AT6"/>
    <mergeCell ref="AY5:AY6"/>
    <mergeCell ref="AZ5:AZ6"/>
    <mergeCell ref="BA3:BA6"/>
  </mergeCells>
  <pageMargins left="0.354166666666667" right="0.393055555555556" top="0.629166666666667" bottom="0.55" header="0.3" footer="0.3"/>
  <pageSetup paperSize="8" scale="50" fitToHeight="0" orientation="landscape"/>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19"/>
  <sheetViews>
    <sheetView view="pageBreakPreview" zoomScale="90" zoomScaleNormal="100" workbookViewId="0">
      <pane xSplit="5" ySplit="5" topLeftCell="F186" activePane="bottomRight" state="frozen"/>
      <selection/>
      <selection pane="topRight"/>
      <selection pane="bottomLeft"/>
      <selection pane="bottomRight" activeCell="BB7" sqref="BB7"/>
    </sheetView>
  </sheetViews>
  <sheetFormatPr defaultColWidth="9" defaultRowHeight="13.5"/>
  <cols>
    <col min="1" max="1" width="4.49166666666667" style="205" customWidth="1"/>
    <col min="2" max="2" width="9.63333333333333" style="206" hidden="1" customWidth="1"/>
    <col min="3" max="3" width="22.725" style="207" customWidth="1"/>
    <col min="4" max="4" width="16.0916666666667" style="207" customWidth="1"/>
    <col min="5" max="5" width="25.5916666666667" style="207" customWidth="1"/>
    <col min="6" max="6" width="13.3166666666667" style="207" customWidth="1"/>
    <col min="7" max="8" width="12.0916666666667" style="207" hidden="1" customWidth="1"/>
    <col min="9" max="9" width="10.5416666666667" style="208" hidden="1" customWidth="1"/>
    <col min="10" max="10" width="14.2666666666667" style="208" customWidth="1"/>
    <col min="11" max="13" width="10.5416666666667" style="208" customWidth="1"/>
    <col min="14" max="14" width="14.1833333333333" style="208" customWidth="1"/>
    <col min="15" max="15" width="11.125" style="208" customWidth="1"/>
    <col min="16" max="18" width="10.5416666666667" style="208" customWidth="1"/>
    <col min="19" max="19" width="12.2166666666667" style="208" hidden="1" customWidth="1"/>
    <col min="20" max="20" width="30.5" style="208" customWidth="1"/>
    <col min="21" max="21" width="87.1333333333333" style="209" hidden="1" customWidth="1"/>
    <col min="22" max="22" width="11.025" style="209" customWidth="1"/>
    <col min="23" max="23" width="10.5916666666667" style="210" customWidth="1"/>
    <col min="24" max="24" width="11.5" style="210"/>
    <col min="25" max="16384" width="9" style="210"/>
  </cols>
  <sheetData>
    <row r="1" ht="30" customHeight="1" spans="1:21">
      <c r="A1" s="211"/>
      <c r="B1" s="212"/>
      <c r="C1" s="213" t="s">
        <v>1226</v>
      </c>
      <c r="D1" s="213"/>
      <c r="E1" s="213"/>
      <c r="F1" s="213"/>
      <c r="G1" s="213"/>
      <c r="H1" s="213"/>
      <c r="I1" s="213"/>
      <c r="J1" s="213"/>
      <c r="K1" s="213"/>
      <c r="L1" s="213"/>
      <c r="M1" s="213"/>
      <c r="N1" s="213"/>
      <c r="O1" s="213"/>
      <c r="P1" s="213"/>
      <c r="Q1" s="213"/>
      <c r="R1" s="213"/>
      <c r="S1" s="213"/>
      <c r="T1" s="213"/>
      <c r="U1" s="231"/>
    </row>
    <row r="2" ht="18.95" customHeight="1" spans="2:21">
      <c r="B2" s="214"/>
      <c r="C2" s="74"/>
      <c r="D2" s="74"/>
      <c r="E2" s="74"/>
      <c r="F2" s="215"/>
      <c r="G2" s="216"/>
      <c r="H2" s="216"/>
      <c r="I2" s="216"/>
      <c r="J2" s="216"/>
      <c r="K2" s="216"/>
      <c r="L2" s="216"/>
      <c r="M2" s="216"/>
      <c r="N2" s="216"/>
      <c r="O2" s="216"/>
      <c r="P2" s="216"/>
      <c r="Q2" s="216"/>
      <c r="R2" s="216"/>
      <c r="S2" s="216">
        <f>SUM(S5:S318)</f>
        <v>63473.693536</v>
      </c>
      <c r="T2" s="232" t="s">
        <v>2</v>
      </c>
      <c r="U2" s="232" t="s">
        <v>2</v>
      </c>
    </row>
    <row r="3" ht="22" customHeight="1" spans="1:23">
      <c r="A3" s="217" t="s">
        <v>935</v>
      </c>
      <c r="B3" s="218" t="s">
        <v>162</v>
      </c>
      <c r="C3" s="218" t="s">
        <v>164</v>
      </c>
      <c r="D3" s="218" t="s">
        <v>165</v>
      </c>
      <c r="E3" s="218" t="s">
        <v>1227</v>
      </c>
      <c r="F3" s="219" t="s">
        <v>122</v>
      </c>
      <c r="G3" s="220"/>
      <c r="H3" s="220"/>
      <c r="I3" s="230"/>
      <c r="J3" s="81" t="s">
        <v>758</v>
      </c>
      <c r="K3" s="81"/>
      <c r="L3" s="81"/>
      <c r="M3" s="81"/>
      <c r="N3" s="81" t="s">
        <v>759</v>
      </c>
      <c r="O3" s="81"/>
      <c r="P3" s="81"/>
      <c r="Q3" s="81"/>
      <c r="R3" s="233" t="s">
        <v>1228</v>
      </c>
      <c r="S3" s="233" t="s">
        <v>1229</v>
      </c>
      <c r="T3" s="81" t="s">
        <v>760</v>
      </c>
      <c r="U3" s="218" t="s">
        <v>1230</v>
      </c>
      <c r="V3" s="217" t="s">
        <v>1231</v>
      </c>
      <c r="W3" s="217" t="s">
        <v>936</v>
      </c>
    </row>
    <row r="4" ht="28" customHeight="1" spans="1:23">
      <c r="A4" s="217"/>
      <c r="B4" s="218"/>
      <c r="C4" s="218"/>
      <c r="D4" s="218"/>
      <c r="E4" s="218"/>
      <c r="F4" s="83" t="s">
        <v>124</v>
      </c>
      <c r="G4" s="83" t="s">
        <v>1232</v>
      </c>
      <c r="H4" s="83" t="s">
        <v>1233</v>
      </c>
      <c r="I4" s="83" t="s">
        <v>1234</v>
      </c>
      <c r="J4" s="83" t="s">
        <v>124</v>
      </c>
      <c r="K4" s="83" t="s">
        <v>1232</v>
      </c>
      <c r="L4" s="83" t="s">
        <v>1233</v>
      </c>
      <c r="M4" s="83" t="s">
        <v>1234</v>
      </c>
      <c r="N4" s="83" t="s">
        <v>124</v>
      </c>
      <c r="O4" s="83" t="s">
        <v>1232</v>
      </c>
      <c r="P4" s="83" t="s">
        <v>1233</v>
      </c>
      <c r="Q4" s="83" t="s">
        <v>1234</v>
      </c>
      <c r="R4" s="234"/>
      <c r="S4" s="234"/>
      <c r="T4" s="81"/>
      <c r="U4" s="218"/>
      <c r="V4" s="217"/>
      <c r="W4" s="217"/>
    </row>
    <row r="5" ht="26.15" customHeight="1" spans="1:23">
      <c r="A5" s="221">
        <v>1</v>
      </c>
      <c r="B5" s="222"/>
      <c r="C5" s="223"/>
      <c r="D5" s="224" t="s">
        <v>1235</v>
      </c>
      <c r="E5" s="225"/>
      <c r="F5" s="226">
        <f>SUM(F6:F34)</f>
        <v>4012.61</v>
      </c>
      <c r="G5" s="226">
        <f>SUM(G6:G34)</f>
        <v>2460.75</v>
      </c>
      <c r="H5" s="226">
        <f>SUM(H6:H34)</f>
        <v>1551.86</v>
      </c>
      <c r="I5" s="226">
        <f>SUM(I6:I34)</f>
        <v>0</v>
      </c>
      <c r="J5" s="226">
        <f t="shared" ref="J5:R5" si="0">SUM(J6:J34)</f>
        <v>-4012.61</v>
      </c>
      <c r="K5" s="226">
        <f t="shared" si="0"/>
        <v>-2604.61</v>
      </c>
      <c r="L5" s="226">
        <f t="shared" si="0"/>
        <v>-1408</v>
      </c>
      <c r="M5" s="226">
        <f t="shared" si="0"/>
        <v>0</v>
      </c>
      <c r="N5" s="226">
        <f t="shared" si="0"/>
        <v>0</v>
      </c>
      <c r="O5" s="226">
        <f t="shared" si="0"/>
        <v>-143.86</v>
      </c>
      <c r="P5" s="226">
        <f t="shared" si="0"/>
        <v>143.86</v>
      </c>
      <c r="Q5" s="226">
        <f t="shared" si="0"/>
        <v>0</v>
      </c>
      <c r="R5" s="226">
        <f t="shared" si="0"/>
        <v>2444.04</v>
      </c>
      <c r="S5" s="226"/>
      <c r="T5" s="225"/>
      <c r="U5" s="228"/>
      <c r="V5" s="235"/>
      <c r="W5" s="236"/>
    </row>
    <row r="6" ht="40.5" spans="1:23">
      <c r="A6" s="221">
        <v>2</v>
      </c>
      <c r="B6" s="227" t="s">
        <v>1236</v>
      </c>
      <c r="C6" s="228" t="s">
        <v>214</v>
      </c>
      <c r="D6" s="228" t="s">
        <v>1237</v>
      </c>
      <c r="E6" s="228" t="s">
        <v>1238</v>
      </c>
      <c r="F6" s="229">
        <v>500</v>
      </c>
      <c r="G6" s="229">
        <v>500</v>
      </c>
      <c r="H6" s="229"/>
      <c r="I6" s="229"/>
      <c r="J6" s="229">
        <f t="shared" ref="J6:J11" si="1">SUM(K6:M6)</f>
        <v>-500</v>
      </c>
      <c r="K6" s="229">
        <v>-500</v>
      </c>
      <c r="L6" s="229"/>
      <c r="M6" s="229"/>
      <c r="N6" s="229">
        <f t="shared" ref="N6:N11" si="2">SUM(O6:Q6)</f>
        <v>0</v>
      </c>
      <c r="O6" s="229">
        <f t="shared" ref="O6:O11" si="3">G6+K6</f>
        <v>0</v>
      </c>
      <c r="P6" s="229">
        <f t="shared" ref="P6:P11" si="4">H6+L6</f>
        <v>0</v>
      </c>
      <c r="Q6" s="229">
        <f t="shared" ref="Q6:Q11" si="5">I6+M6</f>
        <v>0</v>
      </c>
      <c r="R6" s="229">
        <v>300</v>
      </c>
      <c r="S6" s="229">
        <v>262.2296</v>
      </c>
      <c r="T6" s="228"/>
      <c r="U6" s="228" t="s">
        <v>1239</v>
      </c>
      <c r="V6" s="235">
        <v>-200</v>
      </c>
      <c r="W6" s="236"/>
    </row>
    <row r="7" ht="27" spans="1:23">
      <c r="A7" s="221">
        <v>3</v>
      </c>
      <c r="B7" s="227" t="s">
        <v>290</v>
      </c>
      <c r="C7" s="228" t="s">
        <v>291</v>
      </c>
      <c r="D7" s="228" t="s">
        <v>1240</v>
      </c>
      <c r="E7" s="228" t="s">
        <v>1241</v>
      </c>
      <c r="F7" s="229">
        <v>100</v>
      </c>
      <c r="G7" s="229"/>
      <c r="H7" s="229">
        <v>100</v>
      </c>
      <c r="I7" s="229"/>
      <c r="J7" s="229">
        <f t="shared" si="1"/>
        <v>-100</v>
      </c>
      <c r="K7" s="229">
        <f>-23.64-76.36</f>
        <v>-100</v>
      </c>
      <c r="L7" s="229"/>
      <c r="M7" s="229"/>
      <c r="N7" s="229">
        <f t="shared" si="2"/>
        <v>0</v>
      </c>
      <c r="O7" s="229">
        <f t="shared" si="3"/>
        <v>-100</v>
      </c>
      <c r="P7" s="229">
        <f t="shared" si="4"/>
        <v>100</v>
      </c>
      <c r="Q7" s="229">
        <f t="shared" si="5"/>
        <v>0</v>
      </c>
      <c r="R7" s="229">
        <v>76.36</v>
      </c>
      <c r="S7" s="229">
        <v>76.36</v>
      </c>
      <c r="T7" s="228"/>
      <c r="U7" s="228" t="s">
        <v>1242</v>
      </c>
      <c r="V7" s="235"/>
      <c r="W7" s="236"/>
    </row>
    <row r="8" ht="27" spans="1:23">
      <c r="A8" s="221">
        <v>4</v>
      </c>
      <c r="B8" s="227" t="s">
        <v>290</v>
      </c>
      <c r="C8" s="228" t="s">
        <v>291</v>
      </c>
      <c r="D8" s="228" t="s">
        <v>1240</v>
      </c>
      <c r="E8" s="228" t="s">
        <v>1243</v>
      </c>
      <c r="F8" s="229">
        <v>50</v>
      </c>
      <c r="G8" s="229">
        <v>50</v>
      </c>
      <c r="H8" s="229"/>
      <c r="I8" s="229"/>
      <c r="J8" s="229">
        <f t="shared" si="1"/>
        <v>-50</v>
      </c>
      <c r="K8" s="229">
        <v>-50</v>
      </c>
      <c r="L8" s="229"/>
      <c r="M8" s="229"/>
      <c r="N8" s="229">
        <f t="shared" si="2"/>
        <v>0</v>
      </c>
      <c r="O8" s="229">
        <f t="shared" si="3"/>
        <v>0</v>
      </c>
      <c r="P8" s="229">
        <f t="shared" si="4"/>
        <v>0</v>
      </c>
      <c r="Q8" s="229">
        <f t="shared" si="5"/>
        <v>0</v>
      </c>
      <c r="R8" s="229">
        <v>50</v>
      </c>
      <c r="S8" s="229"/>
      <c r="T8" s="228"/>
      <c r="U8" s="228" t="s">
        <v>1243</v>
      </c>
      <c r="V8" s="235"/>
      <c r="W8" s="236"/>
    </row>
    <row r="9" ht="27" spans="1:23">
      <c r="A9" s="221">
        <v>5</v>
      </c>
      <c r="B9" s="227" t="s">
        <v>290</v>
      </c>
      <c r="C9" s="228" t="s">
        <v>291</v>
      </c>
      <c r="D9" s="228" t="s">
        <v>1240</v>
      </c>
      <c r="E9" s="228" t="s">
        <v>1244</v>
      </c>
      <c r="F9" s="229">
        <v>50</v>
      </c>
      <c r="G9" s="229">
        <v>50</v>
      </c>
      <c r="H9" s="229"/>
      <c r="I9" s="229"/>
      <c r="J9" s="229">
        <f t="shared" si="1"/>
        <v>-50</v>
      </c>
      <c r="K9" s="229">
        <v>-50</v>
      </c>
      <c r="L9" s="229"/>
      <c r="M9" s="229"/>
      <c r="N9" s="229">
        <f t="shared" si="2"/>
        <v>0</v>
      </c>
      <c r="O9" s="229">
        <f t="shared" si="3"/>
        <v>0</v>
      </c>
      <c r="P9" s="229">
        <f t="shared" si="4"/>
        <v>0</v>
      </c>
      <c r="Q9" s="229">
        <f t="shared" si="5"/>
        <v>0</v>
      </c>
      <c r="R9" s="229">
        <v>50</v>
      </c>
      <c r="S9" s="229">
        <v>10</v>
      </c>
      <c r="T9" s="228"/>
      <c r="U9" s="228" t="s">
        <v>1245</v>
      </c>
      <c r="V9" s="235"/>
      <c r="W9" s="236"/>
    </row>
    <row r="10" ht="27" spans="1:23">
      <c r="A10" s="221">
        <v>6</v>
      </c>
      <c r="B10" s="227" t="s">
        <v>290</v>
      </c>
      <c r="C10" s="228" t="s">
        <v>291</v>
      </c>
      <c r="D10" s="228" t="s">
        <v>1240</v>
      </c>
      <c r="E10" s="228" t="s">
        <v>1246</v>
      </c>
      <c r="F10" s="229">
        <v>1000</v>
      </c>
      <c r="G10" s="229">
        <v>1000</v>
      </c>
      <c r="H10" s="229"/>
      <c r="I10" s="229"/>
      <c r="J10" s="229">
        <f t="shared" si="1"/>
        <v>-1000</v>
      </c>
      <c r="K10" s="229">
        <f>-800-200</f>
        <v>-1000</v>
      </c>
      <c r="L10" s="229"/>
      <c r="M10" s="229"/>
      <c r="N10" s="229">
        <f t="shared" si="2"/>
        <v>0</v>
      </c>
      <c r="O10" s="229">
        <f t="shared" si="3"/>
        <v>0</v>
      </c>
      <c r="P10" s="229">
        <f t="shared" si="4"/>
        <v>0</v>
      </c>
      <c r="Q10" s="229">
        <f t="shared" si="5"/>
        <v>0</v>
      </c>
      <c r="R10" s="229">
        <v>200</v>
      </c>
      <c r="S10" s="229">
        <v>78</v>
      </c>
      <c r="T10" s="228"/>
      <c r="U10" s="228" t="s">
        <v>1247</v>
      </c>
      <c r="V10" s="235">
        <v>-800</v>
      </c>
      <c r="W10" s="236"/>
    </row>
    <row r="11" ht="27" spans="1:23">
      <c r="A11" s="221">
        <v>7</v>
      </c>
      <c r="B11" s="227" t="s">
        <v>290</v>
      </c>
      <c r="C11" s="228" t="s">
        <v>291</v>
      </c>
      <c r="D11" s="228" t="s">
        <v>1248</v>
      </c>
      <c r="E11" s="35" t="s">
        <v>1249</v>
      </c>
      <c r="F11" s="229"/>
      <c r="G11" s="229"/>
      <c r="H11" s="229"/>
      <c r="I11" s="229"/>
      <c r="J11" s="229">
        <f t="shared" si="1"/>
        <v>0</v>
      </c>
      <c r="K11" s="229"/>
      <c r="L11" s="229"/>
      <c r="M11" s="229"/>
      <c r="N11" s="229">
        <f t="shared" si="2"/>
        <v>0</v>
      </c>
      <c r="O11" s="229">
        <f t="shared" si="3"/>
        <v>0</v>
      </c>
      <c r="P11" s="229">
        <f t="shared" si="4"/>
        <v>0</v>
      </c>
      <c r="Q11" s="229">
        <f t="shared" si="5"/>
        <v>0</v>
      </c>
      <c r="R11" s="229">
        <v>1.63</v>
      </c>
      <c r="S11" s="229"/>
      <c r="T11" s="228" t="s">
        <v>1250</v>
      </c>
      <c r="U11" s="228"/>
      <c r="V11" s="235"/>
      <c r="W11" s="236"/>
    </row>
    <row r="12" ht="35" customHeight="1" spans="1:23">
      <c r="A12" s="221">
        <v>8</v>
      </c>
      <c r="B12" s="227" t="s">
        <v>290</v>
      </c>
      <c r="C12" s="228" t="s">
        <v>293</v>
      </c>
      <c r="D12" s="228" t="s">
        <v>1240</v>
      </c>
      <c r="E12" s="35" t="s">
        <v>1251</v>
      </c>
      <c r="F12" s="229"/>
      <c r="G12" s="229"/>
      <c r="H12" s="229"/>
      <c r="I12" s="229"/>
      <c r="J12" s="229"/>
      <c r="K12" s="229"/>
      <c r="L12" s="229"/>
      <c r="M12" s="229"/>
      <c r="N12" s="229"/>
      <c r="O12" s="229"/>
      <c r="P12" s="229"/>
      <c r="Q12" s="229"/>
      <c r="R12" s="229">
        <v>10</v>
      </c>
      <c r="S12" s="229"/>
      <c r="T12" s="228" t="s">
        <v>1252</v>
      </c>
      <c r="U12" s="228"/>
      <c r="V12" s="235"/>
      <c r="W12" s="236"/>
    </row>
    <row r="13" ht="27" spans="1:23">
      <c r="A13" s="221">
        <v>9</v>
      </c>
      <c r="B13" s="227" t="s">
        <v>195</v>
      </c>
      <c r="C13" s="228" t="s">
        <v>299</v>
      </c>
      <c r="D13" s="228" t="s">
        <v>1253</v>
      </c>
      <c r="E13" s="35" t="s">
        <v>1254</v>
      </c>
      <c r="F13" s="229"/>
      <c r="G13" s="229"/>
      <c r="H13" s="229"/>
      <c r="I13" s="229"/>
      <c r="J13" s="229">
        <f t="shared" ref="J13:J22" si="6">SUM(K13:M13)</f>
        <v>0</v>
      </c>
      <c r="K13" s="229"/>
      <c r="L13" s="229"/>
      <c r="M13" s="229"/>
      <c r="N13" s="229">
        <f t="shared" ref="N13:N21" si="7">SUM(O13:Q13)</f>
        <v>0</v>
      </c>
      <c r="O13" s="229">
        <f t="shared" ref="O13:O21" si="8">G13+K13</f>
        <v>0</v>
      </c>
      <c r="P13" s="229">
        <f t="shared" ref="P13:P21" si="9">H13+L13</f>
        <v>0</v>
      </c>
      <c r="Q13" s="229">
        <f t="shared" ref="Q13:Q21" si="10">I13+M13</f>
        <v>0</v>
      </c>
      <c r="R13" s="229"/>
      <c r="S13" s="229">
        <v>85.499322</v>
      </c>
      <c r="T13" s="228"/>
      <c r="U13" s="228"/>
      <c r="V13" s="235"/>
      <c r="W13" s="236">
        <v>85.499322</v>
      </c>
    </row>
    <row r="14" ht="30" customHeight="1" spans="1:23">
      <c r="A14" s="221">
        <v>10</v>
      </c>
      <c r="B14" s="227" t="s">
        <v>195</v>
      </c>
      <c r="C14" s="228" t="s">
        <v>323</v>
      </c>
      <c r="D14" s="228" t="s">
        <v>1255</v>
      </c>
      <c r="E14" s="228" t="s">
        <v>1256</v>
      </c>
      <c r="F14" s="229">
        <v>150</v>
      </c>
      <c r="G14" s="229">
        <v>150</v>
      </c>
      <c r="H14" s="229"/>
      <c r="I14" s="229"/>
      <c r="J14" s="229">
        <f t="shared" si="6"/>
        <v>-150</v>
      </c>
      <c r="K14" s="229">
        <v>-150</v>
      </c>
      <c r="L14" s="229"/>
      <c r="M14" s="229"/>
      <c r="N14" s="229">
        <f t="shared" si="7"/>
        <v>0</v>
      </c>
      <c r="O14" s="229">
        <f t="shared" si="8"/>
        <v>0</v>
      </c>
      <c r="P14" s="229">
        <f t="shared" si="9"/>
        <v>0</v>
      </c>
      <c r="Q14" s="229">
        <f t="shared" si="10"/>
        <v>0</v>
      </c>
      <c r="R14" s="229"/>
      <c r="S14" s="229"/>
      <c r="T14" s="228"/>
      <c r="U14" s="228" t="s">
        <v>1257</v>
      </c>
      <c r="V14" s="235">
        <v>-150</v>
      </c>
      <c r="W14" s="236"/>
    </row>
    <row r="15" ht="27" spans="1:23">
      <c r="A15" s="221">
        <v>11</v>
      </c>
      <c r="B15" s="227" t="s">
        <v>208</v>
      </c>
      <c r="C15" s="228" t="s">
        <v>327</v>
      </c>
      <c r="D15" s="228" t="s">
        <v>343</v>
      </c>
      <c r="E15" s="228" t="s">
        <v>1258</v>
      </c>
      <c r="F15" s="229">
        <v>43.86</v>
      </c>
      <c r="G15" s="229"/>
      <c r="H15" s="229">
        <v>43.86</v>
      </c>
      <c r="I15" s="229"/>
      <c r="J15" s="229">
        <f t="shared" si="6"/>
        <v>-43.86</v>
      </c>
      <c r="K15" s="229">
        <v>-43.86</v>
      </c>
      <c r="L15" s="229"/>
      <c r="M15" s="229"/>
      <c r="N15" s="229">
        <f t="shared" si="7"/>
        <v>0</v>
      </c>
      <c r="O15" s="229">
        <f t="shared" si="8"/>
        <v>-43.86</v>
      </c>
      <c r="P15" s="229">
        <f t="shared" si="9"/>
        <v>43.86</v>
      </c>
      <c r="Q15" s="229">
        <f t="shared" si="10"/>
        <v>0</v>
      </c>
      <c r="R15" s="229">
        <v>43.86</v>
      </c>
      <c r="S15" s="229"/>
      <c r="T15" s="228"/>
      <c r="U15" s="228" t="s">
        <v>1259</v>
      </c>
      <c r="V15" s="235"/>
      <c r="W15" s="236"/>
    </row>
    <row r="16" ht="30" customHeight="1" spans="1:23">
      <c r="A16" s="221">
        <v>12</v>
      </c>
      <c r="B16" s="227" t="s">
        <v>208</v>
      </c>
      <c r="C16" s="228" t="s">
        <v>327</v>
      </c>
      <c r="D16" s="228" t="s">
        <v>343</v>
      </c>
      <c r="E16" s="228" t="s">
        <v>1260</v>
      </c>
      <c r="F16" s="229">
        <v>16.75</v>
      </c>
      <c r="G16" s="229">
        <v>16.75</v>
      </c>
      <c r="H16" s="229"/>
      <c r="I16" s="229"/>
      <c r="J16" s="229">
        <f t="shared" si="6"/>
        <v>-16.75</v>
      </c>
      <c r="K16" s="229">
        <v>-16.75</v>
      </c>
      <c r="L16" s="229"/>
      <c r="M16" s="229"/>
      <c r="N16" s="229">
        <f t="shared" si="7"/>
        <v>0</v>
      </c>
      <c r="O16" s="229">
        <f t="shared" si="8"/>
        <v>0</v>
      </c>
      <c r="P16" s="229">
        <f t="shared" si="9"/>
        <v>0</v>
      </c>
      <c r="Q16" s="229">
        <f t="shared" si="10"/>
        <v>0</v>
      </c>
      <c r="R16" s="229">
        <v>16.75</v>
      </c>
      <c r="S16" s="229"/>
      <c r="T16" s="228"/>
      <c r="U16" s="228" t="s">
        <v>1261</v>
      </c>
      <c r="V16" s="235"/>
      <c r="W16" s="236"/>
    </row>
    <row r="17" ht="30" customHeight="1" spans="1:23">
      <c r="A17" s="221">
        <v>13</v>
      </c>
      <c r="B17" s="227" t="s">
        <v>290</v>
      </c>
      <c r="C17" s="228" t="s">
        <v>329</v>
      </c>
      <c r="D17" s="228" t="s">
        <v>343</v>
      </c>
      <c r="E17" s="228" t="s">
        <v>1262</v>
      </c>
      <c r="F17" s="229"/>
      <c r="G17" s="229"/>
      <c r="H17" s="229"/>
      <c r="I17" s="229"/>
      <c r="J17" s="229">
        <f t="shared" si="6"/>
        <v>0</v>
      </c>
      <c r="K17" s="229"/>
      <c r="L17" s="229"/>
      <c r="M17" s="229"/>
      <c r="N17" s="229">
        <f t="shared" si="7"/>
        <v>0</v>
      </c>
      <c r="O17" s="229">
        <f t="shared" si="8"/>
        <v>0</v>
      </c>
      <c r="P17" s="229">
        <f t="shared" si="9"/>
        <v>0</v>
      </c>
      <c r="Q17" s="229">
        <f t="shared" si="10"/>
        <v>0</v>
      </c>
      <c r="R17" s="229">
        <v>3.9</v>
      </c>
      <c r="S17" s="229"/>
      <c r="T17" s="228" t="s">
        <v>1263</v>
      </c>
      <c r="U17" s="228"/>
      <c r="V17" s="235"/>
      <c r="W17" s="236"/>
    </row>
    <row r="18" ht="30" customHeight="1" spans="1:23">
      <c r="A18" s="221">
        <v>14</v>
      </c>
      <c r="B18" s="227" t="s">
        <v>290</v>
      </c>
      <c r="C18" s="228" t="s">
        <v>329</v>
      </c>
      <c r="D18" s="228" t="s">
        <v>343</v>
      </c>
      <c r="E18" s="228" t="s">
        <v>1264</v>
      </c>
      <c r="F18" s="229"/>
      <c r="G18" s="229"/>
      <c r="H18" s="229"/>
      <c r="I18" s="229"/>
      <c r="J18" s="229">
        <f t="shared" si="6"/>
        <v>0</v>
      </c>
      <c r="K18" s="229"/>
      <c r="L18" s="229"/>
      <c r="M18" s="229"/>
      <c r="N18" s="229">
        <f t="shared" si="7"/>
        <v>0</v>
      </c>
      <c r="O18" s="229">
        <f t="shared" si="8"/>
        <v>0</v>
      </c>
      <c r="P18" s="229">
        <f t="shared" si="9"/>
        <v>0</v>
      </c>
      <c r="Q18" s="229">
        <f t="shared" si="10"/>
        <v>0</v>
      </c>
      <c r="R18" s="229">
        <v>5</v>
      </c>
      <c r="S18" s="229"/>
      <c r="T18" s="228" t="s">
        <v>1265</v>
      </c>
      <c r="U18" s="228"/>
      <c r="V18" s="235"/>
      <c r="W18" s="236"/>
    </row>
    <row r="19" ht="27" spans="1:23">
      <c r="A19" s="221">
        <v>15</v>
      </c>
      <c r="B19" s="227" t="s">
        <v>195</v>
      </c>
      <c r="C19" s="228" t="s">
        <v>359</v>
      </c>
      <c r="D19" s="228" t="s">
        <v>368</v>
      </c>
      <c r="E19" s="228" t="s">
        <v>1266</v>
      </c>
      <c r="F19" s="229">
        <v>3</v>
      </c>
      <c r="G19" s="229"/>
      <c r="H19" s="229">
        <v>3</v>
      </c>
      <c r="I19" s="229"/>
      <c r="J19" s="229">
        <f t="shared" si="6"/>
        <v>-3</v>
      </c>
      <c r="K19" s="229"/>
      <c r="L19" s="229">
        <v>-3</v>
      </c>
      <c r="M19" s="229"/>
      <c r="N19" s="229">
        <f t="shared" si="7"/>
        <v>0</v>
      </c>
      <c r="O19" s="229">
        <f t="shared" si="8"/>
        <v>0</v>
      </c>
      <c r="P19" s="229">
        <f t="shared" si="9"/>
        <v>0</v>
      </c>
      <c r="Q19" s="229">
        <f t="shared" si="10"/>
        <v>0</v>
      </c>
      <c r="R19" s="229">
        <v>3</v>
      </c>
      <c r="S19" s="229">
        <v>1.5</v>
      </c>
      <c r="T19" s="228"/>
      <c r="U19" s="228" t="s">
        <v>1267</v>
      </c>
      <c r="V19" s="235"/>
      <c r="W19" s="236"/>
    </row>
    <row r="20" ht="27" spans="1:23">
      <c r="A20" s="221">
        <v>16</v>
      </c>
      <c r="B20" s="227" t="s">
        <v>195</v>
      </c>
      <c r="C20" s="228" t="s">
        <v>369</v>
      </c>
      <c r="D20" s="228" t="s">
        <v>370</v>
      </c>
      <c r="E20" s="228" t="s">
        <v>1268</v>
      </c>
      <c r="F20" s="229"/>
      <c r="G20" s="229"/>
      <c r="H20" s="229"/>
      <c r="I20" s="229"/>
      <c r="J20" s="229">
        <f t="shared" si="6"/>
        <v>0</v>
      </c>
      <c r="K20" s="229"/>
      <c r="L20" s="229"/>
      <c r="M20" s="229"/>
      <c r="N20" s="229">
        <f t="shared" si="7"/>
        <v>0</v>
      </c>
      <c r="O20" s="229">
        <f t="shared" si="8"/>
        <v>0</v>
      </c>
      <c r="P20" s="229">
        <f t="shared" si="9"/>
        <v>0</v>
      </c>
      <c r="Q20" s="229">
        <f t="shared" si="10"/>
        <v>0</v>
      </c>
      <c r="R20" s="229"/>
      <c r="S20" s="229">
        <v>100</v>
      </c>
      <c r="T20" s="228"/>
      <c r="U20" s="228"/>
      <c r="V20" s="235"/>
      <c r="W20" s="236">
        <v>100</v>
      </c>
    </row>
    <row r="21" ht="27" spans="1:23">
      <c r="A21" s="221">
        <v>17</v>
      </c>
      <c r="B21" s="227" t="s">
        <v>195</v>
      </c>
      <c r="C21" s="228" t="s">
        <v>369</v>
      </c>
      <c r="D21" s="228" t="s">
        <v>1269</v>
      </c>
      <c r="E21" s="228" t="s">
        <v>1270</v>
      </c>
      <c r="F21" s="229"/>
      <c r="G21" s="229"/>
      <c r="H21" s="229"/>
      <c r="I21" s="229"/>
      <c r="J21" s="229">
        <f t="shared" si="6"/>
        <v>0</v>
      </c>
      <c r="K21" s="229"/>
      <c r="L21" s="229"/>
      <c r="M21" s="229"/>
      <c r="N21" s="229">
        <f t="shared" si="7"/>
        <v>0</v>
      </c>
      <c r="O21" s="229">
        <f t="shared" si="8"/>
        <v>0</v>
      </c>
      <c r="P21" s="229">
        <f t="shared" si="9"/>
        <v>0</v>
      </c>
      <c r="Q21" s="229">
        <f t="shared" si="10"/>
        <v>0</v>
      </c>
      <c r="R21" s="229"/>
      <c r="S21" s="229">
        <v>102</v>
      </c>
      <c r="T21" s="228"/>
      <c r="U21" s="228"/>
      <c r="V21" s="235"/>
      <c r="W21" s="236">
        <v>102</v>
      </c>
    </row>
    <row r="22" ht="27" spans="1:23">
      <c r="A22" s="221">
        <v>18</v>
      </c>
      <c r="B22" s="227" t="s">
        <v>195</v>
      </c>
      <c r="C22" s="228" t="s">
        <v>369</v>
      </c>
      <c r="D22" s="228" t="s">
        <v>1269</v>
      </c>
      <c r="E22" s="228" t="s">
        <v>1271</v>
      </c>
      <c r="F22" s="229">
        <v>230</v>
      </c>
      <c r="G22" s="229">
        <v>230</v>
      </c>
      <c r="H22" s="229"/>
      <c r="I22" s="229"/>
      <c r="J22" s="229">
        <f t="shared" si="6"/>
        <v>-230</v>
      </c>
      <c r="K22" s="229">
        <v>-230</v>
      </c>
      <c r="L22" s="229"/>
      <c r="M22" s="229"/>
      <c r="N22" s="229">
        <f t="shared" ref="N22:N34" si="11">SUM(O22:Q22)</f>
        <v>0</v>
      </c>
      <c r="O22" s="229">
        <f t="shared" ref="O22:O32" si="12">G22+K22</f>
        <v>0</v>
      </c>
      <c r="P22" s="229">
        <f t="shared" ref="P22:P32" si="13">H22+L22</f>
        <v>0</v>
      </c>
      <c r="Q22" s="229">
        <f t="shared" ref="Q22:Q32" si="14">I22+M22</f>
        <v>0</v>
      </c>
      <c r="R22" s="229">
        <v>230</v>
      </c>
      <c r="S22" s="229"/>
      <c r="T22" s="228"/>
      <c r="U22" s="228" t="s">
        <v>1272</v>
      </c>
      <c r="V22" s="235"/>
      <c r="W22" s="236"/>
    </row>
    <row r="23" ht="27" spans="1:23">
      <c r="A23" s="221">
        <v>19</v>
      </c>
      <c r="B23" s="227" t="s">
        <v>195</v>
      </c>
      <c r="C23" s="228" t="s">
        <v>384</v>
      </c>
      <c r="D23" s="228" t="s">
        <v>1273</v>
      </c>
      <c r="E23" s="228" t="s">
        <v>1274</v>
      </c>
      <c r="F23" s="229">
        <v>70</v>
      </c>
      <c r="G23" s="229"/>
      <c r="H23" s="229">
        <v>70</v>
      </c>
      <c r="I23" s="229"/>
      <c r="J23" s="229">
        <f t="shared" ref="J23:J34" si="15">SUM(K23:M23)</f>
        <v>-70</v>
      </c>
      <c r="K23" s="229"/>
      <c r="L23" s="229">
        <v>-70</v>
      </c>
      <c r="M23" s="229"/>
      <c r="N23" s="229">
        <f t="shared" si="11"/>
        <v>0</v>
      </c>
      <c r="O23" s="229">
        <f t="shared" si="12"/>
        <v>0</v>
      </c>
      <c r="P23" s="229">
        <f t="shared" si="13"/>
        <v>0</v>
      </c>
      <c r="Q23" s="229">
        <f t="shared" si="14"/>
        <v>0</v>
      </c>
      <c r="R23" s="229">
        <v>70</v>
      </c>
      <c r="S23" s="229">
        <v>68.814</v>
      </c>
      <c r="T23" s="228"/>
      <c r="U23" s="228" t="s">
        <v>1275</v>
      </c>
      <c r="V23" s="235"/>
      <c r="W23" s="236"/>
    </row>
    <row r="24" ht="27" spans="1:23">
      <c r="A24" s="221">
        <v>20</v>
      </c>
      <c r="B24" s="227" t="s">
        <v>195</v>
      </c>
      <c r="C24" s="228" t="s">
        <v>384</v>
      </c>
      <c r="D24" s="228" t="s">
        <v>1273</v>
      </c>
      <c r="E24" s="228" t="s">
        <v>1276</v>
      </c>
      <c r="F24" s="229">
        <v>149</v>
      </c>
      <c r="G24" s="229">
        <v>149</v>
      </c>
      <c r="H24" s="229"/>
      <c r="I24" s="229"/>
      <c r="J24" s="229">
        <f t="shared" si="15"/>
        <v>-149</v>
      </c>
      <c r="K24" s="229">
        <v>-149</v>
      </c>
      <c r="L24" s="229"/>
      <c r="M24" s="229"/>
      <c r="N24" s="229">
        <f t="shared" si="11"/>
        <v>0</v>
      </c>
      <c r="O24" s="229">
        <f t="shared" si="12"/>
        <v>0</v>
      </c>
      <c r="P24" s="229">
        <f t="shared" si="13"/>
        <v>0</v>
      </c>
      <c r="Q24" s="229">
        <f t="shared" si="14"/>
        <v>0</v>
      </c>
      <c r="R24" s="229">
        <v>49</v>
      </c>
      <c r="S24" s="229"/>
      <c r="T24" s="228"/>
      <c r="U24" s="228" t="s">
        <v>1277</v>
      </c>
      <c r="V24" s="235">
        <v>-100</v>
      </c>
      <c r="W24" s="236"/>
    </row>
    <row r="25" ht="27" spans="1:23">
      <c r="A25" s="221">
        <v>21</v>
      </c>
      <c r="B25" s="227" t="s">
        <v>195</v>
      </c>
      <c r="C25" s="228" t="s">
        <v>384</v>
      </c>
      <c r="D25" s="228" t="s">
        <v>1273</v>
      </c>
      <c r="E25" s="228" t="s">
        <v>1278</v>
      </c>
      <c r="F25" s="229">
        <v>15</v>
      </c>
      <c r="G25" s="229"/>
      <c r="H25" s="229">
        <v>15</v>
      </c>
      <c r="I25" s="229"/>
      <c r="J25" s="229">
        <f t="shared" si="15"/>
        <v>-15</v>
      </c>
      <c r="K25" s="229"/>
      <c r="L25" s="229">
        <v>-15</v>
      </c>
      <c r="M25" s="229"/>
      <c r="N25" s="229">
        <f t="shared" si="11"/>
        <v>0</v>
      </c>
      <c r="O25" s="229">
        <f t="shared" si="12"/>
        <v>0</v>
      </c>
      <c r="P25" s="229">
        <f t="shared" si="13"/>
        <v>0</v>
      </c>
      <c r="Q25" s="229">
        <f t="shared" si="14"/>
        <v>0</v>
      </c>
      <c r="R25" s="229">
        <v>15</v>
      </c>
      <c r="S25" s="229"/>
      <c r="T25" s="228"/>
      <c r="U25" s="228" t="s">
        <v>1279</v>
      </c>
      <c r="V25" s="235"/>
      <c r="W25" s="236"/>
    </row>
    <row r="26" ht="27" spans="1:23">
      <c r="A26" s="221">
        <v>22</v>
      </c>
      <c r="B26" s="227" t="s">
        <v>195</v>
      </c>
      <c r="C26" s="228" t="s">
        <v>384</v>
      </c>
      <c r="D26" s="228" t="s">
        <v>1273</v>
      </c>
      <c r="E26" s="228" t="s">
        <v>1280</v>
      </c>
      <c r="F26" s="229">
        <v>1200</v>
      </c>
      <c r="G26" s="229"/>
      <c r="H26" s="229">
        <v>1200</v>
      </c>
      <c r="I26" s="229"/>
      <c r="J26" s="229">
        <f t="shared" si="15"/>
        <v>-1200</v>
      </c>
      <c r="K26" s="229"/>
      <c r="L26" s="229">
        <v>-1200</v>
      </c>
      <c r="M26" s="229"/>
      <c r="N26" s="229">
        <f t="shared" si="11"/>
        <v>0</v>
      </c>
      <c r="O26" s="229">
        <f t="shared" si="12"/>
        <v>0</v>
      </c>
      <c r="P26" s="229">
        <f t="shared" si="13"/>
        <v>0</v>
      </c>
      <c r="Q26" s="229">
        <f t="shared" si="14"/>
        <v>0</v>
      </c>
      <c r="R26" s="229">
        <v>1000</v>
      </c>
      <c r="S26" s="229">
        <v>100</v>
      </c>
      <c r="T26" s="228"/>
      <c r="U26" s="228" t="s">
        <v>1281</v>
      </c>
      <c r="V26" s="235">
        <v>-200</v>
      </c>
      <c r="W26" s="236"/>
    </row>
    <row r="27" ht="27" spans="1:23">
      <c r="A27" s="221">
        <v>23</v>
      </c>
      <c r="B27" s="227" t="s">
        <v>195</v>
      </c>
      <c r="C27" s="228" t="s">
        <v>390</v>
      </c>
      <c r="D27" s="228" t="s">
        <v>391</v>
      </c>
      <c r="E27" s="228" t="s">
        <v>1282</v>
      </c>
      <c r="F27" s="229">
        <v>40</v>
      </c>
      <c r="G27" s="229">
        <v>40</v>
      </c>
      <c r="H27" s="229"/>
      <c r="I27" s="229"/>
      <c r="J27" s="229">
        <f t="shared" si="15"/>
        <v>-40</v>
      </c>
      <c r="K27" s="229">
        <v>-40</v>
      </c>
      <c r="L27" s="229"/>
      <c r="M27" s="229"/>
      <c r="N27" s="229">
        <f t="shared" si="11"/>
        <v>0</v>
      </c>
      <c r="O27" s="229">
        <f t="shared" si="12"/>
        <v>0</v>
      </c>
      <c r="P27" s="229">
        <f t="shared" si="13"/>
        <v>0</v>
      </c>
      <c r="Q27" s="229">
        <f t="shared" si="14"/>
        <v>0</v>
      </c>
      <c r="R27" s="229"/>
      <c r="S27" s="229"/>
      <c r="T27" s="228" t="s">
        <v>1283</v>
      </c>
      <c r="U27" s="228" t="s">
        <v>1282</v>
      </c>
      <c r="V27" s="235"/>
      <c r="W27" s="236"/>
    </row>
    <row r="28" ht="40.5" spans="1:23">
      <c r="A28" s="221">
        <v>24</v>
      </c>
      <c r="B28" s="227" t="s">
        <v>195</v>
      </c>
      <c r="C28" s="228" t="s">
        <v>390</v>
      </c>
      <c r="D28" s="228" t="s">
        <v>391</v>
      </c>
      <c r="E28" s="228" t="s">
        <v>1284</v>
      </c>
      <c r="F28" s="229">
        <v>20</v>
      </c>
      <c r="G28" s="229">
        <v>20</v>
      </c>
      <c r="H28" s="229"/>
      <c r="I28" s="229"/>
      <c r="J28" s="229">
        <f t="shared" si="15"/>
        <v>-20</v>
      </c>
      <c r="K28" s="229">
        <v>-20</v>
      </c>
      <c r="L28" s="229"/>
      <c r="M28" s="229"/>
      <c r="N28" s="229">
        <f t="shared" si="11"/>
        <v>0</v>
      </c>
      <c r="O28" s="229">
        <f t="shared" si="12"/>
        <v>0</v>
      </c>
      <c r="P28" s="229">
        <f t="shared" si="13"/>
        <v>0</v>
      </c>
      <c r="Q28" s="229">
        <f t="shared" si="14"/>
        <v>0</v>
      </c>
      <c r="R28" s="229"/>
      <c r="S28" s="229"/>
      <c r="T28" s="228" t="s">
        <v>1283</v>
      </c>
      <c r="U28" s="228" t="s">
        <v>1285</v>
      </c>
      <c r="V28" s="235"/>
      <c r="W28" s="236"/>
    </row>
    <row r="29" s="203" customFormat="1" ht="27" spans="1:23">
      <c r="A29" s="221">
        <v>25</v>
      </c>
      <c r="B29" s="227" t="s">
        <v>195</v>
      </c>
      <c r="C29" s="228" t="s">
        <v>390</v>
      </c>
      <c r="D29" s="228" t="s">
        <v>391</v>
      </c>
      <c r="E29" s="228" t="s">
        <v>1286</v>
      </c>
      <c r="F29" s="229">
        <v>50</v>
      </c>
      <c r="G29" s="229">
        <v>50</v>
      </c>
      <c r="H29" s="229"/>
      <c r="I29" s="229"/>
      <c r="J29" s="229">
        <f t="shared" si="15"/>
        <v>-50</v>
      </c>
      <c r="K29" s="229">
        <v>-50</v>
      </c>
      <c r="L29" s="229"/>
      <c r="M29" s="229"/>
      <c r="N29" s="229">
        <f t="shared" si="11"/>
        <v>0</v>
      </c>
      <c r="O29" s="229">
        <f t="shared" si="12"/>
        <v>0</v>
      </c>
      <c r="P29" s="229">
        <f t="shared" si="13"/>
        <v>0</v>
      </c>
      <c r="Q29" s="229">
        <f t="shared" si="14"/>
        <v>0</v>
      </c>
      <c r="R29" s="229"/>
      <c r="S29" s="229"/>
      <c r="T29" s="228" t="s">
        <v>1283</v>
      </c>
      <c r="U29" s="237" t="s">
        <v>1287</v>
      </c>
      <c r="V29" s="228"/>
      <c r="W29" s="238"/>
    </row>
    <row r="30" ht="27" spans="1:23">
      <c r="A30" s="221">
        <v>26</v>
      </c>
      <c r="B30" s="227" t="s">
        <v>195</v>
      </c>
      <c r="C30" s="228" t="s">
        <v>390</v>
      </c>
      <c r="D30" s="228" t="s">
        <v>391</v>
      </c>
      <c r="E30" s="228" t="s">
        <v>1288</v>
      </c>
      <c r="F30" s="229">
        <v>5</v>
      </c>
      <c r="G30" s="229">
        <v>5</v>
      </c>
      <c r="H30" s="229"/>
      <c r="I30" s="229"/>
      <c r="J30" s="229">
        <f t="shared" si="15"/>
        <v>-5</v>
      </c>
      <c r="K30" s="229">
        <v>-5</v>
      </c>
      <c r="L30" s="229"/>
      <c r="M30" s="229"/>
      <c r="N30" s="229">
        <f t="shared" si="11"/>
        <v>0</v>
      </c>
      <c r="O30" s="229">
        <f t="shared" si="12"/>
        <v>0</v>
      </c>
      <c r="P30" s="229">
        <f t="shared" si="13"/>
        <v>0</v>
      </c>
      <c r="Q30" s="229">
        <f t="shared" si="14"/>
        <v>0</v>
      </c>
      <c r="R30" s="229"/>
      <c r="S30" s="229"/>
      <c r="T30" s="228" t="s">
        <v>1283</v>
      </c>
      <c r="U30" s="228" t="s">
        <v>1289</v>
      </c>
      <c r="V30" s="235"/>
      <c r="W30" s="236"/>
    </row>
    <row r="31" ht="27" spans="1:23">
      <c r="A31" s="221">
        <v>27</v>
      </c>
      <c r="B31" s="227" t="s">
        <v>195</v>
      </c>
      <c r="C31" s="228" t="s">
        <v>536</v>
      </c>
      <c r="D31" s="228" t="s">
        <v>1047</v>
      </c>
      <c r="E31" s="228" t="s">
        <v>1290</v>
      </c>
      <c r="F31" s="229">
        <v>200</v>
      </c>
      <c r="G31" s="229">
        <v>200</v>
      </c>
      <c r="H31" s="229"/>
      <c r="I31" s="229"/>
      <c r="J31" s="229">
        <f t="shared" si="15"/>
        <v>-200</v>
      </c>
      <c r="K31" s="229">
        <f>-100-100</f>
        <v>-200</v>
      </c>
      <c r="L31" s="229"/>
      <c r="M31" s="229"/>
      <c r="N31" s="229">
        <f t="shared" si="11"/>
        <v>0</v>
      </c>
      <c r="O31" s="229">
        <f t="shared" si="12"/>
        <v>0</v>
      </c>
      <c r="P31" s="229">
        <f t="shared" si="13"/>
        <v>0</v>
      </c>
      <c r="Q31" s="229">
        <f t="shared" si="14"/>
        <v>0</v>
      </c>
      <c r="R31" s="229">
        <v>100</v>
      </c>
      <c r="S31" s="229"/>
      <c r="T31" s="228"/>
      <c r="U31" s="228" t="s">
        <v>1290</v>
      </c>
      <c r="V31" s="235">
        <v>-100</v>
      </c>
      <c r="W31" s="236"/>
    </row>
    <row r="32" ht="27" spans="1:23">
      <c r="A32" s="221">
        <v>28</v>
      </c>
      <c r="B32" s="227" t="s">
        <v>195</v>
      </c>
      <c r="C32" s="228" t="s">
        <v>1291</v>
      </c>
      <c r="D32" s="228" t="s">
        <v>1047</v>
      </c>
      <c r="E32" s="228" t="s">
        <v>1292</v>
      </c>
      <c r="F32" s="229"/>
      <c r="G32" s="229"/>
      <c r="H32" s="229"/>
      <c r="I32" s="229"/>
      <c r="J32" s="229">
        <f t="shared" si="15"/>
        <v>0</v>
      </c>
      <c r="K32" s="229"/>
      <c r="L32" s="229"/>
      <c r="M32" s="229"/>
      <c r="N32" s="229">
        <f t="shared" si="11"/>
        <v>0</v>
      </c>
      <c r="O32" s="229">
        <f t="shared" si="12"/>
        <v>0</v>
      </c>
      <c r="P32" s="229">
        <f t="shared" si="13"/>
        <v>0</v>
      </c>
      <c r="Q32" s="229">
        <f t="shared" si="14"/>
        <v>0</v>
      </c>
      <c r="R32" s="229">
        <v>99.24</v>
      </c>
      <c r="S32" s="229"/>
      <c r="T32" s="228" t="s">
        <v>1293</v>
      </c>
      <c r="U32" s="228"/>
      <c r="V32" s="235"/>
      <c r="W32" s="236"/>
    </row>
    <row r="33" ht="27" spans="1:24">
      <c r="A33" s="221">
        <v>29</v>
      </c>
      <c r="B33" s="227" t="s">
        <v>195</v>
      </c>
      <c r="C33" s="228" t="s">
        <v>394</v>
      </c>
      <c r="D33" s="228" t="s">
        <v>395</v>
      </c>
      <c r="E33" s="228" t="s">
        <v>1294</v>
      </c>
      <c r="F33" s="229"/>
      <c r="G33" s="229"/>
      <c r="H33" s="229"/>
      <c r="I33" s="229"/>
      <c r="J33" s="229">
        <f t="shared" si="15"/>
        <v>0</v>
      </c>
      <c r="K33" s="229"/>
      <c r="L33" s="229"/>
      <c r="M33" s="229"/>
      <c r="N33" s="229">
        <f t="shared" si="11"/>
        <v>0</v>
      </c>
      <c r="O33" s="229">
        <f t="shared" ref="O33:Q33" si="16">G33+K33</f>
        <v>0</v>
      </c>
      <c r="P33" s="229">
        <f t="shared" si="16"/>
        <v>0</v>
      </c>
      <c r="Q33" s="229">
        <f t="shared" si="16"/>
        <v>0</v>
      </c>
      <c r="R33" s="229">
        <v>0.3</v>
      </c>
      <c r="S33" s="229">
        <v>0.3</v>
      </c>
      <c r="T33" s="228" t="s">
        <v>1295</v>
      </c>
      <c r="U33" s="228"/>
      <c r="V33" s="235"/>
      <c r="W33" s="236"/>
      <c r="X33" s="210">
        <v>0.3</v>
      </c>
    </row>
    <row r="34" ht="27" spans="1:23">
      <c r="A34" s="221">
        <v>30</v>
      </c>
      <c r="B34" s="227" t="s">
        <v>195</v>
      </c>
      <c r="C34" s="228" t="s">
        <v>415</v>
      </c>
      <c r="D34" s="228" t="s">
        <v>1296</v>
      </c>
      <c r="E34" s="228" t="s">
        <v>1297</v>
      </c>
      <c r="F34" s="229">
        <v>120</v>
      </c>
      <c r="G34" s="229"/>
      <c r="H34" s="229">
        <v>120</v>
      </c>
      <c r="I34" s="229"/>
      <c r="J34" s="229">
        <f t="shared" si="15"/>
        <v>-120</v>
      </c>
      <c r="K34" s="229"/>
      <c r="L34" s="229">
        <v>-120</v>
      </c>
      <c r="M34" s="229"/>
      <c r="N34" s="229">
        <f t="shared" si="11"/>
        <v>0</v>
      </c>
      <c r="O34" s="229">
        <f>G34+K34</f>
        <v>0</v>
      </c>
      <c r="P34" s="229">
        <f>H34+L34</f>
        <v>0</v>
      </c>
      <c r="Q34" s="229">
        <f>I34+M34</f>
        <v>0</v>
      </c>
      <c r="R34" s="229">
        <v>120</v>
      </c>
      <c r="S34" s="229">
        <v>60</v>
      </c>
      <c r="T34" s="228"/>
      <c r="U34" s="228" t="s">
        <v>1298</v>
      </c>
      <c r="V34" s="235"/>
      <c r="W34" s="236"/>
    </row>
    <row r="35" ht="21" customHeight="1" spans="1:23">
      <c r="A35" s="221">
        <v>31</v>
      </c>
      <c r="B35" s="222"/>
      <c r="C35" s="223"/>
      <c r="D35" s="224" t="s">
        <v>1299</v>
      </c>
      <c r="E35" s="225"/>
      <c r="F35" s="226">
        <f>SUM(F36:F38)</f>
        <v>1020</v>
      </c>
      <c r="G35" s="226">
        <f t="shared" ref="G35:R35" si="17">SUM(G36:G38)</f>
        <v>20</v>
      </c>
      <c r="H35" s="226">
        <f t="shared" si="17"/>
        <v>1000</v>
      </c>
      <c r="I35" s="226">
        <f t="shared" si="17"/>
        <v>0</v>
      </c>
      <c r="J35" s="226">
        <f t="shared" si="17"/>
        <v>-1000</v>
      </c>
      <c r="K35" s="226">
        <f t="shared" si="17"/>
        <v>0</v>
      </c>
      <c r="L35" s="226">
        <f t="shared" si="17"/>
        <v>-1000</v>
      </c>
      <c r="M35" s="226">
        <f t="shared" si="17"/>
        <v>0</v>
      </c>
      <c r="N35" s="226">
        <f t="shared" si="17"/>
        <v>20</v>
      </c>
      <c r="O35" s="226">
        <f t="shared" si="17"/>
        <v>20</v>
      </c>
      <c r="P35" s="226">
        <f t="shared" si="17"/>
        <v>0</v>
      </c>
      <c r="Q35" s="226">
        <f t="shared" si="17"/>
        <v>0</v>
      </c>
      <c r="R35" s="226">
        <f t="shared" si="17"/>
        <v>0</v>
      </c>
      <c r="S35" s="226"/>
      <c r="T35" s="239"/>
      <c r="U35" s="228"/>
      <c r="V35" s="235"/>
      <c r="W35" s="236"/>
    </row>
    <row r="36" ht="27" spans="1:23">
      <c r="A36" s="221">
        <v>32</v>
      </c>
      <c r="B36" s="227" t="s">
        <v>195</v>
      </c>
      <c r="C36" s="228" t="s">
        <v>374</v>
      </c>
      <c r="D36" s="228" t="s">
        <v>1300</v>
      </c>
      <c r="E36" s="228" t="s">
        <v>1301</v>
      </c>
      <c r="F36" s="229">
        <v>20</v>
      </c>
      <c r="G36" s="229">
        <v>20</v>
      </c>
      <c r="H36" s="229"/>
      <c r="I36" s="229"/>
      <c r="J36" s="229">
        <f>SUM(K36:M36)</f>
        <v>0</v>
      </c>
      <c r="K36" s="229"/>
      <c r="L36" s="229"/>
      <c r="M36" s="229"/>
      <c r="N36" s="229">
        <f>SUM(O36:Q36)</f>
        <v>20</v>
      </c>
      <c r="O36" s="229">
        <f t="shared" ref="O36:Q36" si="18">G36+K36</f>
        <v>20</v>
      </c>
      <c r="P36" s="229">
        <f t="shared" si="18"/>
        <v>0</v>
      </c>
      <c r="Q36" s="229">
        <f t="shared" si="18"/>
        <v>0</v>
      </c>
      <c r="R36" s="229"/>
      <c r="S36" s="229"/>
      <c r="T36" s="228"/>
      <c r="U36" s="228" t="s">
        <v>1301</v>
      </c>
      <c r="V36" s="235"/>
      <c r="W36" s="236"/>
    </row>
    <row r="37" ht="27" spans="1:23">
      <c r="A37" s="221">
        <v>33</v>
      </c>
      <c r="B37" s="227" t="s">
        <v>195</v>
      </c>
      <c r="C37" s="228" t="s">
        <v>374</v>
      </c>
      <c r="D37" s="228" t="s">
        <v>434</v>
      </c>
      <c r="E37" s="228" t="s">
        <v>1302</v>
      </c>
      <c r="F37" s="229">
        <v>1000</v>
      </c>
      <c r="G37" s="229"/>
      <c r="H37" s="229">
        <v>1000</v>
      </c>
      <c r="I37" s="229"/>
      <c r="J37" s="229">
        <f>SUM(K37:M37)</f>
        <v>-1000</v>
      </c>
      <c r="K37" s="229"/>
      <c r="L37" s="229">
        <f>-1000</f>
        <v>-1000</v>
      </c>
      <c r="M37" s="229"/>
      <c r="N37" s="229">
        <f>SUM(O37:Q37)</f>
        <v>0</v>
      </c>
      <c r="O37" s="229">
        <f t="shared" ref="O37:Q37" si="19">G37+K37</f>
        <v>0</v>
      </c>
      <c r="P37" s="229">
        <f t="shared" si="19"/>
        <v>0</v>
      </c>
      <c r="Q37" s="229">
        <f t="shared" si="19"/>
        <v>0</v>
      </c>
      <c r="R37" s="229"/>
      <c r="S37" s="229">
        <v>939.939599</v>
      </c>
      <c r="T37" s="228"/>
      <c r="U37" s="228" t="s">
        <v>1303</v>
      </c>
      <c r="V37" s="235">
        <v>-1000</v>
      </c>
      <c r="W37" s="236">
        <v>939.939599</v>
      </c>
    </row>
    <row r="38" ht="27" spans="1:23">
      <c r="A38" s="221">
        <v>34</v>
      </c>
      <c r="B38" s="227" t="s">
        <v>195</v>
      </c>
      <c r="C38" s="228" t="s">
        <v>374</v>
      </c>
      <c r="D38" s="228" t="s">
        <v>434</v>
      </c>
      <c r="E38" s="228" t="s">
        <v>1304</v>
      </c>
      <c r="F38" s="229"/>
      <c r="G38" s="229"/>
      <c r="H38" s="229"/>
      <c r="I38" s="229"/>
      <c r="J38" s="229">
        <f>SUM(K38:M38)</f>
        <v>0</v>
      </c>
      <c r="K38" s="229"/>
      <c r="L38" s="229"/>
      <c r="M38" s="229"/>
      <c r="N38" s="229">
        <f>SUM(O38:Q38)</f>
        <v>0</v>
      </c>
      <c r="O38" s="229">
        <f>G38+K38</f>
        <v>0</v>
      </c>
      <c r="P38" s="229">
        <f>H38+L38</f>
        <v>0</v>
      </c>
      <c r="Q38" s="229">
        <f>I38+M38</f>
        <v>0</v>
      </c>
      <c r="R38" s="229"/>
      <c r="S38" s="229">
        <v>29.574719</v>
      </c>
      <c r="T38" s="228"/>
      <c r="U38" s="228"/>
      <c r="V38" s="235"/>
      <c r="W38" s="236">
        <v>29.574719</v>
      </c>
    </row>
    <row r="39" ht="21" customHeight="1" spans="1:23">
      <c r="A39" s="221">
        <v>35</v>
      </c>
      <c r="B39" s="222"/>
      <c r="C39" s="223"/>
      <c r="D39" s="224" t="s">
        <v>1305</v>
      </c>
      <c r="E39" s="225"/>
      <c r="F39" s="226">
        <f>SUM(F40:F62)</f>
        <v>2492.665</v>
      </c>
      <c r="G39" s="226">
        <f>SUM(G40:G62)</f>
        <v>1553.55</v>
      </c>
      <c r="H39" s="226">
        <f>SUM(H40:H62)</f>
        <v>939.115</v>
      </c>
      <c r="I39" s="226">
        <f>SUM(I40:I62)</f>
        <v>0</v>
      </c>
      <c r="J39" s="226">
        <f t="shared" ref="J39:R39" si="20">SUM(J40:J62)</f>
        <v>1665.065</v>
      </c>
      <c r="K39" s="226">
        <f t="shared" si="20"/>
        <v>1779.23</v>
      </c>
      <c r="L39" s="226">
        <f t="shared" si="20"/>
        <v>-114.165</v>
      </c>
      <c r="M39" s="226">
        <f t="shared" si="20"/>
        <v>0</v>
      </c>
      <c r="N39" s="226">
        <f t="shared" si="20"/>
        <v>4157.73</v>
      </c>
      <c r="O39" s="226">
        <f t="shared" si="20"/>
        <v>3332.78</v>
      </c>
      <c r="P39" s="226">
        <f t="shared" si="20"/>
        <v>824.95</v>
      </c>
      <c r="Q39" s="226">
        <f t="shared" si="20"/>
        <v>0</v>
      </c>
      <c r="R39" s="226">
        <f t="shared" si="20"/>
        <v>0</v>
      </c>
      <c r="S39" s="226"/>
      <c r="T39" s="239"/>
      <c r="U39" s="228"/>
      <c r="V39" s="235"/>
      <c r="W39" s="236"/>
    </row>
    <row r="40" ht="27" customHeight="1" spans="1:23">
      <c r="A40" s="221">
        <v>36</v>
      </c>
      <c r="B40" s="227" t="s">
        <v>195</v>
      </c>
      <c r="C40" s="228" t="s">
        <v>439</v>
      </c>
      <c r="D40" s="228" t="s">
        <v>440</v>
      </c>
      <c r="E40" s="228" t="s">
        <v>1306</v>
      </c>
      <c r="F40" s="229">
        <v>500</v>
      </c>
      <c r="G40" s="229">
        <v>500</v>
      </c>
      <c r="H40" s="229"/>
      <c r="I40" s="229"/>
      <c r="J40" s="229">
        <f>SUM(K40:M40)</f>
        <v>-350</v>
      </c>
      <c r="K40" s="229">
        <v>-350</v>
      </c>
      <c r="L40" s="229"/>
      <c r="M40" s="229"/>
      <c r="N40" s="229">
        <f t="shared" ref="N40:N45" si="21">SUM(O40:Q40)</f>
        <v>150</v>
      </c>
      <c r="O40" s="229">
        <f t="shared" ref="O40:Q40" si="22">G40+K40</f>
        <v>150</v>
      </c>
      <c r="P40" s="229">
        <f t="shared" si="22"/>
        <v>0</v>
      </c>
      <c r="Q40" s="229">
        <f t="shared" si="22"/>
        <v>0</v>
      </c>
      <c r="R40" s="229"/>
      <c r="S40" s="229">
        <v>24.9623</v>
      </c>
      <c r="T40" s="228" t="s">
        <v>1307</v>
      </c>
      <c r="U40" s="228" t="s">
        <v>1308</v>
      </c>
      <c r="V40" s="235">
        <v>-350</v>
      </c>
      <c r="W40" s="236"/>
    </row>
    <row r="41" ht="27" customHeight="1" spans="1:23">
      <c r="A41" s="221">
        <v>37</v>
      </c>
      <c r="B41" s="227" t="s">
        <v>195</v>
      </c>
      <c r="C41" s="228" t="s">
        <v>435</v>
      </c>
      <c r="D41" s="228" t="s">
        <v>479</v>
      </c>
      <c r="E41" s="228" t="s">
        <v>1309</v>
      </c>
      <c r="F41" s="229"/>
      <c r="G41" s="229"/>
      <c r="H41" s="229"/>
      <c r="I41" s="229"/>
      <c r="J41" s="229">
        <f>SUM(K41:M41)</f>
        <v>0</v>
      </c>
      <c r="K41" s="229"/>
      <c r="L41" s="229"/>
      <c r="M41" s="229"/>
      <c r="N41" s="229">
        <f t="shared" si="21"/>
        <v>0</v>
      </c>
      <c r="O41" s="229">
        <f t="shared" ref="O41:Q45" si="23">G41+K41</f>
        <v>0</v>
      </c>
      <c r="P41" s="229">
        <f t="shared" si="23"/>
        <v>0</v>
      </c>
      <c r="Q41" s="229">
        <f t="shared" si="23"/>
        <v>0</v>
      </c>
      <c r="R41" s="229"/>
      <c r="S41" s="229">
        <v>1500</v>
      </c>
      <c r="T41" s="228"/>
      <c r="U41" s="228"/>
      <c r="V41" s="235"/>
      <c r="W41" s="236">
        <v>1500</v>
      </c>
    </row>
    <row r="42" ht="27" customHeight="1" spans="1:23">
      <c r="A42" s="221">
        <v>38</v>
      </c>
      <c r="B42" s="227" t="s">
        <v>195</v>
      </c>
      <c r="C42" s="228" t="s">
        <v>435</v>
      </c>
      <c r="D42" s="228" t="s">
        <v>491</v>
      </c>
      <c r="E42" s="228" t="s">
        <v>1310</v>
      </c>
      <c r="F42" s="229"/>
      <c r="G42" s="229"/>
      <c r="H42" s="229"/>
      <c r="I42" s="229"/>
      <c r="J42" s="229">
        <f>SUM(K42:M42)</f>
        <v>0</v>
      </c>
      <c r="K42" s="229"/>
      <c r="L42" s="229"/>
      <c r="M42" s="229"/>
      <c r="N42" s="229">
        <f t="shared" si="21"/>
        <v>0</v>
      </c>
      <c r="O42" s="229">
        <f t="shared" si="23"/>
        <v>0</v>
      </c>
      <c r="P42" s="229">
        <f t="shared" si="23"/>
        <v>0</v>
      </c>
      <c r="Q42" s="229">
        <f t="shared" si="23"/>
        <v>0</v>
      </c>
      <c r="R42" s="229"/>
      <c r="S42" s="229">
        <v>2608.3958</v>
      </c>
      <c r="T42" s="228"/>
      <c r="U42" s="228"/>
      <c r="V42" s="235"/>
      <c r="W42" s="236">
        <v>2608.3958</v>
      </c>
    </row>
    <row r="43" ht="27" customHeight="1" spans="1:23">
      <c r="A43" s="221">
        <v>39</v>
      </c>
      <c r="B43" s="227" t="s">
        <v>195</v>
      </c>
      <c r="C43" s="228" t="s">
        <v>435</v>
      </c>
      <c r="D43" s="228" t="s">
        <v>491</v>
      </c>
      <c r="E43" s="228" t="s">
        <v>1311</v>
      </c>
      <c r="F43" s="229"/>
      <c r="G43" s="229"/>
      <c r="H43" s="229"/>
      <c r="I43" s="229"/>
      <c r="J43" s="229">
        <f>SUM(K43:M43)</f>
        <v>0</v>
      </c>
      <c r="K43" s="229"/>
      <c r="L43" s="229"/>
      <c r="M43" s="229"/>
      <c r="N43" s="229">
        <f t="shared" si="21"/>
        <v>0</v>
      </c>
      <c r="O43" s="229">
        <f t="shared" si="23"/>
        <v>0</v>
      </c>
      <c r="P43" s="229">
        <f t="shared" si="23"/>
        <v>0</v>
      </c>
      <c r="Q43" s="229">
        <f t="shared" si="23"/>
        <v>0</v>
      </c>
      <c r="R43" s="229"/>
      <c r="S43" s="229">
        <v>205.34</v>
      </c>
      <c r="T43" s="228"/>
      <c r="U43" s="228"/>
      <c r="V43" s="235"/>
      <c r="W43" s="236">
        <v>205.34</v>
      </c>
    </row>
    <row r="44" ht="40.5" spans="1:23">
      <c r="A44" s="221">
        <v>40</v>
      </c>
      <c r="B44" s="227" t="s">
        <v>195</v>
      </c>
      <c r="C44" s="228" t="s">
        <v>507</v>
      </c>
      <c r="D44" s="228" t="s">
        <v>508</v>
      </c>
      <c r="E44" s="228" t="s">
        <v>1312</v>
      </c>
      <c r="F44" s="229"/>
      <c r="G44" s="229"/>
      <c r="H44" s="229"/>
      <c r="I44" s="229"/>
      <c r="J44" s="229">
        <f>SUM(K44:M44)</f>
        <v>41</v>
      </c>
      <c r="K44" s="229">
        <v>41</v>
      </c>
      <c r="L44" s="229"/>
      <c r="M44" s="229"/>
      <c r="N44" s="229">
        <f t="shared" si="21"/>
        <v>41</v>
      </c>
      <c r="O44" s="229">
        <f t="shared" si="23"/>
        <v>41</v>
      </c>
      <c r="P44" s="229">
        <f t="shared" si="23"/>
        <v>0</v>
      </c>
      <c r="Q44" s="229">
        <f t="shared" si="23"/>
        <v>0</v>
      </c>
      <c r="R44" s="229"/>
      <c r="S44" s="229">
        <v>39</v>
      </c>
      <c r="T44" s="228" t="s">
        <v>1313</v>
      </c>
      <c r="U44" s="228"/>
      <c r="V44" s="235"/>
      <c r="W44" s="236"/>
    </row>
    <row r="45" ht="27" customHeight="1" spans="1:23">
      <c r="A45" s="221">
        <v>41</v>
      </c>
      <c r="B45" s="227" t="s">
        <v>195</v>
      </c>
      <c r="C45" s="228" t="s">
        <v>439</v>
      </c>
      <c r="D45" s="228" t="s">
        <v>491</v>
      </c>
      <c r="E45" s="228" t="s">
        <v>1314</v>
      </c>
      <c r="F45" s="229">
        <v>206.05</v>
      </c>
      <c r="G45" s="229"/>
      <c r="H45" s="229">
        <v>206.05</v>
      </c>
      <c r="I45" s="229"/>
      <c r="J45" s="229">
        <f t="shared" ref="J45:J62" si="24">SUM(K45:M45)</f>
        <v>0</v>
      </c>
      <c r="K45" s="229"/>
      <c r="L45" s="229"/>
      <c r="M45" s="229"/>
      <c r="N45" s="229">
        <f t="shared" si="21"/>
        <v>206.05</v>
      </c>
      <c r="O45" s="229">
        <f t="shared" si="23"/>
        <v>0</v>
      </c>
      <c r="P45" s="229">
        <f t="shared" si="23"/>
        <v>206.05</v>
      </c>
      <c r="Q45" s="229">
        <f t="shared" si="23"/>
        <v>0</v>
      </c>
      <c r="R45" s="229"/>
      <c r="S45" s="229">
        <f>256+114.738</f>
        <v>370.738</v>
      </c>
      <c r="T45" s="228"/>
      <c r="U45" s="228" t="s">
        <v>1315</v>
      </c>
      <c r="V45" s="235"/>
      <c r="W45" s="236">
        <v>256</v>
      </c>
    </row>
    <row r="46" ht="27" customHeight="1" spans="1:23">
      <c r="A46" s="221">
        <v>42</v>
      </c>
      <c r="B46" s="227" t="s">
        <v>195</v>
      </c>
      <c r="C46" s="228" t="s">
        <v>435</v>
      </c>
      <c r="D46" s="228" t="s">
        <v>491</v>
      </c>
      <c r="E46" s="228" t="s">
        <v>1316</v>
      </c>
      <c r="F46" s="229">
        <v>15.84</v>
      </c>
      <c r="G46" s="229"/>
      <c r="H46" s="229">
        <v>15.84</v>
      </c>
      <c r="I46" s="229"/>
      <c r="J46" s="229">
        <f t="shared" si="24"/>
        <v>-15.84</v>
      </c>
      <c r="K46" s="229"/>
      <c r="L46" s="229">
        <v>-15.84</v>
      </c>
      <c r="M46" s="229"/>
      <c r="N46" s="229">
        <f t="shared" ref="N46:N62" si="25">SUM(O46:Q46)</f>
        <v>0</v>
      </c>
      <c r="O46" s="229">
        <f t="shared" ref="O46:O62" si="26">G46+K46</f>
        <v>0</v>
      </c>
      <c r="P46" s="229">
        <f t="shared" ref="P46:P62" si="27">H46+L46</f>
        <v>0</v>
      </c>
      <c r="Q46" s="229">
        <f t="shared" ref="Q46:Q62" si="28">I46+M46</f>
        <v>0</v>
      </c>
      <c r="R46" s="229"/>
      <c r="S46" s="229"/>
      <c r="T46" s="228"/>
      <c r="U46" s="240" t="s">
        <v>1317</v>
      </c>
      <c r="V46" s="235"/>
      <c r="W46" s="236"/>
    </row>
    <row r="47" ht="27" customHeight="1" spans="1:23">
      <c r="A47" s="221">
        <v>43</v>
      </c>
      <c r="B47" s="227" t="s">
        <v>195</v>
      </c>
      <c r="C47" s="228" t="s">
        <v>435</v>
      </c>
      <c r="D47" s="228" t="s">
        <v>491</v>
      </c>
      <c r="E47" s="228" t="s">
        <v>1318</v>
      </c>
      <c r="F47" s="229">
        <v>13.525</v>
      </c>
      <c r="G47" s="229"/>
      <c r="H47" s="229">
        <v>13.525</v>
      </c>
      <c r="I47" s="229"/>
      <c r="J47" s="229">
        <f t="shared" si="24"/>
        <v>-13.525</v>
      </c>
      <c r="K47" s="229"/>
      <c r="L47" s="229">
        <v>-13.525</v>
      </c>
      <c r="M47" s="229"/>
      <c r="N47" s="229">
        <f t="shared" si="25"/>
        <v>0</v>
      </c>
      <c r="O47" s="229">
        <f t="shared" si="26"/>
        <v>0</v>
      </c>
      <c r="P47" s="229">
        <f t="shared" si="27"/>
        <v>0</v>
      </c>
      <c r="Q47" s="229">
        <f t="shared" si="28"/>
        <v>0</v>
      </c>
      <c r="R47" s="229"/>
      <c r="S47" s="229">
        <v>7.90625</v>
      </c>
      <c r="T47" s="228"/>
      <c r="U47" s="240" t="s">
        <v>1317</v>
      </c>
      <c r="V47" s="235"/>
      <c r="W47" s="236"/>
    </row>
    <row r="48" ht="40.5" spans="1:23">
      <c r="A48" s="221">
        <v>44</v>
      </c>
      <c r="B48" s="227" t="s">
        <v>195</v>
      </c>
      <c r="C48" s="228" t="s">
        <v>435</v>
      </c>
      <c r="D48" s="228" t="s">
        <v>491</v>
      </c>
      <c r="E48" s="228" t="s">
        <v>1319</v>
      </c>
      <c r="F48" s="229">
        <v>78.32</v>
      </c>
      <c r="G48" s="229"/>
      <c r="H48" s="229">
        <v>78.32</v>
      </c>
      <c r="I48" s="229"/>
      <c r="J48" s="229">
        <f t="shared" si="24"/>
        <v>6.68</v>
      </c>
      <c r="K48" s="229"/>
      <c r="L48" s="229">
        <v>6.68</v>
      </c>
      <c r="M48" s="229"/>
      <c r="N48" s="229">
        <f t="shared" si="25"/>
        <v>85</v>
      </c>
      <c r="O48" s="229">
        <f t="shared" si="26"/>
        <v>0</v>
      </c>
      <c r="P48" s="229">
        <f t="shared" si="27"/>
        <v>85</v>
      </c>
      <c r="Q48" s="229">
        <f t="shared" si="28"/>
        <v>0</v>
      </c>
      <c r="R48" s="229"/>
      <c r="S48" s="229">
        <v>50.0875</v>
      </c>
      <c r="T48" s="228"/>
      <c r="U48" s="240" t="s">
        <v>1317</v>
      </c>
      <c r="V48" s="235"/>
      <c r="W48" s="236"/>
    </row>
    <row r="49" ht="27" customHeight="1" spans="1:23">
      <c r="A49" s="221">
        <v>45</v>
      </c>
      <c r="B49" s="227" t="s">
        <v>195</v>
      </c>
      <c r="C49" s="228" t="s">
        <v>435</v>
      </c>
      <c r="D49" s="228" t="s">
        <v>491</v>
      </c>
      <c r="E49" s="228" t="s">
        <v>1320</v>
      </c>
      <c r="F49" s="229">
        <v>143.4</v>
      </c>
      <c r="G49" s="229"/>
      <c r="H49" s="229">
        <v>143.4</v>
      </c>
      <c r="I49" s="229"/>
      <c r="J49" s="229">
        <f t="shared" si="24"/>
        <v>-89.25</v>
      </c>
      <c r="K49" s="229"/>
      <c r="L49" s="229">
        <v>-89.25</v>
      </c>
      <c r="M49" s="229"/>
      <c r="N49" s="229">
        <f t="shared" si="25"/>
        <v>54.15</v>
      </c>
      <c r="O49" s="229">
        <f t="shared" si="26"/>
        <v>0</v>
      </c>
      <c r="P49" s="229">
        <f t="shared" si="27"/>
        <v>54.15</v>
      </c>
      <c r="Q49" s="229">
        <f t="shared" si="28"/>
        <v>0</v>
      </c>
      <c r="R49" s="229"/>
      <c r="S49" s="229">
        <v>143.4</v>
      </c>
      <c r="T49" s="228"/>
      <c r="U49" s="240" t="s">
        <v>1317</v>
      </c>
      <c r="V49" s="235"/>
      <c r="W49" s="236"/>
    </row>
    <row r="50" ht="27" customHeight="1" spans="1:23">
      <c r="A50" s="221">
        <v>46</v>
      </c>
      <c r="B50" s="227" t="s">
        <v>195</v>
      </c>
      <c r="C50" s="228" t="s">
        <v>435</v>
      </c>
      <c r="D50" s="228" t="s">
        <v>491</v>
      </c>
      <c r="E50" s="228" t="s">
        <v>1321</v>
      </c>
      <c r="F50" s="229">
        <v>23.34</v>
      </c>
      <c r="G50" s="229"/>
      <c r="H50" s="229">
        <v>23.34</v>
      </c>
      <c r="I50" s="229"/>
      <c r="J50" s="229">
        <f t="shared" si="24"/>
        <v>-3.09</v>
      </c>
      <c r="K50" s="229"/>
      <c r="L50" s="229">
        <v>-3.09</v>
      </c>
      <c r="M50" s="229"/>
      <c r="N50" s="229">
        <f t="shared" si="25"/>
        <v>20.25</v>
      </c>
      <c r="O50" s="229">
        <f t="shared" si="26"/>
        <v>0</v>
      </c>
      <c r="P50" s="229">
        <f t="shared" si="27"/>
        <v>20.25</v>
      </c>
      <c r="Q50" s="229">
        <f t="shared" si="28"/>
        <v>0</v>
      </c>
      <c r="R50" s="229"/>
      <c r="S50" s="229"/>
      <c r="T50" s="228"/>
      <c r="U50" s="240" t="s">
        <v>1317</v>
      </c>
      <c r="V50" s="235"/>
      <c r="W50" s="236"/>
    </row>
    <row r="51" ht="30" customHeight="1" spans="1:23">
      <c r="A51" s="221">
        <v>47</v>
      </c>
      <c r="B51" s="227" t="s">
        <v>195</v>
      </c>
      <c r="C51" s="228" t="s">
        <v>435</v>
      </c>
      <c r="D51" s="228" t="s">
        <v>491</v>
      </c>
      <c r="E51" s="228" t="s">
        <v>1322</v>
      </c>
      <c r="F51" s="229">
        <v>8.64</v>
      </c>
      <c r="G51" s="229"/>
      <c r="H51" s="229">
        <v>8.64</v>
      </c>
      <c r="I51" s="229"/>
      <c r="J51" s="229">
        <f t="shared" si="24"/>
        <v>0.86</v>
      </c>
      <c r="K51" s="229"/>
      <c r="L51" s="229">
        <v>0.86</v>
      </c>
      <c r="M51" s="229"/>
      <c r="N51" s="229">
        <f t="shared" si="25"/>
        <v>9.5</v>
      </c>
      <c r="O51" s="229">
        <f t="shared" si="26"/>
        <v>0</v>
      </c>
      <c r="P51" s="229">
        <f t="shared" si="27"/>
        <v>9.5</v>
      </c>
      <c r="Q51" s="229">
        <f t="shared" si="28"/>
        <v>0</v>
      </c>
      <c r="R51" s="229"/>
      <c r="S51" s="229"/>
      <c r="T51" s="228"/>
      <c r="U51" s="240" t="s">
        <v>1317</v>
      </c>
      <c r="V51" s="235"/>
      <c r="W51" s="236"/>
    </row>
    <row r="52" ht="27" customHeight="1" spans="1:23">
      <c r="A52" s="221">
        <v>48</v>
      </c>
      <c r="B52" s="227" t="s">
        <v>195</v>
      </c>
      <c r="C52" s="228" t="s">
        <v>435</v>
      </c>
      <c r="D52" s="228" t="s">
        <v>491</v>
      </c>
      <c r="E52" s="228" t="s">
        <v>1323</v>
      </c>
      <c r="F52" s="229">
        <v>22.55</v>
      </c>
      <c r="G52" s="229">
        <v>22.55</v>
      </c>
      <c r="H52" s="229"/>
      <c r="I52" s="229"/>
      <c r="J52" s="229">
        <f t="shared" si="24"/>
        <v>-3.55</v>
      </c>
      <c r="K52" s="229">
        <v>-3.55</v>
      </c>
      <c r="L52" s="229"/>
      <c r="M52" s="229"/>
      <c r="N52" s="229">
        <f t="shared" si="25"/>
        <v>19</v>
      </c>
      <c r="O52" s="229">
        <f t="shared" si="26"/>
        <v>19</v>
      </c>
      <c r="P52" s="229">
        <f t="shared" si="27"/>
        <v>0</v>
      </c>
      <c r="Q52" s="229">
        <f t="shared" si="28"/>
        <v>0</v>
      </c>
      <c r="R52" s="229"/>
      <c r="S52" s="229"/>
      <c r="T52" s="228"/>
      <c r="U52" s="240" t="s">
        <v>1317</v>
      </c>
      <c r="V52" s="235"/>
      <c r="W52" s="236"/>
    </row>
    <row r="53" ht="27" customHeight="1" spans="1:23">
      <c r="A53" s="221">
        <v>49</v>
      </c>
      <c r="B53" s="227" t="s">
        <v>195</v>
      </c>
      <c r="C53" s="228" t="s">
        <v>435</v>
      </c>
      <c r="D53" s="228" t="s">
        <v>1324</v>
      </c>
      <c r="E53" s="228" t="s">
        <v>1325</v>
      </c>
      <c r="F53" s="229">
        <v>81</v>
      </c>
      <c r="G53" s="229">
        <v>81</v>
      </c>
      <c r="H53" s="229"/>
      <c r="I53" s="229"/>
      <c r="J53" s="229">
        <f t="shared" si="24"/>
        <v>0</v>
      </c>
      <c r="K53" s="229"/>
      <c r="L53" s="229"/>
      <c r="M53" s="229"/>
      <c r="N53" s="229">
        <f t="shared" si="25"/>
        <v>81</v>
      </c>
      <c r="O53" s="229">
        <f t="shared" si="26"/>
        <v>81</v>
      </c>
      <c r="P53" s="229">
        <f t="shared" si="27"/>
        <v>0</v>
      </c>
      <c r="Q53" s="229">
        <f t="shared" si="28"/>
        <v>0</v>
      </c>
      <c r="R53" s="229"/>
      <c r="S53" s="229"/>
      <c r="T53" s="228"/>
      <c r="U53" s="228" t="s">
        <v>1326</v>
      </c>
      <c r="V53" s="235"/>
      <c r="W53" s="236"/>
    </row>
    <row r="54" ht="27" customHeight="1" spans="1:23">
      <c r="A54" s="221">
        <v>50</v>
      </c>
      <c r="B54" s="227" t="s">
        <v>195</v>
      </c>
      <c r="C54" s="228" t="s">
        <v>435</v>
      </c>
      <c r="D54" s="228" t="s">
        <v>1324</v>
      </c>
      <c r="E54" s="228" t="s">
        <v>1327</v>
      </c>
      <c r="F54" s="229">
        <v>80</v>
      </c>
      <c r="G54" s="229">
        <v>80</v>
      </c>
      <c r="H54" s="229"/>
      <c r="I54" s="229"/>
      <c r="J54" s="229">
        <f t="shared" si="24"/>
        <v>0</v>
      </c>
      <c r="K54" s="229"/>
      <c r="L54" s="229"/>
      <c r="M54" s="229"/>
      <c r="N54" s="229">
        <f t="shared" si="25"/>
        <v>80</v>
      </c>
      <c r="O54" s="229">
        <f t="shared" si="26"/>
        <v>80</v>
      </c>
      <c r="P54" s="229">
        <f t="shared" si="27"/>
        <v>0</v>
      </c>
      <c r="Q54" s="229">
        <f t="shared" si="28"/>
        <v>0</v>
      </c>
      <c r="R54" s="229"/>
      <c r="S54" s="229"/>
      <c r="T54" s="228"/>
      <c r="U54" s="228" t="s">
        <v>1327</v>
      </c>
      <c r="V54" s="235"/>
      <c r="W54" s="236"/>
    </row>
    <row r="55" ht="27" customHeight="1" spans="1:23">
      <c r="A55" s="221">
        <v>51</v>
      </c>
      <c r="B55" s="227" t="s">
        <v>195</v>
      </c>
      <c r="C55" s="228" t="s">
        <v>435</v>
      </c>
      <c r="D55" s="228" t="s">
        <v>1324</v>
      </c>
      <c r="E55" s="228" t="s">
        <v>1328</v>
      </c>
      <c r="F55" s="229">
        <f>615+261-80-100</f>
        <v>696</v>
      </c>
      <c r="G55" s="229">
        <v>696</v>
      </c>
      <c r="H55" s="229"/>
      <c r="I55" s="229"/>
      <c r="J55" s="229">
        <f t="shared" si="24"/>
        <v>-696</v>
      </c>
      <c r="K55" s="229">
        <f>-287.78-408.22</f>
        <v>-696</v>
      </c>
      <c r="L55" s="229"/>
      <c r="M55" s="229"/>
      <c r="N55" s="229">
        <f t="shared" si="25"/>
        <v>0</v>
      </c>
      <c r="O55" s="229">
        <f t="shared" si="26"/>
        <v>0</v>
      </c>
      <c r="P55" s="229">
        <f t="shared" si="27"/>
        <v>0</v>
      </c>
      <c r="Q55" s="229">
        <f t="shared" si="28"/>
        <v>0</v>
      </c>
      <c r="R55" s="229"/>
      <c r="S55" s="229"/>
      <c r="T55" s="228"/>
      <c r="U55" s="228" t="s">
        <v>1328</v>
      </c>
      <c r="V55" s="235">
        <v>-408.22</v>
      </c>
      <c r="W55" s="236"/>
    </row>
    <row r="56" ht="27" customHeight="1" spans="1:23">
      <c r="A56" s="221">
        <v>52</v>
      </c>
      <c r="B56" s="227" t="s">
        <v>195</v>
      </c>
      <c r="C56" s="228" t="s">
        <v>435</v>
      </c>
      <c r="D56" s="228" t="s">
        <v>1324</v>
      </c>
      <c r="E56" s="228" t="s">
        <v>1329</v>
      </c>
      <c r="F56" s="229">
        <v>174</v>
      </c>
      <c r="G56" s="229">
        <v>174</v>
      </c>
      <c r="H56" s="229"/>
      <c r="I56" s="229"/>
      <c r="J56" s="229">
        <f t="shared" si="24"/>
        <v>0</v>
      </c>
      <c r="K56" s="229"/>
      <c r="L56" s="229"/>
      <c r="M56" s="229"/>
      <c r="N56" s="229">
        <f t="shared" si="25"/>
        <v>174</v>
      </c>
      <c r="O56" s="229">
        <f t="shared" si="26"/>
        <v>174</v>
      </c>
      <c r="P56" s="229">
        <f t="shared" si="27"/>
        <v>0</v>
      </c>
      <c r="Q56" s="229">
        <f t="shared" si="28"/>
        <v>0</v>
      </c>
      <c r="R56" s="229"/>
      <c r="S56" s="229"/>
      <c r="T56" s="228"/>
      <c r="U56" s="228" t="s">
        <v>1330</v>
      </c>
      <c r="V56" s="235"/>
      <c r="W56" s="236"/>
    </row>
    <row r="57" ht="27" customHeight="1" spans="1:23">
      <c r="A57" s="221">
        <v>53</v>
      </c>
      <c r="B57" s="227" t="s">
        <v>195</v>
      </c>
      <c r="C57" s="228" t="s">
        <v>435</v>
      </c>
      <c r="D57" s="228" t="s">
        <v>1324</v>
      </c>
      <c r="E57" s="228" t="s">
        <v>1331</v>
      </c>
      <c r="F57" s="229"/>
      <c r="G57" s="229"/>
      <c r="H57" s="229"/>
      <c r="I57" s="229"/>
      <c r="J57" s="229">
        <f t="shared" si="24"/>
        <v>129.78</v>
      </c>
      <c r="K57" s="228">
        <v>129.78</v>
      </c>
      <c r="L57" s="228"/>
      <c r="M57" s="228"/>
      <c r="N57" s="229">
        <f t="shared" si="25"/>
        <v>129.78</v>
      </c>
      <c r="O57" s="229">
        <f t="shared" si="26"/>
        <v>129.78</v>
      </c>
      <c r="P57" s="229">
        <f t="shared" si="27"/>
        <v>0</v>
      </c>
      <c r="Q57" s="229">
        <f t="shared" si="28"/>
        <v>0</v>
      </c>
      <c r="R57" s="229"/>
      <c r="S57" s="229"/>
      <c r="T57" s="228" t="s">
        <v>1332</v>
      </c>
      <c r="U57" s="228"/>
      <c r="V57" s="235"/>
      <c r="W57" s="236"/>
    </row>
    <row r="58" ht="27" customHeight="1" spans="1:23">
      <c r="A58" s="221">
        <v>54</v>
      </c>
      <c r="B58" s="227" t="s">
        <v>195</v>
      </c>
      <c r="C58" s="228" t="s">
        <v>435</v>
      </c>
      <c r="D58" s="228" t="s">
        <v>1324</v>
      </c>
      <c r="E58" s="228" t="s">
        <v>1333</v>
      </c>
      <c r="F58" s="229"/>
      <c r="G58" s="229"/>
      <c r="H58" s="229"/>
      <c r="I58" s="229"/>
      <c r="J58" s="229">
        <f t="shared" si="24"/>
        <v>158</v>
      </c>
      <c r="K58" s="228">
        <v>158</v>
      </c>
      <c r="L58" s="228"/>
      <c r="M58" s="228"/>
      <c r="N58" s="229">
        <f t="shared" si="25"/>
        <v>158</v>
      </c>
      <c r="O58" s="229">
        <f t="shared" si="26"/>
        <v>158</v>
      </c>
      <c r="P58" s="229">
        <f t="shared" si="27"/>
        <v>0</v>
      </c>
      <c r="Q58" s="229">
        <f t="shared" si="28"/>
        <v>0</v>
      </c>
      <c r="R58" s="229"/>
      <c r="S58" s="229"/>
      <c r="T58" s="228" t="s">
        <v>1332</v>
      </c>
      <c r="U58" s="228"/>
      <c r="V58" s="235"/>
      <c r="W58" s="236"/>
    </row>
    <row r="59" ht="27" customHeight="1" spans="1:23">
      <c r="A59" s="221">
        <v>55</v>
      </c>
      <c r="B59" s="227" t="s">
        <v>1334</v>
      </c>
      <c r="C59" s="228" t="s">
        <v>435</v>
      </c>
      <c r="D59" s="228" t="s">
        <v>491</v>
      </c>
      <c r="E59" s="228" t="s">
        <v>1335</v>
      </c>
      <c r="F59" s="229"/>
      <c r="G59" s="229"/>
      <c r="H59" s="229"/>
      <c r="I59" s="229"/>
      <c r="J59" s="229">
        <f t="shared" si="24"/>
        <v>1000</v>
      </c>
      <c r="K59" s="228">
        <v>1000</v>
      </c>
      <c r="L59" s="228"/>
      <c r="M59" s="228"/>
      <c r="N59" s="229">
        <f t="shared" si="25"/>
        <v>1000</v>
      </c>
      <c r="O59" s="229">
        <f t="shared" si="26"/>
        <v>1000</v>
      </c>
      <c r="P59" s="229">
        <f t="shared" si="27"/>
        <v>0</v>
      </c>
      <c r="Q59" s="229">
        <f t="shared" si="28"/>
        <v>0</v>
      </c>
      <c r="R59" s="229"/>
      <c r="S59" s="229">
        <v>1000</v>
      </c>
      <c r="T59" s="241" t="s">
        <v>1336</v>
      </c>
      <c r="U59" s="228"/>
      <c r="V59" s="235"/>
      <c r="W59" s="236"/>
    </row>
    <row r="60" ht="27" customHeight="1" spans="1:23">
      <c r="A60" s="221">
        <v>56</v>
      </c>
      <c r="B60" s="227" t="s">
        <v>1334</v>
      </c>
      <c r="C60" s="228" t="s">
        <v>435</v>
      </c>
      <c r="D60" s="228" t="s">
        <v>1337</v>
      </c>
      <c r="E60" s="228" t="s">
        <v>1338</v>
      </c>
      <c r="F60" s="229"/>
      <c r="G60" s="229"/>
      <c r="H60" s="229"/>
      <c r="I60" s="229"/>
      <c r="J60" s="229">
        <f t="shared" si="24"/>
        <v>1500</v>
      </c>
      <c r="K60" s="228">
        <v>1500</v>
      </c>
      <c r="L60" s="228"/>
      <c r="M60" s="228"/>
      <c r="N60" s="229">
        <f t="shared" si="25"/>
        <v>1500</v>
      </c>
      <c r="O60" s="229">
        <f t="shared" si="26"/>
        <v>1500</v>
      </c>
      <c r="P60" s="229">
        <f t="shared" si="27"/>
        <v>0</v>
      </c>
      <c r="Q60" s="229">
        <f t="shared" si="28"/>
        <v>0</v>
      </c>
      <c r="R60" s="229"/>
      <c r="S60" s="229">
        <v>1500</v>
      </c>
      <c r="T60" s="241" t="s">
        <v>1339</v>
      </c>
      <c r="U60" s="228"/>
      <c r="V60" s="235"/>
      <c r="W60" s="236"/>
    </row>
    <row r="61" ht="27" customHeight="1" spans="1:23">
      <c r="A61" s="221">
        <v>57</v>
      </c>
      <c r="B61" s="227" t="s">
        <v>195</v>
      </c>
      <c r="C61" s="228" t="s">
        <v>451</v>
      </c>
      <c r="D61" s="228" t="s">
        <v>1324</v>
      </c>
      <c r="E61" s="228" t="s">
        <v>1340</v>
      </c>
      <c r="F61" s="229">
        <v>5.32</v>
      </c>
      <c r="G61" s="229"/>
      <c r="H61" s="229">
        <v>5.32</v>
      </c>
      <c r="I61" s="229"/>
      <c r="J61" s="229">
        <f t="shared" si="24"/>
        <v>0</v>
      </c>
      <c r="K61" s="229"/>
      <c r="L61" s="229"/>
      <c r="M61" s="229"/>
      <c r="N61" s="229">
        <f t="shared" si="25"/>
        <v>5.32</v>
      </c>
      <c r="O61" s="229">
        <f t="shared" si="26"/>
        <v>0</v>
      </c>
      <c r="P61" s="229">
        <f t="shared" si="27"/>
        <v>5.32</v>
      </c>
      <c r="Q61" s="229">
        <f t="shared" si="28"/>
        <v>0</v>
      </c>
      <c r="R61" s="229"/>
      <c r="S61" s="229">
        <v>2.5</v>
      </c>
      <c r="T61" s="228"/>
      <c r="U61" s="228" t="s">
        <v>1317</v>
      </c>
      <c r="V61" s="235"/>
      <c r="W61" s="236"/>
    </row>
    <row r="62" ht="27" customHeight="1" spans="1:23">
      <c r="A62" s="221">
        <v>58</v>
      </c>
      <c r="B62" s="227" t="s">
        <v>195</v>
      </c>
      <c r="C62" s="228" t="s">
        <v>451</v>
      </c>
      <c r="D62" s="228" t="s">
        <v>1324</v>
      </c>
      <c r="E62" s="228" t="s">
        <v>1341</v>
      </c>
      <c r="F62" s="229">
        <v>444.68</v>
      </c>
      <c r="G62" s="229"/>
      <c r="H62" s="229">
        <v>444.68</v>
      </c>
      <c r="I62" s="229"/>
      <c r="J62" s="229">
        <f t="shared" si="24"/>
        <v>0</v>
      </c>
      <c r="K62" s="229"/>
      <c r="L62" s="229"/>
      <c r="M62" s="229"/>
      <c r="N62" s="229">
        <f t="shared" si="25"/>
        <v>444.68</v>
      </c>
      <c r="O62" s="229">
        <f t="shared" si="26"/>
        <v>0</v>
      </c>
      <c r="P62" s="229">
        <f t="shared" si="27"/>
        <v>444.68</v>
      </c>
      <c r="Q62" s="229">
        <f t="shared" si="28"/>
        <v>0</v>
      </c>
      <c r="R62" s="229"/>
      <c r="S62" s="229">
        <v>437.97714</v>
      </c>
      <c r="T62" s="228"/>
      <c r="U62" s="228" t="s">
        <v>1317</v>
      </c>
      <c r="V62" s="235"/>
      <c r="W62" s="236"/>
    </row>
    <row r="63" ht="21" customHeight="1" spans="1:23">
      <c r="A63" s="221">
        <v>59</v>
      </c>
      <c r="B63" s="222"/>
      <c r="C63" s="223"/>
      <c r="D63" s="224" t="s">
        <v>1342</v>
      </c>
      <c r="E63" s="225"/>
      <c r="F63" s="226">
        <f>SUM(F64:F72)</f>
        <v>432.17</v>
      </c>
      <c r="G63" s="226">
        <f t="shared" ref="G63:R63" si="29">SUM(G64:G72)</f>
        <v>412.17</v>
      </c>
      <c r="H63" s="226">
        <f t="shared" si="29"/>
        <v>20</v>
      </c>
      <c r="I63" s="226">
        <f t="shared" si="29"/>
        <v>0</v>
      </c>
      <c r="J63" s="226">
        <f t="shared" si="29"/>
        <v>6155.7503</v>
      </c>
      <c r="K63" s="226">
        <f t="shared" si="29"/>
        <v>6155.7503</v>
      </c>
      <c r="L63" s="226">
        <f t="shared" si="29"/>
        <v>0</v>
      </c>
      <c r="M63" s="226">
        <f t="shared" si="29"/>
        <v>0</v>
      </c>
      <c r="N63" s="226">
        <f t="shared" si="29"/>
        <v>6587.9203</v>
      </c>
      <c r="O63" s="226">
        <f t="shared" si="29"/>
        <v>6567.9203</v>
      </c>
      <c r="P63" s="226">
        <f t="shared" si="29"/>
        <v>20</v>
      </c>
      <c r="Q63" s="226">
        <f t="shared" si="29"/>
        <v>0</v>
      </c>
      <c r="R63" s="226">
        <f t="shared" si="29"/>
        <v>0</v>
      </c>
      <c r="S63" s="226"/>
      <c r="T63" s="239"/>
      <c r="U63" s="228"/>
      <c r="V63" s="235"/>
      <c r="W63" s="236"/>
    </row>
    <row r="64" ht="27" spans="1:23">
      <c r="A64" s="221">
        <v>60</v>
      </c>
      <c r="B64" s="227" t="s">
        <v>208</v>
      </c>
      <c r="C64" s="228" t="s">
        <v>327</v>
      </c>
      <c r="D64" s="228" t="s">
        <v>1343</v>
      </c>
      <c r="E64" s="228" t="s">
        <v>1344</v>
      </c>
      <c r="F64" s="229">
        <v>100</v>
      </c>
      <c r="G64" s="229">
        <v>100</v>
      </c>
      <c r="H64" s="229"/>
      <c r="I64" s="229"/>
      <c r="J64" s="229">
        <f t="shared" ref="J64:J72" si="30">SUM(K64:M64)</f>
        <v>0</v>
      </c>
      <c r="K64" s="229"/>
      <c r="L64" s="229"/>
      <c r="M64" s="229"/>
      <c r="N64" s="229">
        <f t="shared" ref="N64:N72" si="31">SUM(O64:Q64)</f>
        <v>100</v>
      </c>
      <c r="O64" s="229">
        <f t="shared" ref="O64:O72" si="32">G64+K64</f>
        <v>100</v>
      </c>
      <c r="P64" s="229">
        <f t="shared" ref="P64:P72" si="33">H64+L64</f>
        <v>0</v>
      </c>
      <c r="Q64" s="229">
        <f t="shared" ref="Q64:Q72" si="34">I64+M64</f>
        <v>0</v>
      </c>
      <c r="R64" s="229"/>
      <c r="S64" s="229"/>
      <c r="T64" s="228"/>
      <c r="U64" s="228" t="s">
        <v>1345</v>
      </c>
      <c r="V64" s="235"/>
      <c r="W64" s="236"/>
    </row>
    <row r="65" ht="54" spans="1:23">
      <c r="A65" s="221">
        <v>61</v>
      </c>
      <c r="B65" s="227" t="s">
        <v>208</v>
      </c>
      <c r="C65" s="228" t="s">
        <v>327</v>
      </c>
      <c r="D65" s="228" t="s">
        <v>1346</v>
      </c>
      <c r="E65" s="228" t="s">
        <v>1347</v>
      </c>
      <c r="F65" s="229">
        <v>300</v>
      </c>
      <c r="G65" s="229">
        <v>300</v>
      </c>
      <c r="H65" s="229"/>
      <c r="I65" s="229"/>
      <c r="J65" s="229">
        <f t="shared" si="30"/>
        <v>58.1703</v>
      </c>
      <c r="K65" s="229">
        <v>58.1703</v>
      </c>
      <c r="L65" s="229"/>
      <c r="M65" s="229"/>
      <c r="N65" s="229">
        <f t="shared" si="31"/>
        <v>358.1703</v>
      </c>
      <c r="O65" s="229">
        <f t="shared" si="32"/>
        <v>358.1703</v>
      </c>
      <c r="P65" s="229">
        <f t="shared" si="33"/>
        <v>0</v>
      </c>
      <c r="Q65" s="229">
        <f t="shared" si="34"/>
        <v>0</v>
      </c>
      <c r="R65" s="229"/>
      <c r="S65" s="229"/>
      <c r="T65" s="228" t="s">
        <v>1348</v>
      </c>
      <c r="U65" s="228" t="s">
        <v>1349</v>
      </c>
      <c r="V65" s="235"/>
      <c r="W65" s="236"/>
    </row>
    <row r="66" ht="27" spans="1:23">
      <c r="A66" s="221">
        <v>62</v>
      </c>
      <c r="B66" s="227" t="s">
        <v>208</v>
      </c>
      <c r="C66" s="228" t="s">
        <v>330</v>
      </c>
      <c r="D66" s="228" t="s">
        <v>1343</v>
      </c>
      <c r="E66" s="228" t="s">
        <v>1350</v>
      </c>
      <c r="F66" s="229">
        <v>20</v>
      </c>
      <c r="G66" s="229"/>
      <c r="H66" s="229">
        <v>20</v>
      </c>
      <c r="I66" s="229"/>
      <c r="J66" s="229">
        <f t="shared" si="30"/>
        <v>0</v>
      </c>
      <c r="K66" s="229"/>
      <c r="L66" s="229"/>
      <c r="M66" s="229"/>
      <c r="N66" s="229">
        <f t="shared" si="31"/>
        <v>20</v>
      </c>
      <c r="O66" s="229">
        <f t="shared" si="32"/>
        <v>0</v>
      </c>
      <c r="P66" s="229">
        <f t="shared" si="33"/>
        <v>20</v>
      </c>
      <c r="Q66" s="229">
        <f t="shared" si="34"/>
        <v>0</v>
      </c>
      <c r="R66" s="229"/>
      <c r="S66" s="229">
        <v>20</v>
      </c>
      <c r="T66" s="228"/>
      <c r="U66" s="228" t="s">
        <v>1351</v>
      </c>
      <c r="V66" s="235"/>
      <c r="W66" s="236"/>
    </row>
    <row r="67" ht="54" spans="1:23">
      <c r="A67" s="221">
        <v>63</v>
      </c>
      <c r="B67" s="227" t="s">
        <v>208</v>
      </c>
      <c r="C67" s="228" t="s">
        <v>330</v>
      </c>
      <c r="D67" s="228" t="s">
        <v>1343</v>
      </c>
      <c r="E67" s="228" t="s">
        <v>1352</v>
      </c>
      <c r="F67" s="229"/>
      <c r="G67" s="229"/>
      <c r="H67" s="229"/>
      <c r="I67" s="229"/>
      <c r="J67" s="229">
        <f t="shared" si="30"/>
        <v>11.86</v>
      </c>
      <c r="K67" s="229">
        <v>11.86</v>
      </c>
      <c r="L67" s="229"/>
      <c r="M67" s="229"/>
      <c r="N67" s="229">
        <f t="shared" si="31"/>
        <v>11.86</v>
      </c>
      <c r="O67" s="229">
        <f t="shared" si="32"/>
        <v>11.86</v>
      </c>
      <c r="P67" s="229">
        <f t="shared" si="33"/>
        <v>0</v>
      </c>
      <c r="Q67" s="229">
        <f t="shared" si="34"/>
        <v>0</v>
      </c>
      <c r="R67" s="229"/>
      <c r="S67" s="229"/>
      <c r="T67" s="228" t="s">
        <v>1353</v>
      </c>
      <c r="U67" s="228"/>
      <c r="V67" s="235"/>
      <c r="W67" s="236"/>
    </row>
    <row r="68" ht="27" spans="1:23">
      <c r="A68" s="221">
        <v>64</v>
      </c>
      <c r="B68" s="227" t="s">
        <v>1334</v>
      </c>
      <c r="C68" s="228" t="s">
        <v>1354</v>
      </c>
      <c r="D68" s="228" t="s">
        <v>1343</v>
      </c>
      <c r="E68" s="228" t="s">
        <v>1355</v>
      </c>
      <c r="F68" s="229"/>
      <c r="G68" s="229"/>
      <c r="H68" s="229"/>
      <c r="I68" s="229"/>
      <c r="J68" s="229">
        <f t="shared" si="30"/>
        <v>450.5</v>
      </c>
      <c r="K68" s="229">
        <v>450.5</v>
      </c>
      <c r="L68" s="229"/>
      <c r="M68" s="229"/>
      <c r="N68" s="229">
        <f t="shared" si="31"/>
        <v>450.5</v>
      </c>
      <c r="O68" s="229">
        <f t="shared" si="32"/>
        <v>450.5</v>
      </c>
      <c r="P68" s="229">
        <f t="shared" si="33"/>
        <v>0</v>
      </c>
      <c r="Q68" s="229">
        <f t="shared" si="34"/>
        <v>0</v>
      </c>
      <c r="R68" s="229"/>
      <c r="S68" s="229">
        <v>450.5</v>
      </c>
      <c r="T68" s="228" t="s">
        <v>1356</v>
      </c>
      <c r="U68" s="228"/>
      <c r="V68" s="235"/>
      <c r="W68" s="236"/>
    </row>
    <row r="69" ht="40.5" spans="1:24">
      <c r="A69" s="221">
        <v>172</v>
      </c>
      <c r="B69" s="227" t="s">
        <v>1334</v>
      </c>
      <c r="C69" s="228" t="s">
        <v>1357</v>
      </c>
      <c r="D69" s="228" t="s">
        <v>1343</v>
      </c>
      <c r="E69" s="228" t="s">
        <v>1358</v>
      </c>
      <c r="F69" s="229"/>
      <c r="G69" s="229"/>
      <c r="H69" s="229"/>
      <c r="I69" s="229"/>
      <c r="J69" s="229">
        <f t="shared" si="30"/>
        <v>1402</v>
      </c>
      <c r="K69" s="229">
        <v>1402</v>
      </c>
      <c r="L69" s="229"/>
      <c r="M69" s="229"/>
      <c r="N69" s="229">
        <f t="shared" si="31"/>
        <v>1402</v>
      </c>
      <c r="O69" s="229">
        <f t="shared" si="32"/>
        <v>1402</v>
      </c>
      <c r="P69" s="229">
        <f t="shared" si="33"/>
        <v>0</v>
      </c>
      <c r="Q69" s="229">
        <f t="shared" si="34"/>
        <v>0</v>
      </c>
      <c r="R69" s="229"/>
      <c r="S69" s="242">
        <v>1402</v>
      </c>
      <c r="T69" s="241" t="s">
        <v>1359</v>
      </c>
      <c r="U69" s="228"/>
      <c r="V69" s="235"/>
      <c r="W69" s="236"/>
      <c r="X69" s="210" t="s">
        <v>1360</v>
      </c>
    </row>
    <row r="70" ht="27" spans="1:24">
      <c r="A70" s="221">
        <v>173</v>
      </c>
      <c r="B70" s="227" t="s">
        <v>1334</v>
      </c>
      <c r="C70" s="228" t="s">
        <v>619</v>
      </c>
      <c r="D70" s="228" t="s">
        <v>1343</v>
      </c>
      <c r="E70" s="228" t="s">
        <v>1361</v>
      </c>
      <c r="F70" s="229"/>
      <c r="G70" s="229"/>
      <c r="H70" s="229"/>
      <c r="I70" s="229"/>
      <c r="J70" s="229">
        <f t="shared" si="30"/>
        <v>912</v>
      </c>
      <c r="K70" s="229">
        <v>912</v>
      </c>
      <c r="L70" s="229"/>
      <c r="M70" s="229"/>
      <c r="N70" s="229">
        <f t="shared" si="31"/>
        <v>912</v>
      </c>
      <c r="O70" s="229">
        <f t="shared" si="32"/>
        <v>912</v>
      </c>
      <c r="P70" s="229">
        <f t="shared" si="33"/>
        <v>0</v>
      </c>
      <c r="Q70" s="229">
        <f t="shared" si="34"/>
        <v>0</v>
      </c>
      <c r="R70" s="229"/>
      <c r="S70" s="242">
        <v>912</v>
      </c>
      <c r="T70" s="241" t="s">
        <v>1339</v>
      </c>
      <c r="U70" s="228"/>
      <c r="V70" s="235"/>
      <c r="W70" s="236"/>
      <c r="X70" s="210" t="s">
        <v>1360</v>
      </c>
    </row>
    <row r="71" ht="30" customHeight="1" spans="1:24">
      <c r="A71" s="221">
        <v>174</v>
      </c>
      <c r="B71" s="227" t="s">
        <v>1334</v>
      </c>
      <c r="C71" s="228" t="s">
        <v>1357</v>
      </c>
      <c r="D71" s="228" t="s">
        <v>1343</v>
      </c>
      <c r="E71" s="228" t="s">
        <v>1362</v>
      </c>
      <c r="F71" s="229"/>
      <c r="G71" s="229"/>
      <c r="H71" s="229"/>
      <c r="I71" s="229"/>
      <c r="J71" s="229">
        <f t="shared" si="30"/>
        <v>2510</v>
      </c>
      <c r="K71" s="229">
        <v>2510</v>
      </c>
      <c r="L71" s="229"/>
      <c r="M71" s="229"/>
      <c r="N71" s="229">
        <f t="shared" si="31"/>
        <v>2510</v>
      </c>
      <c r="O71" s="229">
        <f t="shared" si="32"/>
        <v>2510</v>
      </c>
      <c r="P71" s="229">
        <f t="shared" si="33"/>
        <v>0</v>
      </c>
      <c r="Q71" s="229">
        <f t="shared" si="34"/>
        <v>0</v>
      </c>
      <c r="R71" s="229"/>
      <c r="S71" s="242">
        <v>2510</v>
      </c>
      <c r="T71" s="241" t="s">
        <v>1363</v>
      </c>
      <c r="U71" s="228"/>
      <c r="V71" s="235"/>
      <c r="W71" s="236"/>
      <c r="X71" s="210" t="s">
        <v>1360</v>
      </c>
    </row>
    <row r="72" ht="40.5" spans="1:23">
      <c r="A72" s="221">
        <v>65</v>
      </c>
      <c r="B72" s="227" t="s">
        <v>1334</v>
      </c>
      <c r="C72" s="228" t="s">
        <v>1364</v>
      </c>
      <c r="D72" s="228" t="s">
        <v>1343</v>
      </c>
      <c r="E72" s="228" t="s">
        <v>1365</v>
      </c>
      <c r="F72" s="229">
        <v>12.17</v>
      </c>
      <c r="G72" s="229">
        <v>12.17</v>
      </c>
      <c r="H72" s="229"/>
      <c r="I72" s="229"/>
      <c r="J72" s="229">
        <f t="shared" si="30"/>
        <v>811.22</v>
      </c>
      <c r="K72" s="229">
        <v>811.22</v>
      </c>
      <c r="L72" s="229"/>
      <c r="M72" s="229"/>
      <c r="N72" s="229">
        <f t="shared" si="31"/>
        <v>823.39</v>
      </c>
      <c r="O72" s="229">
        <f t="shared" si="32"/>
        <v>823.39</v>
      </c>
      <c r="P72" s="229">
        <f t="shared" si="33"/>
        <v>0</v>
      </c>
      <c r="Q72" s="229">
        <f t="shared" si="34"/>
        <v>0</v>
      </c>
      <c r="R72" s="229"/>
      <c r="S72" s="229"/>
      <c r="T72" s="228" t="s">
        <v>1366</v>
      </c>
      <c r="U72" s="228" t="s">
        <v>1367</v>
      </c>
      <c r="V72" s="235"/>
      <c r="W72" s="236"/>
    </row>
    <row r="73" ht="21" customHeight="1" spans="1:23">
      <c r="A73" s="221">
        <v>66</v>
      </c>
      <c r="B73" s="222"/>
      <c r="C73" s="223"/>
      <c r="D73" s="224" t="s">
        <v>1368</v>
      </c>
      <c r="E73" s="225"/>
      <c r="F73" s="226">
        <f>SUM(F74:F88)</f>
        <v>2536.99</v>
      </c>
      <c r="G73" s="226">
        <f t="shared" ref="G73:R73" si="35">SUM(G74:G88)</f>
        <v>2536.99</v>
      </c>
      <c r="H73" s="226">
        <f t="shared" si="35"/>
        <v>0</v>
      </c>
      <c r="I73" s="226">
        <f t="shared" si="35"/>
        <v>0</v>
      </c>
      <c r="J73" s="226">
        <f t="shared" si="35"/>
        <v>-268.82</v>
      </c>
      <c r="K73" s="226">
        <f t="shared" si="35"/>
        <v>-268.82</v>
      </c>
      <c r="L73" s="226">
        <f t="shared" si="35"/>
        <v>0</v>
      </c>
      <c r="M73" s="226">
        <f t="shared" si="35"/>
        <v>0</v>
      </c>
      <c r="N73" s="226">
        <f t="shared" si="35"/>
        <v>2268.17</v>
      </c>
      <c r="O73" s="226">
        <f t="shared" si="35"/>
        <v>2268.17</v>
      </c>
      <c r="P73" s="226">
        <f t="shared" si="35"/>
        <v>0</v>
      </c>
      <c r="Q73" s="226">
        <f t="shared" si="35"/>
        <v>0</v>
      </c>
      <c r="R73" s="226">
        <f t="shared" si="35"/>
        <v>0</v>
      </c>
      <c r="S73" s="226"/>
      <c r="T73" s="239"/>
      <c r="U73" s="228"/>
      <c r="V73" s="235"/>
      <c r="W73" s="236"/>
    </row>
    <row r="74" ht="30" customHeight="1" spans="1:23">
      <c r="A74" s="221">
        <v>67</v>
      </c>
      <c r="B74" s="227" t="s">
        <v>195</v>
      </c>
      <c r="C74" s="228" t="s">
        <v>516</v>
      </c>
      <c r="D74" s="228" t="s">
        <v>517</v>
      </c>
      <c r="E74" s="228" t="s">
        <v>1369</v>
      </c>
      <c r="F74" s="229">
        <v>91</v>
      </c>
      <c r="G74" s="229">
        <v>91</v>
      </c>
      <c r="H74" s="229"/>
      <c r="I74" s="229"/>
      <c r="J74" s="229">
        <f t="shared" ref="J74:J81" si="36">SUM(K74:M74)</f>
        <v>-91</v>
      </c>
      <c r="K74" s="229">
        <v>-91</v>
      </c>
      <c r="L74" s="229"/>
      <c r="M74" s="229"/>
      <c r="N74" s="229">
        <f t="shared" ref="N74:N81" si="37">SUM(O74:Q74)</f>
        <v>0</v>
      </c>
      <c r="O74" s="229">
        <f t="shared" ref="O74:O81" si="38">G74+K74</f>
        <v>0</v>
      </c>
      <c r="P74" s="229">
        <f t="shared" ref="P74:P81" si="39">H74+L74</f>
        <v>0</v>
      </c>
      <c r="Q74" s="229">
        <f t="shared" ref="Q74:Q81" si="40">I74+M74</f>
        <v>0</v>
      </c>
      <c r="R74" s="229"/>
      <c r="S74" s="229"/>
      <c r="T74" s="228"/>
      <c r="U74" s="228" t="s">
        <v>1370</v>
      </c>
      <c r="V74" s="235">
        <v>-91</v>
      </c>
      <c r="W74" s="236"/>
    </row>
    <row r="75" ht="30" customHeight="1" spans="1:23">
      <c r="A75" s="221">
        <v>68</v>
      </c>
      <c r="B75" s="227" t="s">
        <v>195</v>
      </c>
      <c r="C75" s="228" t="s">
        <v>516</v>
      </c>
      <c r="D75" s="228" t="s">
        <v>517</v>
      </c>
      <c r="E75" s="228" t="s">
        <v>1371</v>
      </c>
      <c r="F75" s="229">
        <v>100</v>
      </c>
      <c r="G75" s="229">
        <v>100</v>
      </c>
      <c r="H75" s="229"/>
      <c r="I75" s="229"/>
      <c r="J75" s="229">
        <f t="shared" si="36"/>
        <v>-100</v>
      </c>
      <c r="K75" s="229">
        <v>-100</v>
      </c>
      <c r="L75" s="229"/>
      <c r="M75" s="229"/>
      <c r="N75" s="229">
        <f t="shared" si="37"/>
        <v>0</v>
      </c>
      <c r="O75" s="229">
        <f t="shared" si="38"/>
        <v>0</v>
      </c>
      <c r="P75" s="229">
        <f t="shared" si="39"/>
        <v>0</v>
      </c>
      <c r="Q75" s="229">
        <f t="shared" si="40"/>
        <v>0</v>
      </c>
      <c r="R75" s="229"/>
      <c r="S75" s="229"/>
      <c r="T75" s="228"/>
      <c r="U75" s="228" t="s">
        <v>1372</v>
      </c>
      <c r="V75" s="235">
        <v>-100</v>
      </c>
      <c r="W75" s="236"/>
    </row>
    <row r="76" ht="30" customHeight="1" spans="1:23">
      <c r="A76" s="221">
        <v>69</v>
      </c>
      <c r="B76" s="227" t="s">
        <v>195</v>
      </c>
      <c r="C76" s="228" t="s">
        <v>516</v>
      </c>
      <c r="D76" s="228" t="s">
        <v>517</v>
      </c>
      <c r="E76" s="228" t="s">
        <v>1373</v>
      </c>
      <c r="F76" s="229">
        <v>109</v>
      </c>
      <c r="G76" s="229">
        <v>109</v>
      </c>
      <c r="H76" s="229"/>
      <c r="I76" s="229"/>
      <c r="J76" s="229">
        <f t="shared" si="36"/>
        <v>-109</v>
      </c>
      <c r="K76" s="229">
        <v>-109</v>
      </c>
      <c r="L76" s="229"/>
      <c r="M76" s="229"/>
      <c r="N76" s="229">
        <f t="shared" si="37"/>
        <v>0</v>
      </c>
      <c r="O76" s="229">
        <f t="shared" si="38"/>
        <v>0</v>
      </c>
      <c r="P76" s="229">
        <f t="shared" si="39"/>
        <v>0</v>
      </c>
      <c r="Q76" s="229">
        <f t="shared" si="40"/>
        <v>0</v>
      </c>
      <c r="R76" s="229"/>
      <c r="S76" s="229"/>
      <c r="T76" s="228"/>
      <c r="U76" s="228" t="s">
        <v>1374</v>
      </c>
      <c r="V76" s="235">
        <v>-109</v>
      </c>
      <c r="W76" s="236"/>
    </row>
    <row r="77" ht="27" spans="1:23">
      <c r="A77" s="221">
        <v>70</v>
      </c>
      <c r="B77" s="227" t="s">
        <v>195</v>
      </c>
      <c r="C77" s="228" t="s">
        <v>793</v>
      </c>
      <c r="D77" s="228" t="s">
        <v>522</v>
      </c>
      <c r="E77" s="228" t="s">
        <v>1375</v>
      </c>
      <c r="F77" s="229">
        <v>10</v>
      </c>
      <c r="G77" s="229">
        <v>10</v>
      </c>
      <c r="H77" s="229"/>
      <c r="I77" s="229"/>
      <c r="J77" s="229">
        <f t="shared" si="36"/>
        <v>0</v>
      </c>
      <c r="K77" s="229"/>
      <c r="L77" s="229"/>
      <c r="M77" s="229"/>
      <c r="N77" s="229">
        <f t="shared" si="37"/>
        <v>10</v>
      </c>
      <c r="O77" s="229">
        <f t="shared" si="38"/>
        <v>10</v>
      </c>
      <c r="P77" s="229">
        <f t="shared" si="39"/>
        <v>0</v>
      </c>
      <c r="Q77" s="229">
        <f t="shared" si="40"/>
        <v>0</v>
      </c>
      <c r="R77" s="229"/>
      <c r="S77" s="229"/>
      <c r="T77" s="228"/>
      <c r="U77" s="228" t="s">
        <v>1376</v>
      </c>
      <c r="V77" s="235"/>
      <c r="W77" s="236"/>
    </row>
    <row r="78" s="203" customFormat="1" ht="27" spans="1:23">
      <c r="A78" s="221">
        <v>71</v>
      </c>
      <c r="B78" s="227" t="s">
        <v>195</v>
      </c>
      <c r="C78" s="228" t="s">
        <v>390</v>
      </c>
      <c r="D78" s="228" t="s">
        <v>526</v>
      </c>
      <c r="E78" s="228" t="s">
        <v>1286</v>
      </c>
      <c r="F78" s="229"/>
      <c r="G78" s="229"/>
      <c r="H78" s="229"/>
      <c r="I78" s="229"/>
      <c r="J78" s="229">
        <f t="shared" si="36"/>
        <v>50</v>
      </c>
      <c r="K78" s="229">
        <v>50</v>
      </c>
      <c r="L78" s="229"/>
      <c r="M78" s="229"/>
      <c r="N78" s="229">
        <f t="shared" si="37"/>
        <v>50</v>
      </c>
      <c r="O78" s="229">
        <f t="shared" si="38"/>
        <v>50</v>
      </c>
      <c r="P78" s="229">
        <f t="shared" si="39"/>
        <v>0</v>
      </c>
      <c r="Q78" s="229">
        <f t="shared" si="40"/>
        <v>0</v>
      </c>
      <c r="R78" s="229"/>
      <c r="S78" s="229">
        <v>14.39</v>
      </c>
      <c r="T78" s="228" t="s">
        <v>1377</v>
      </c>
      <c r="U78" s="237" t="s">
        <v>1287</v>
      </c>
      <c r="V78" s="228"/>
      <c r="W78" s="238"/>
    </row>
    <row r="79" s="203" customFormat="1" ht="27" spans="1:23">
      <c r="A79" s="221">
        <v>72</v>
      </c>
      <c r="B79" s="227" t="s">
        <v>195</v>
      </c>
      <c r="C79" s="228" t="s">
        <v>390</v>
      </c>
      <c r="D79" s="228" t="s">
        <v>526</v>
      </c>
      <c r="E79" s="228" t="s">
        <v>1282</v>
      </c>
      <c r="F79" s="229"/>
      <c r="G79" s="229"/>
      <c r="H79" s="229"/>
      <c r="I79" s="229"/>
      <c r="J79" s="229">
        <f t="shared" si="36"/>
        <v>40</v>
      </c>
      <c r="K79" s="229">
        <v>40</v>
      </c>
      <c r="L79" s="229"/>
      <c r="M79" s="229"/>
      <c r="N79" s="229">
        <f t="shared" si="37"/>
        <v>40</v>
      </c>
      <c r="O79" s="229">
        <f t="shared" si="38"/>
        <v>40</v>
      </c>
      <c r="P79" s="229">
        <f t="shared" si="39"/>
        <v>0</v>
      </c>
      <c r="Q79" s="229">
        <f t="shared" si="40"/>
        <v>0</v>
      </c>
      <c r="R79" s="229"/>
      <c r="S79" s="229"/>
      <c r="T79" s="228" t="s">
        <v>1377</v>
      </c>
      <c r="U79" s="237"/>
      <c r="V79" s="228"/>
      <c r="W79" s="238"/>
    </row>
    <row r="80" s="203" customFormat="1" ht="40.5" spans="1:23">
      <c r="A80" s="221">
        <v>73</v>
      </c>
      <c r="B80" s="227" t="s">
        <v>195</v>
      </c>
      <c r="C80" s="228" t="s">
        <v>390</v>
      </c>
      <c r="D80" s="228" t="s">
        <v>526</v>
      </c>
      <c r="E80" s="228" t="s">
        <v>1284</v>
      </c>
      <c r="F80" s="229"/>
      <c r="G80" s="229"/>
      <c r="H80" s="229"/>
      <c r="I80" s="229"/>
      <c r="J80" s="229">
        <f t="shared" si="36"/>
        <v>20</v>
      </c>
      <c r="K80" s="229">
        <v>20</v>
      </c>
      <c r="L80" s="229"/>
      <c r="M80" s="229"/>
      <c r="N80" s="229">
        <f t="shared" si="37"/>
        <v>20</v>
      </c>
      <c r="O80" s="229">
        <f t="shared" si="38"/>
        <v>20</v>
      </c>
      <c r="P80" s="229">
        <f t="shared" si="39"/>
        <v>0</v>
      </c>
      <c r="Q80" s="229">
        <f t="shared" si="40"/>
        <v>0</v>
      </c>
      <c r="R80" s="229"/>
      <c r="S80" s="229"/>
      <c r="T80" s="228" t="s">
        <v>1377</v>
      </c>
      <c r="U80" s="237"/>
      <c r="V80" s="228"/>
      <c r="W80" s="238"/>
    </row>
    <row r="81" s="203" customFormat="1" ht="27" spans="1:23">
      <c r="A81" s="221">
        <v>74</v>
      </c>
      <c r="B81" s="227" t="s">
        <v>195</v>
      </c>
      <c r="C81" s="228" t="s">
        <v>390</v>
      </c>
      <c r="D81" s="228" t="s">
        <v>526</v>
      </c>
      <c r="E81" s="228" t="s">
        <v>1288</v>
      </c>
      <c r="F81" s="229"/>
      <c r="G81" s="229"/>
      <c r="H81" s="229"/>
      <c r="I81" s="229"/>
      <c r="J81" s="229">
        <f t="shared" si="36"/>
        <v>5</v>
      </c>
      <c r="K81" s="229">
        <v>5</v>
      </c>
      <c r="L81" s="229"/>
      <c r="M81" s="229"/>
      <c r="N81" s="229">
        <f t="shared" si="37"/>
        <v>5</v>
      </c>
      <c r="O81" s="229">
        <f t="shared" si="38"/>
        <v>5</v>
      </c>
      <c r="P81" s="229">
        <f t="shared" si="39"/>
        <v>0</v>
      </c>
      <c r="Q81" s="229">
        <f t="shared" si="40"/>
        <v>0</v>
      </c>
      <c r="R81" s="229"/>
      <c r="S81" s="229"/>
      <c r="T81" s="228" t="s">
        <v>1377</v>
      </c>
      <c r="U81" s="237"/>
      <c r="V81" s="228"/>
      <c r="W81" s="238"/>
    </row>
    <row r="82" ht="40.5" spans="1:23">
      <c r="A82" s="221">
        <v>75</v>
      </c>
      <c r="B82" s="227" t="s">
        <v>1236</v>
      </c>
      <c r="C82" s="228" t="s">
        <v>514</v>
      </c>
      <c r="D82" s="228" t="s">
        <v>526</v>
      </c>
      <c r="E82" s="228" t="s">
        <v>1378</v>
      </c>
      <c r="F82" s="229">
        <v>1230.41</v>
      </c>
      <c r="G82" s="229">
        <v>1230.41</v>
      </c>
      <c r="H82" s="229"/>
      <c r="I82" s="229"/>
      <c r="J82" s="229">
        <f t="shared" ref="J82:J88" si="41">SUM(K82:M82)</f>
        <v>-11.68</v>
      </c>
      <c r="K82" s="229">
        <v>-11.68</v>
      </c>
      <c r="L82" s="229"/>
      <c r="M82" s="229"/>
      <c r="N82" s="229">
        <f t="shared" ref="N82:N88" si="42">SUM(O82:Q82)</f>
        <v>1218.73</v>
      </c>
      <c r="O82" s="229">
        <f t="shared" ref="O82:O88" si="43">G82+K82</f>
        <v>1218.73</v>
      </c>
      <c r="P82" s="229">
        <f t="shared" ref="P82:P88" si="44">H82+L82</f>
        <v>0</v>
      </c>
      <c r="Q82" s="229">
        <f t="shared" ref="Q82:Q88" si="45">I82+M82</f>
        <v>0</v>
      </c>
      <c r="R82" s="229"/>
      <c r="S82" s="229">
        <v>667.099862</v>
      </c>
      <c r="T82" s="228" t="s">
        <v>1379</v>
      </c>
      <c r="U82" s="228" t="s">
        <v>1380</v>
      </c>
      <c r="V82" s="235"/>
      <c r="W82" s="236"/>
    </row>
    <row r="83" ht="40.5" spans="1:23">
      <c r="A83" s="221">
        <v>76</v>
      </c>
      <c r="B83" s="227" t="s">
        <v>1236</v>
      </c>
      <c r="C83" s="228" t="s">
        <v>514</v>
      </c>
      <c r="D83" s="228" t="s">
        <v>526</v>
      </c>
      <c r="E83" s="228" t="s">
        <v>1381</v>
      </c>
      <c r="F83" s="229">
        <v>318.45</v>
      </c>
      <c r="G83" s="229">
        <v>318.45</v>
      </c>
      <c r="H83" s="229"/>
      <c r="I83" s="229"/>
      <c r="J83" s="229">
        <f t="shared" si="41"/>
        <v>-0.61</v>
      </c>
      <c r="K83" s="229">
        <f>-0.61</f>
        <v>-0.61</v>
      </c>
      <c r="L83" s="229"/>
      <c r="M83" s="229"/>
      <c r="N83" s="229">
        <f t="shared" si="42"/>
        <v>317.84</v>
      </c>
      <c r="O83" s="229">
        <f t="shared" si="43"/>
        <v>317.84</v>
      </c>
      <c r="P83" s="229">
        <f t="shared" si="44"/>
        <v>0</v>
      </c>
      <c r="Q83" s="229">
        <f t="shared" si="45"/>
        <v>0</v>
      </c>
      <c r="R83" s="229"/>
      <c r="S83" s="229">
        <v>13.85</v>
      </c>
      <c r="T83" s="228" t="s">
        <v>1382</v>
      </c>
      <c r="U83" s="228" t="s">
        <v>1383</v>
      </c>
      <c r="V83" s="235"/>
      <c r="W83" s="236"/>
    </row>
    <row r="84" ht="40.5" spans="1:23">
      <c r="A84" s="221">
        <v>77</v>
      </c>
      <c r="B84" s="227" t="s">
        <v>1236</v>
      </c>
      <c r="C84" s="228" t="s">
        <v>514</v>
      </c>
      <c r="D84" s="228" t="s">
        <v>526</v>
      </c>
      <c r="E84" s="228" t="s">
        <v>1384</v>
      </c>
      <c r="F84" s="229">
        <v>364.31</v>
      </c>
      <c r="G84" s="229">
        <v>364.31</v>
      </c>
      <c r="H84" s="229"/>
      <c r="I84" s="229"/>
      <c r="J84" s="229">
        <f t="shared" si="41"/>
        <v>-72.71</v>
      </c>
      <c r="K84" s="229">
        <v>-72.71</v>
      </c>
      <c r="L84" s="229"/>
      <c r="M84" s="229"/>
      <c r="N84" s="229">
        <f t="shared" si="42"/>
        <v>291.6</v>
      </c>
      <c r="O84" s="229">
        <f t="shared" si="43"/>
        <v>291.6</v>
      </c>
      <c r="P84" s="229">
        <f t="shared" si="44"/>
        <v>0</v>
      </c>
      <c r="Q84" s="229">
        <f t="shared" si="45"/>
        <v>0</v>
      </c>
      <c r="R84" s="229"/>
      <c r="S84" s="229">
        <v>220.12</v>
      </c>
      <c r="T84" s="228" t="s">
        <v>1385</v>
      </c>
      <c r="U84" s="228" t="s">
        <v>1386</v>
      </c>
      <c r="V84" s="235"/>
      <c r="W84" s="236"/>
    </row>
    <row r="85" ht="40.5" spans="1:23">
      <c r="A85" s="221">
        <v>78</v>
      </c>
      <c r="B85" s="227" t="s">
        <v>1236</v>
      </c>
      <c r="C85" s="228" t="s">
        <v>514</v>
      </c>
      <c r="D85" s="228" t="s">
        <v>1387</v>
      </c>
      <c r="E85" s="228" t="s">
        <v>1388</v>
      </c>
      <c r="F85" s="229">
        <v>313.82</v>
      </c>
      <c r="G85" s="229">
        <v>313.82</v>
      </c>
      <c r="H85" s="229"/>
      <c r="I85" s="229"/>
      <c r="J85" s="229">
        <f t="shared" si="41"/>
        <v>-60.39</v>
      </c>
      <c r="K85" s="229">
        <f>-60.39</f>
        <v>-60.39</v>
      </c>
      <c r="L85" s="229"/>
      <c r="M85" s="229"/>
      <c r="N85" s="229">
        <f t="shared" si="42"/>
        <v>253.43</v>
      </c>
      <c r="O85" s="229">
        <f t="shared" si="43"/>
        <v>253.43</v>
      </c>
      <c r="P85" s="229">
        <f t="shared" si="44"/>
        <v>0</v>
      </c>
      <c r="Q85" s="229">
        <f t="shared" si="45"/>
        <v>0</v>
      </c>
      <c r="R85" s="229"/>
      <c r="S85" s="229">
        <v>10.36</v>
      </c>
      <c r="T85" s="228" t="s">
        <v>1389</v>
      </c>
      <c r="U85" s="228" t="s">
        <v>1390</v>
      </c>
      <c r="V85" s="235"/>
      <c r="W85" s="236"/>
    </row>
    <row r="86" ht="30" customHeight="1" spans="1:23">
      <c r="A86" s="221">
        <v>79</v>
      </c>
      <c r="B86" s="227" t="s">
        <v>1334</v>
      </c>
      <c r="C86" s="228" t="s">
        <v>514</v>
      </c>
      <c r="D86" s="228" t="s">
        <v>526</v>
      </c>
      <c r="E86" s="228" t="s">
        <v>1391</v>
      </c>
      <c r="F86" s="229"/>
      <c r="G86" s="229"/>
      <c r="H86" s="229"/>
      <c r="I86" s="229"/>
      <c r="J86" s="229">
        <f t="shared" si="41"/>
        <v>61.57</v>
      </c>
      <c r="K86" s="229">
        <v>61.57</v>
      </c>
      <c r="L86" s="229"/>
      <c r="M86" s="229"/>
      <c r="N86" s="229">
        <f t="shared" si="42"/>
        <v>61.57</v>
      </c>
      <c r="O86" s="229">
        <f t="shared" si="43"/>
        <v>61.57</v>
      </c>
      <c r="P86" s="229">
        <f t="shared" si="44"/>
        <v>0</v>
      </c>
      <c r="Q86" s="229">
        <f t="shared" si="45"/>
        <v>0</v>
      </c>
      <c r="R86" s="229"/>
      <c r="S86" s="229">
        <v>46.22</v>
      </c>
      <c r="T86" s="228" t="s">
        <v>1392</v>
      </c>
      <c r="U86" s="228"/>
      <c r="V86" s="235"/>
      <c r="W86" s="236"/>
    </row>
    <row r="87" ht="27" spans="1:23">
      <c r="A87" s="221">
        <v>80</v>
      </c>
      <c r="B87" s="227" t="s">
        <v>195</v>
      </c>
      <c r="C87" s="228" t="s">
        <v>514</v>
      </c>
      <c r="D87" s="228" t="s">
        <v>1393</v>
      </c>
      <c r="E87" s="228" t="s">
        <v>1394</v>
      </c>
      <c r="F87" s="229"/>
      <c r="G87" s="229"/>
      <c r="H87" s="229"/>
      <c r="I87" s="229"/>
      <c r="J87" s="229">
        <f t="shared" si="41"/>
        <v>0</v>
      </c>
      <c r="K87" s="229"/>
      <c r="L87" s="229"/>
      <c r="M87" s="229"/>
      <c r="N87" s="229">
        <f t="shared" si="42"/>
        <v>0</v>
      </c>
      <c r="O87" s="229">
        <f t="shared" si="43"/>
        <v>0</v>
      </c>
      <c r="P87" s="229">
        <f t="shared" si="44"/>
        <v>0</v>
      </c>
      <c r="Q87" s="229">
        <f t="shared" si="45"/>
        <v>0</v>
      </c>
      <c r="R87" s="229"/>
      <c r="S87" s="229">
        <v>28.6</v>
      </c>
      <c r="T87" s="228"/>
      <c r="U87" s="228"/>
      <c r="V87" s="235"/>
      <c r="W87" s="236">
        <v>28.6</v>
      </c>
    </row>
    <row r="88" ht="27" spans="1:23">
      <c r="A88" s="221">
        <v>81</v>
      </c>
      <c r="B88" s="227" t="s">
        <v>195</v>
      </c>
      <c r="C88" s="228" t="s">
        <v>514</v>
      </c>
      <c r="D88" s="228" t="s">
        <v>1395</v>
      </c>
      <c r="E88" s="228" t="s">
        <v>1396</v>
      </c>
      <c r="F88" s="229"/>
      <c r="G88" s="229"/>
      <c r="H88" s="229"/>
      <c r="I88" s="229"/>
      <c r="J88" s="229">
        <f t="shared" si="41"/>
        <v>0</v>
      </c>
      <c r="K88" s="229"/>
      <c r="L88" s="229"/>
      <c r="M88" s="229"/>
      <c r="N88" s="229">
        <f t="shared" si="42"/>
        <v>0</v>
      </c>
      <c r="O88" s="229">
        <f t="shared" si="43"/>
        <v>0</v>
      </c>
      <c r="P88" s="229">
        <f t="shared" si="44"/>
        <v>0</v>
      </c>
      <c r="Q88" s="229">
        <f t="shared" si="45"/>
        <v>0</v>
      </c>
      <c r="R88" s="229"/>
      <c r="S88" s="229">
        <v>70</v>
      </c>
      <c r="T88" s="228"/>
      <c r="U88" s="228"/>
      <c r="V88" s="235"/>
      <c r="W88" s="236">
        <v>70</v>
      </c>
    </row>
    <row r="89" ht="21" customHeight="1" spans="1:23">
      <c r="A89" s="221">
        <v>82</v>
      </c>
      <c r="B89" s="222"/>
      <c r="C89" s="223"/>
      <c r="D89" s="224" t="s">
        <v>1397</v>
      </c>
      <c r="E89" s="225"/>
      <c r="F89" s="226">
        <f>SUM(F90:F120)</f>
        <v>9792.01</v>
      </c>
      <c r="G89" s="226">
        <f>SUM(G90:G120)</f>
        <v>491.09</v>
      </c>
      <c r="H89" s="226">
        <f>SUM(H90:H120)</f>
        <v>9300.92</v>
      </c>
      <c r="I89" s="226">
        <f>SUM(I90:I120)</f>
        <v>0</v>
      </c>
      <c r="J89" s="226">
        <f t="shared" ref="J89:R89" si="46">SUM(J90:J120)</f>
        <v>376.491429</v>
      </c>
      <c r="K89" s="226">
        <f t="shared" si="46"/>
        <v>-62.36</v>
      </c>
      <c r="L89" s="226">
        <f t="shared" si="46"/>
        <v>438.851429</v>
      </c>
      <c r="M89" s="226">
        <f t="shared" si="46"/>
        <v>0</v>
      </c>
      <c r="N89" s="226">
        <f t="shared" si="46"/>
        <v>10168.501429</v>
      </c>
      <c r="O89" s="226">
        <f t="shared" si="46"/>
        <v>428.73</v>
      </c>
      <c r="P89" s="226">
        <f t="shared" si="46"/>
        <v>9739.771429</v>
      </c>
      <c r="Q89" s="226">
        <f t="shared" si="46"/>
        <v>0</v>
      </c>
      <c r="R89" s="226">
        <f t="shared" si="46"/>
        <v>0</v>
      </c>
      <c r="S89" s="226"/>
      <c r="T89" s="239"/>
      <c r="U89" s="228"/>
      <c r="V89" s="235"/>
      <c r="W89" s="236"/>
    </row>
    <row r="90" ht="27" spans="1:23">
      <c r="A90" s="221">
        <v>83</v>
      </c>
      <c r="B90" s="227" t="s">
        <v>540</v>
      </c>
      <c r="C90" s="228" t="s">
        <v>546</v>
      </c>
      <c r="D90" s="228" t="s">
        <v>547</v>
      </c>
      <c r="E90" s="228" t="s">
        <v>1398</v>
      </c>
      <c r="F90" s="229">
        <v>100</v>
      </c>
      <c r="G90" s="229"/>
      <c r="H90" s="229">
        <v>100</v>
      </c>
      <c r="I90" s="229"/>
      <c r="J90" s="229">
        <f t="shared" ref="J90:J108" si="47">SUM(K90:M90)</f>
        <v>0</v>
      </c>
      <c r="K90" s="229"/>
      <c r="L90" s="229"/>
      <c r="M90" s="229"/>
      <c r="N90" s="229">
        <f t="shared" ref="N90:N108" si="48">SUM(O90:Q90)</f>
        <v>100</v>
      </c>
      <c r="O90" s="229">
        <f t="shared" ref="O90:O108" si="49">G90+K90</f>
        <v>0</v>
      </c>
      <c r="P90" s="229">
        <f t="shared" ref="P90:P108" si="50">H90+L90</f>
        <v>100</v>
      </c>
      <c r="Q90" s="229">
        <f t="shared" ref="Q90:Q108" si="51">I90+M90</f>
        <v>0</v>
      </c>
      <c r="R90" s="229"/>
      <c r="S90" s="229"/>
      <c r="T90" s="228"/>
      <c r="U90" s="228" t="s">
        <v>1398</v>
      </c>
      <c r="V90" s="235"/>
      <c r="W90" s="236"/>
    </row>
    <row r="91" ht="27" spans="1:23">
      <c r="A91" s="221">
        <v>84</v>
      </c>
      <c r="B91" s="227" t="s">
        <v>540</v>
      </c>
      <c r="C91" s="228" t="s">
        <v>553</v>
      </c>
      <c r="D91" s="228" t="s">
        <v>554</v>
      </c>
      <c r="E91" s="228" t="s">
        <v>1399</v>
      </c>
      <c r="F91" s="229">
        <v>20</v>
      </c>
      <c r="G91" s="229">
        <v>20</v>
      </c>
      <c r="H91" s="229"/>
      <c r="I91" s="229"/>
      <c r="J91" s="229">
        <f t="shared" si="47"/>
        <v>0</v>
      </c>
      <c r="K91" s="229"/>
      <c r="L91" s="229"/>
      <c r="M91" s="229"/>
      <c r="N91" s="229">
        <f t="shared" si="48"/>
        <v>20</v>
      </c>
      <c r="O91" s="229">
        <f t="shared" si="49"/>
        <v>20</v>
      </c>
      <c r="P91" s="229">
        <f t="shared" si="50"/>
        <v>0</v>
      </c>
      <c r="Q91" s="229">
        <f t="shared" si="51"/>
        <v>0</v>
      </c>
      <c r="R91" s="229"/>
      <c r="S91" s="229">
        <v>15.2583</v>
      </c>
      <c r="T91" s="228"/>
      <c r="U91" s="228" t="s">
        <v>1400</v>
      </c>
      <c r="V91" s="235"/>
      <c r="W91" s="236"/>
    </row>
    <row r="92" ht="27" spans="1:23">
      <c r="A92" s="221">
        <v>85</v>
      </c>
      <c r="B92" s="227" t="s">
        <v>540</v>
      </c>
      <c r="C92" s="228" t="s">
        <v>553</v>
      </c>
      <c r="D92" s="228" t="s">
        <v>1401</v>
      </c>
      <c r="E92" s="228" t="s">
        <v>1402</v>
      </c>
      <c r="F92" s="229">
        <v>5</v>
      </c>
      <c r="G92" s="229">
        <v>5</v>
      </c>
      <c r="H92" s="229"/>
      <c r="I92" s="229"/>
      <c r="J92" s="229">
        <f t="shared" si="47"/>
        <v>0</v>
      </c>
      <c r="K92" s="229"/>
      <c r="L92" s="229"/>
      <c r="M92" s="229"/>
      <c r="N92" s="229">
        <f t="shared" si="48"/>
        <v>5</v>
      </c>
      <c r="O92" s="229">
        <f t="shared" si="49"/>
        <v>5</v>
      </c>
      <c r="P92" s="229">
        <f t="shared" si="50"/>
        <v>0</v>
      </c>
      <c r="Q92" s="229">
        <f t="shared" si="51"/>
        <v>0</v>
      </c>
      <c r="R92" s="229"/>
      <c r="S92" s="229"/>
      <c r="T92" s="228"/>
      <c r="U92" s="228" t="s">
        <v>1403</v>
      </c>
      <c r="V92" s="235"/>
      <c r="W92" s="236"/>
    </row>
    <row r="93" ht="27" spans="1:23">
      <c r="A93" s="221">
        <v>86</v>
      </c>
      <c r="B93" s="227" t="s">
        <v>540</v>
      </c>
      <c r="C93" s="228" t="s">
        <v>553</v>
      </c>
      <c r="D93" s="228" t="s">
        <v>1401</v>
      </c>
      <c r="E93" s="228" t="s">
        <v>1404</v>
      </c>
      <c r="F93" s="229">
        <v>10</v>
      </c>
      <c r="G93" s="229">
        <v>10</v>
      </c>
      <c r="H93" s="229"/>
      <c r="I93" s="229"/>
      <c r="J93" s="229">
        <f t="shared" si="47"/>
        <v>0</v>
      </c>
      <c r="K93" s="229"/>
      <c r="L93" s="229"/>
      <c r="M93" s="229"/>
      <c r="N93" s="229">
        <f t="shared" si="48"/>
        <v>10</v>
      </c>
      <c r="O93" s="229">
        <f t="shared" si="49"/>
        <v>10</v>
      </c>
      <c r="P93" s="229">
        <f t="shared" si="50"/>
        <v>0</v>
      </c>
      <c r="Q93" s="229">
        <f t="shared" si="51"/>
        <v>0</v>
      </c>
      <c r="R93" s="229"/>
      <c r="S93" s="229">
        <v>4.3</v>
      </c>
      <c r="T93" s="228"/>
      <c r="U93" s="228" t="s">
        <v>1405</v>
      </c>
      <c r="V93" s="235"/>
      <c r="W93" s="236"/>
    </row>
    <row r="94" ht="27" spans="1:23">
      <c r="A94" s="221">
        <v>87</v>
      </c>
      <c r="B94" s="227" t="s">
        <v>540</v>
      </c>
      <c r="C94" s="228" t="s">
        <v>553</v>
      </c>
      <c r="D94" s="228" t="s">
        <v>556</v>
      </c>
      <c r="E94" s="228" t="s">
        <v>1406</v>
      </c>
      <c r="F94" s="229">
        <v>60</v>
      </c>
      <c r="G94" s="229">
        <v>60</v>
      </c>
      <c r="H94" s="229"/>
      <c r="I94" s="229"/>
      <c r="J94" s="229">
        <f t="shared" si="47"/>
        <v>0</v>
      </c>
      <c r="K94" s="229"/>
      <c r="L94" s="229"/>
      <c r="M94" s="229"/>
      <c r="N94" s="229">
        <f t="shared" si="48"/>
        <v>60</v>
      </c>
      <c r="O94" s="229">
        <f t="shared" si="49"/>
        <v>60</v>
      </c>
      <c r="P94" s="229">
        <f t="shared" si="50"/>
        <v>0</v>
      </c>
      <c r="Q94" s="229">
        <f t="shared" si="51"/>
        <v>0</v>
      </c>
      <c r="R94" s="229"/>
      <c r="S94" s="229"/>
      <c r="T94" s="228"/>
      <c r="U94" s="228" t="s">
        <v>1407</v>
      </c>
      <c r="V94" s="235"/>
      <c r="W94" s="236"/>
    </row>
    <row r="95" ht="54" spans="1:23">
      <c r="A95" s="221">
        <v>88</v>
      </c>
      <c r="B95" s="227" t="s">
        <v>540</v>
      </c>
      <c r="C95" s="228" t="s">
        <v>573</v>
      </c>
      <c r="D95" s="228" t="s">
        <v>1408</v>
      </c>
      <c r="E95" s="228" t="s">
        <v>1409</v>
      </c>
      <c r="F95" s="229">
        <v>80</v>
      </c>
      <c r="G95" s="229"/>
      <c r="H95" s="229">
        <v>80</v>
      </c>
      <c r="I95" s="229"/>
      <c r="J95" s="229">
        <f t="shared" si="47"/>
        <v>43.5</v>
      </c>
      <c r="K95" s="229"/>
      <c r="L95" s="229">
        <v>43.5</v>
      </c>
      <c r="M95" s="229"/>
      <c r="N95" s="229">
        <f t="shared" si="48"/>
        <v>123.5</v>
      </c>
      <c r="O95" s="229">
        <f t="shared" si="49"/>
        <v>0</v>
      </c>
      <c r="P95" s="229">
        <f t="shared" si="50"/>
        <v>123.5</v>
      </c>
      <c r="Q95" s="229">
        <f t="shared" si="51"/>
        <v>0</v>
      </c>
      <c r="R95" s="229"/>
      <c r="S95" s="229">
        <v>78.255377</v>
      </c>
      <c r="T95" s="228" t="s">
        <v>1410</v>
      </c>
      <c r="U95" s="228" t="s">
        <v>1411</v>
      </c>
      <c r="V95" s="235"/>
      <c r="W95" s="236"/>
    </row>
    <row r="96" ht="32" customHeight="1" spans="1:24">
      <c r="A96" s="221">
        <v>89</v>
      </c>
      <c r="B96" s="227" t="s">
        <v>540</v>
      </c>
      <c r="C96" s="228" t="s">
        <v>573</v>
      </c>
      <c r="D96" s="228" t="s">
        <v>1408</v>
      </c>
      <c r="E96" s="228" t="s">
        <v>1412</v>
      </c>
      <c r="F96" s="229">
        <v>591.3</v>
      </c>
      <c r="G96" s="229"/>
      <c r="H96" s="229">
        <v>591.3</v>
      </c>
      <c r="I96" s="229"/>
      <c r="J96" s="229">
        <f t="shared" si="47"/>
        <v>197.088329</v>
      </c>
      <c r="K96" s="229"/>
      <c r="L96" s="229">
        <f>197.088329</f>
        <v>197.088329</v>
      </c>
      <c r="M96" s="229"/>
      <c r="N96" s="229">
        <f t="shared" si="48"/>
        <v>788.388329</v>
      </c>
      <c r="O96" s="229">
        <f t="shared" si="49"/>
        <v>0</v>
      </c>
      <c r="P96" s="229">
        <f t="shared" si="50"/>
        <v>788.388329</v>
      </c>
      <c r="Q96" s="229">
        <f t="shared" si="51"/>
        <v>0</v>
      </c>
      <c r="R96" s="229"/>
      <c r="S96" s="229">
        <v>512.198829</v>
      </c>
      <c r="T96" s="228" t="s">
        <v>1413</v>
      </c>
      <c r="U96" s="228" t="s">
        <v>1414</v>
      </c>
      <c r="V96" s="235"/>
      <c r="W96" s="236"/>
      <c r="X96" s="210">
        <v>197.088329</v>
      </c>
    </row>
    <row r="97" ht="45" customHeight="1" spans="1:24">
      <c r="A97" s="221">
        <v>90</v>
      </c>
      <c r="B97" s="227" t="s">
        <v>540</v>
      </c>
      <c r="C97" s="228" t="s">
        <v>573</v>
      </c>
      <c r="D97" s="228" t="s">
        <v>1408</v>
      </c>
      <c r="E97" s="228" t="s">
        <v>1415</v>
      </c>
      <c r="F97" s="229">
        <v>634.7</v>
      </c>
      <c r="G97" s="229"/>
      <c r="H97" s="229">
        <v>634.7</v>
      </c>
      <c r="I97" s="229"/>
      <c r="J97" s="229">
        <f t="shared" si="47"/>
        <v>645.58</v>
      </c>
      <c r="K97" s="229"/>
      <c r="L97" s="229">
        <f>640.14+5.44</f>
        <v>645.58</v>
      </c>
      <c r="M97" s="229"/>
      <c r="N97" s="229">
        <f t="shared" si="48"/>
        <v>1280.28</v>
      </c>
      <c r="O97" s="229">
        <f t="shared" si="49"/>
        <v>0</v>
      </c>
      <c r="P97" s="229">
        <f t="shared" si="50"/>
        <v>1280.28</v>
      </c>
      <c r="Q97" s="229">
        <f t="shared" si="51"/>
        <v>0</v>
      </c>
      <c r="R97" s="229"/>
      <c r="S97" s="229">
        <v>634.7</v>
      </c>
      <c r="T97" s="228" t="s">
        <v>1416</v>
      </c>
      <c r="U97" s="228" t="s">
        <v>1417</v>
      </c>
      <c r="V97" s="235"/>
      <c r="W97" s="236"/>
      <c r="X97" s="210">
        <v>640.14</v>
      </c>
    </row>
    <row r="98" ht="48" customHeight="1" spans="1:24">
      <c r="A98" s="221">
        <v>91</v>
      </c>
      <c r="B98" s="227" t="s">
        <v>540</v>
      </c>
      <c r="C98" s="228" t="s">
        <v>573</v>
      </c>
      <c r="D98" s="228" t="s">
        <v>1418</v>
      </c>
      <c r="E98" s="228" t="s">
        <v>1419</v>
      </c>
      <c r="F98" s="229">
        <v>496.11</v>
      </c>
      <c r="G98" s="229"/>
      <c r="H98" s="229">
        <v>496.11</v>
      </c>
      <c r="I98" s="229"/>
      <c r="J98" s="229">
        <f t="shared" si="47"/>
        <v>401.92</v>
      </c>
      <c r="K98" s="229"/>
      <c r="L98" s="229">
        <v>401.92</v>
      </c>
      <c r="M98" s="229"/>
      <c r="N98" s="229">
        <f t="shared" si="48"/>
        <v>898.03</v>
      </c>
      <c r="O98" s="229">
        <f t="shared" si="49"/>
        <v>0</v>
      </c>
      <c r="P98" s="229">
        <f t="shared" si="50"/>
        <v>898.03</v>
      </c>
      <c r="Q98" s="229">
        <f t="shared" si="51"/>
        <v>0</v>
      </c>
      <c r="R98" s="229"/>
      <c r="S98" s="229">
        <v>759.071738</v>
      </c>
      <c r="T98" s="228" t="s">
        <v>1295</v>
      </c>
      <c r="U98" s="228" t="s">
        <v>1420</v>
      </c>
      <c r="V98" s="235"/>
      <c r="W98" s="236"/>
      <c r="X98" s="210">
        <v>401.92</v>
      </c>
    </row>
    <row r="99" ht="47" customHeight="1" spans="1:23">
      <c r="A99" s="221">
        <v>92</v>
      </c>
      <c r="B99" s="227" t="s">
        <v>540</v>
      </c>
      <c r="C99" s="228" t="s">
        <v>553</v>
      </c>
      <c r="D99" s="228" t="s">
        <v>1421</v>
      </c>
      <c r="E99" s="228" t="s">
        <v>1422</v>
      </c>
      <c r="F99" s="229">
        <v>11</v>
      </c>
      <c r="G99" s="229"/>
      <c r="H99" s="229">
        <v>11</v>
      </c>
      <c r="I99" s="229"/>
      <c r="J99" s="229">
        <f t="shared" si="47"/>
        <v>0</v>
      </c>
      <c r="K99" s="229"/>
      <c r="L99" s="229"/>
      <c r="M99" s="229"/>
      <c r="N99" s="229">
        <f t="shared" si="48"/>
        <v>11</v>
      </c>
      <c r="O99" s="229">
        <f t="shared" si="49"/>
        <v>0</v>
      </c>
      <c r="P99" s="229">
        <f t="shared" si="50"/>
        <v>11</v>
      </c>
      <c r="Q99" s="229">
        <f t="shared" si="51"/>
        <v>0</v>
      </c>
      <c r="R99" s="229"/>
      <c r="S99" s="229"/>
      <c r="T99" s="228"/>
      <c r="U99" s="228" t="s">
        <v>1423</v>
      </c>
      <c r="V99" s="235"/>
      <c r="W99" s="236"/>
    </row>
    <row r="100" ht="29" customHeight="1" spans="1:23">
      <c r="A100" s="221">
        <v>93</v>
      </c>
      <c r="B100" s="227" t="s">
        <v>540</v>
      </c>
      <c r="C100" s="228" t="s">
        <v>553</v>
      </c>
      <c r="D100" s="228" t="s">
        <v>1421</v>
      </c>
      <c r="E100" s="228" t="s">
        <v>1424</v>
      </c>
      <c r="F100" s="229">
        <v>340</v>
      </c>
      <c r="G100" s="229">
        <v>340</v>
      </c>
      <c r="H100" s="229"/>
      <c r="I100" s="229"/>
      <c r="J100" s="229">
        <f t="shared" si="47"/>
        <v>-340</v>
      </c>
      <c r="K100" s="229">
        <v>-340</v>
      </c>
      <c r="L100" s="229"/>
      <c r="M100" s="229"/>
      <c r="N100" s="229">
        <f t="shared" si="48"/>
        <v>0</v>
      </c>
      <c r="O100" s="229">
        <f t="shared" si="49"/>
        <v>0</v>
      </c>
      <c r="P100" s="229">
        <f t="shared" si="50"/>
        <v>0</v>
      </c>
      <c r="Q100" s="229">
        <f t="shared" si="51"/>
        <v>0</v>
      </c>
      <c r="R100" s="229"/>
      <c r="S100" s="229"/>
      <c r="T100" s="228"/>
      <c r="U100" s="228" t="s">
        <v>1425</v>
      </c>
      <c r="V100" s="235">
        <v>-340</v>
      </c>
      <c r="W100" s="236"/>
    </row>
    <row r="101" ht="30" customHeight="1" spans="1:23">
      <c r="A101" s="221">
        <v>94</v>
      </c>
      <c r="B101" s="227" t="s">
        <v>540</v>
      </c>
      <c r="C101" s="228" t="s">
        <v>226</v>
      </c>
      <c r="D101" s="228" t="s">
        <v>1426</v>
      </c>
      <c r="E101" s="228" t="s">
        <v>1427</v>
      </c>
      <c r="F101" s="229"/>
      <c r="G101" s="229"/>
      <c r="H101" s="229"/>
      <c r="I101" s="229"/>
      <c r="J101" s="229">
        <f t="shared" si="47"/>
        <v>21</v>
      </c>
      <c r="K101" s="229">
        <v>21</v>
      </c>
      <c r="L101" s="229"/>
      <c r="M101" s="229"/>
      <c r="N101" s="229">
        <f t="shared" si="48"/>
        <v>21</v>
      </c>
      <c r="O101" s="229">
        <f t="shared" si="49"/>
        <v>21</v>
      </c>
      <c r="P101" s="229">
        <f t="shared" si="50"/>
        <v>0</v>
      </c>
      <c r="Q101" s="229">
        <f t="shared" si="51"/>
        <v>0</v>
      </c>
      <c r="R101" s="229"/>
      <c r="S101" s="229"/>
      <c r="T101" s="228" t="s">
        <v>1428</v>
      </c>
      <c r="U101" s="228"/>
      <c r="V101" s="235"/>
      <c r="W101" s="236"/>
    </row>
    <row r="102" ht="27" spans="1:23">
      <c r="A102" s="221">
        <v>95</v>
      </c>
      <c r="B102" s="227" t="s">
        <v>540</v>
      </c>
      <c r="C102" s="228" t="s">
        <v>553</v>
      </c>
      <c r="D102" s="228" t="s">
        <v>1429</v>
      </c>
      <c r="E102" s="228" t="s">
        <v>1430</v>
      </c>
      <c r="F102" s="229">
        <v>50</v>
      </c>
      <c r="G102" s="229">
        <v>50</v>
      </c>
      <c r="H102" s="229"/>
      <c r="I102" s="229"/>
      <c r="J102" s="229">
        <f t="shared" si="47"/>
        <v>0</v>
      </c>
      <c r="K102" s="229"/>
      <c r="L102" s="229"/>
      <c r="M102" s="229"/>
      <c r="N102" s="229">
        <f t="shared" si="48"/>
        <v>50</v>
      </c>
      <c r="O102" s="229">
        <f t="shared" si="49"/>
        <v>50</v>
      </c>
      <c r="P102" s="229">
        <f t="shared" si="50"/>
        <v>0</v>
      </c>
      <c r="Q102" s="229">
        <f t="shared" si="51"/>
        <v>0</v>
      </c>
      <c r="R102" s="229"/>
      <c r="S102" s="229"/>
      <c r="T102" s="228"/>
      <c r="U102" s="228" t="s">
        <v>1431</v>
      </c>
      <c r="V102" s="235"/>
      <c r="W102" s="236"/>
    </row>
    <row r="103" ht="40.5" spans="1:23">
      <c r="A103" s="221">
        <v>96</v>
      </c>
      <c r="B103" s="227" t="s">
        <v>1236</v>
      </c>
      <c r="C103" s="228" t="s">
        <v>553</v>
      </c>
      <c r="D103" s="228" t="s">
        <v>1429</v>
      </c>
      <c r="E103" s="228" t="s">
        <v>1432</v>
      </c>
      <c r="F103" s="229">
        <v>6.09</v>
      </c>
      <c r="G103" s="229">
        <v>6.09</v>
      </c>
      <c r="H103" s="229"/>
      <c r="I103" s="229"/>
      <c r="J103" s="229">
        <f t="shared" si="47"/>
        <v>0</v>
      </c>
      <c r="K103" s="229"/>
      <c r="L103" s="229"/>
      <c r="M103" s="229"/>
      <c r="N103" s="229">
        <f t="shared" si="48"/>
        <v>6.09</v>
      </c>
      <c r="O103" s="229">
        <f t="shared" si="49"/>
        <v>6.09</v>
      </c>
      <c r="P103" s="229">
        <f t="shared" si="50"/>
        <v>0</v>
      </c>
      <c r="Q103" s="229">
        <f t="shared" si="51"/>
        <v>0</v>
      </c>
      <c r="R103" s="229"/>
      <c r="S103" s="229"/>
      <c r="T103" s="228"/>
      <c r="U103" s="228" t="s">
        <v>1433</v>
      </c>
      <c r="V103" s="235"/>
      <c r="W103" s="236"/>
    </row>
    <row r="104" ht="27" spans="1:23">
      <c r="A104" s="221">
        <v>97</v>
      </c>
      <c r="B104" s="227" t="s">
        <v>1334</v>
      </c>
      <c r="C104" s="228" t="s">
        <v>553</v>
      </c>
      <c r="D104" s="228" t="s">
        <v>1434</v>
      </c>
      <c r="E104" s="228" t="s">
        <v>1435</v>
      </c>
      <c r="F104" s="229"/>
      <c r="G104" s="229"/>
      <c r="H104" s="229"/>
      <c r="I104" s="229"/>
      <c r="J104" s="229">
        <f t="shared" si="47"/>
        <v>256.64</v>
      </c>
      <c r="K104" s="229">
        <v>256.64</v>
      </c>
      <c r="L104" s="229"/>
      <c r="M104" s="229"/>
      <c r="N104" s="229">
        <f t="shared" si="48"/>
        <v>256.64</v>
      </c>
      <c r="O104" s="229">
        <f t="shared" si="49"/>
        <v>256.64</v>
      </c>
      <c r="P104" s="229">
        <f t="shared" si="50"/>
        <v>0</v>
      </c>
      <c r="Q104" s="229">
        <f t="shared" si="51"/>
        <v>0</v>
      </c>
      <c r="R104" s="229"/>
      <c r="S104" s="229">
        <v>256.64</v>
      </c>
      <c r="T104" s="228" t="s">
        <v>1436</v>
      </c>
      <c r="U104" s="228"/>
      <c r="V104" s="235"/>
      <c r="W104" s="236"/>
    </row>
    <row r="105" ht="27" spans="1:23">
      <c r="A105" s="221">
        <v>98</v>
      </c>
      <c r="B105" s="227" t="s">
        <v>540</v>
      </c>
      <c r="C105" s="228" t="s">
        <v>553</v>
      </c>
      <c r="D105" s="228" t="s">
        <v>1429</v>
      </c>
      <c r="E105" s="228" t="s">
        <v>1437</v>
      </c>
      <c r="F105" s="229">
        <v>31.92</v>
      </c>
      <c r="G105" s="229"/>
      <c r="H105" s="229">
        <v>31.92</v>
      </c>
      <c r="I105" s="229"/>
      <c r="J105" s="229">
        <f t="shared" si="47"/>
        <v>0</v>
      </c>
      <c r="K105" s="229"/>
      <c r="L105" s="229"/>
      <c r="M105" s="229"/>
      <c r="N105" s="229">
        <f t="shared" si="48"/>
        <v>31.92</v>
      </c>
      <c r="O105" s="229">
        <f t="shared" si="49"/>
        <v>0</v>
      </c>
      <c r="P105" s="229">
        <f t="shared" si="50"/>
        <v>31.92</v>
      </c>
      <c r="Q105" s="229">
        <f t="shared" si="51"/>
        <v>0</v>
      </c>
      <c r="R105" s="229"/>
      <c r="S105" s="229"/>
      <c r="T105" s="228"/>
      <c r="U105" s="228" t="s">
        <v>1438</v>
      </c>
      <c r="V105" s="235"/>
      <c r="W105" s="236"/>
    </row>
    <row r="106" ht="40.5" spans="1:23">
      <c r="A106" s="221">
        <v>99</v>
      </c>
      <c r="B106" s="227" t="s">
        <v>540</v>
      </c>
      <c r="C106" s="228" t="s">
        <v>553</v>
      </c>
      <c r="D106" s="228" t="s">
        <v>1429</v>
      </c>
      <c r="E106" s="228" t="s">
        <v>1439</v>
      </c>
      <c r="F106" s="229">
        <v>65</v>
      </c>
      <c r="G106" s="229"/>
      <c r="H106" s="229">
        <v>65</v>
      </c>
      <c r="I106" s="229"/>
      <c r="J106" s="229">
        <f t="shared" si="47"/>
        <v>-25.43</v>
      </c>
      <c r="K106" s="229"/>
      <c r="L106" s="229">
        <v>-25.43</v>
      </c>
      <c r="M106" s="229"/>
      <c r="N106" s="229">
        <f t="shared" si="48"/>
        <v>39.57</v>
      </c>
      <c r="O106" s="229">
        <f t="shared" si="49"/>
        <v>0</v>
      </c>
      <c r="P106" s="229">
        <f t="shared" si="50"/>
        <v>39.57</v>
      </c>
      <c r="Q106" s="229">
        <f t="shared" si="51"/>
        <v>0</v>
      </c>
      <c r="R106" s="229"/>
      <c r="S106" s="229"/>
      <c r="T106" s="228" t="s">
        <v>1440</v>
      </c>
      <c r="U106" s="228" t="s">
        <v>1441</v>
      </c>
      <c r="V106" s="235"/>
      <c r="W106" s="236"/>
    </row>
    <row r="107" ht="27" spans="1:23">
      <c r="A107" s="221">
        <v>100</v>
      </c>
      <c r="B107" s="227" t="s">
        <v>540</v>
      </c>
      <c r="C107" s="228" t="s">
        <v>553</v>
      </c>
      <c r="D107" s="228" t="s">
        <v>1429</v>
      </c>
      <c r="E107" s="228" t="s">
        <v>1442</v>
      </c>
      <c r="F107" s="229">
        <v>50</v>
      </c>
      <c r="G107" s="229"/>
      <c r="H107" s="229">
        <v>50</v>
      </c>
      <c r="I107" s="229"/>
      <c r="J107" s="229">
        <f t="shared" si="47"/>
        <v>0</v>
      </c>
      <c r="K107" s="229"/>
      <c r="L107" s="229"/>
      <c r="M107" s="229"/>
      <c r="N107" s="229">
        <f t="shared" si="48"/>
        <v>50</v>
      </c>
      <c r="O107" s="229">
        <f t="shared" si="49"/>
        <v>0</v>
      </c>
      <c r="P107" s="229">
        <f t="shared" si="50"/>
        <v>50</v>
      </c>
      <c r="Q107" s="229">
        <f t="shared" si="51"/>
        <v>0</v>
      </c>
      <c r="R107" s="229"/>
      <c r="S107" s="229"/>
      <c r="T107" s="228"/>
      <c r="U107" s="228" t="s">
        <v>1443</v>
      </c>
      <c r="V107" s="235"/>
      <c r="W107" s="236"/>
    </row>
    <row r="108" ht="27" spans="1:23">
      <c r="A108" s="221">
        <v>101</v>
      </c>
      <c r="B108" s="227" t="s">
        <v>540</v>
      </c>
      <c r="C108" s="228" t="s">
        <v>553</v>
      </c>
      <c r="D108" s="228" t="s">
        <v>1429</v>
      </c>
      <c r="E108" s="228" t="s">
        <v>1444</v>
      </c>
      <c r="F108" s="229">
        <v>57</v>
      </c>
      <c r="G108" s="229"/>
      <c r="H108" s="229">
        <v>57</v>
      </c>
      <c r="I108" s="229"/>
      <c r="J108" s="229">
        <f t="shared" si="47"/>
        <v>0</v>
      </c>
      <c r="K108" s="229"/>
      <c r="L108" s="229"/>
      <c r="M108" s="229"/>
      <c r="N108" s="229">
        <f t="shared" si="48"/>
        <v>57</v>
      </c>
      <c r="O108" s="229">
        <f t="shared" si="49"/>
        <v>0</v>
      </c>
      <c r="P108" s="229">
        <f t="shared" si="50"/>
        <v>57</v>
      </c>
      <c r="Q108" s="229">
        <f t="shared" si="51"/>
        <v>0</v>
      </c>
      <c r="R108" s="229"/>
      <c r="S108" s="229"/>
      <c r="T108" s="228" t="s">
        <v>1445</v>
      </c>
      <c r="U108" s="228" t="s">
        <v>1446</v>
      </c>
      <c r="V108" s="235"/>
      <c r="W108" s="236"/>
    </row>
    <row r="109" ht="38" customHeight="1" spans="1:23">
      <c r="A109" s="221">
        <v>102</v>
      </c>
      <c r="B109" s="227" t="s">
        <v>540</v>
      </c>
      <c r="C109" s="228" t="s">
        <v>553</v>
      </c>
      <c r="D109" s="228" t="s">
        <v>1429</v>
      </c>
      <c r="E109" s="228" t="s">
        <v>1447</v>
      </c>
      <c r="F109" s="229">
        <v>282</v>
      </c>
      <c r="G109" s="229"/>
      <c r="H109" s="229">
        <v>282</v>
      </c>
      <c r="I109" s="229"/>
      <c r="J109" s="229">
        <f t="shared" ref="J109:J120" si="52">SUM(K109:M109)</f>
        <v>0</v>
      </c>
      <c r="K109" s="229"/>
      <c r="L109" s="229"/>
      <c r="M109" s="229"/>
      <c r="N109" s="229">
        <f t="shared" ref="N109:N120" si="53">SUM(O109:Q109)</f>
        <v>282</v>
      </c>
      <c r="O109" s="229">
        <f t="shared" ref="O109:O120" si="54">G109+K109</f>
        <v>0</v>
      </c>
      <c r="P109" s="229">
        <f t="shared" ref="P109:P120" si="55">H109+L109</f>
        <v>282</v>
      </c>
      <c r="Q109" s="229">
        <f t="shared" ref="Q109:Q120" si="56">I109+M109</f>
        <v>0</v>
      </c>
      <c r="R109" s="229"/>
      <c r="S109" s="229">
        <v>165.2762</v>
      </c>
      <c r="T109" s="228"/>
      <c r="U109" s="228" t="s">
        <v>1448</v>
      </c>
      <c r="V109" s="235"/>
      <c r="W109" s="236"/>
    </row>
    <row r="110" ht="38" customHeight="1" spans="1:23">
      <c r="A110" s="221">
        <v>103</v>
      </c>
      <c r="B110" s="227" t="s">
        <v>540</v>
      </c>
      <c r="C110" s="228" t="s">
        <v>553</v>
      </c>
      <c r="D110" s="228" t="s">
        <v>1429</v>
      </c>
      <c r="E110" s="228" t="s">
        <v>1449</v>
      </c>
      <c r="F110" s="229">
        <v>29.1</v>
      </c>
      <c r="G110" s="229"/>
      <c r="H110" s="229">
        <v>29.1</v>
      </c>
      <c r="I110" s="229"/>
      <c r="J110" s="229">
        <f t="shared" si="52"/>
        <v>0</v>
      </c>
      <c r="K110" s="229"/>
      <c r="L110" s="229"/>
      <c r="M110" s="229"/>
      <c r="N110" s="229">
        <f t="shared" si="53"/>
        <v>29.1</v>
      </c>
      <c r="O110" s="229">
        <f t="shared" si="54"/>
        <v>0</v>
      </c>
      <c r="P110" s="229">
        <f t="shared" si="55"/>
        <v>29.1</v>
      </c>
      <c r="Q110" s="229">
        <f t="shared" si="56"/>
        <v>0</v>
      </c>
      <c r="R110" s="229"/>
      <c r="S110" s="229">
        <v>28.56</v>
      </c>
      <c r="T110" s="228"/>
      <c r="U110" s="228" t="s">
        <v>1450</v>
      </c>
      <c r="V110" s="235"/>
      <c r="W110" s="236"/>
    </row>
    <row r="111" ht="27" spans="1:23">
      <c r="A111" s="221">
        <v>104</v>
      </c>
      <c r="B111" s="227" t="s">
        <v>540</v>
      </c>
      <c r="C111" s="228" t="s">
        <v>553</v>
      </c>
      <c r="D111" s="228" t="s">
        <v>1429</v>
      </c>
      <c r="E111" s="228" t="s">
        <v>1451</v>
      </c>
      <c r="F111" s="229">
        <v>78.5</v>
      </c>
      <c r="G111" s="229"/>
      <c r="H111" s="229">
        <v>78.5</v>
      </c>
      <c r="I111" s="229"/>
      <c r="J111" s="229">
        <f t="shared" si="52"/>
        <v>0</v>
      </c>
      <c r="K111" s="229"/>
      <c r="L111" s="229"/>
      <c r="M111" s="229"/>
      <c r="N111" s="229">
        <f t="shared" si="53"/>
        <v>78.5</v>
      </c>
      <c r="O111" s="229">
        <f t="shared" si="54"/>
        <v>0</v>
      </c>
      <c r="P111" s="229">
        <f t="shared" si="55"/>
        <v>78.5</v>
      </c>
      <c r="Q111" s="229">
        <f t="shared" si="56"/>
        <v>0</v>
      </c>
      <c r="R111" s="229"/>
      <c r="S111" s="229"/>
      <c r="T111" s="228"/>
      <c r="U111" s="228" t="s">
        <v>1452</v>
      </c>
      <c r="V111" s="235"/>
      <c r="W111" s="236"/>
    </row>
    <row r="112" ht="27" spans="1:23">
      <c r="A112" s="221">
        <v>105</v>
      </c>
      <c r="B112" s="227" t="s">
        <v>540</v>
      </c>
      <c r="C112" s="228" t="s">
        <v>567</v>
      </c>
      <c r="D112" s="228" t="s">
        <v>568</v>
      </c>
      <c r="E112" s="228" t="s">
        <v>1453</v>
      </c>
      <c r="F112" s="229">
        <v>152.34</v>
      </c>
      <c r="G112" s="229"/>
      <c r="H112" s="229">
        <v>152.34</v>
      </c>
      <c r="I112" s="229"/>
      <c r="J112" s="229">
        <f t="shared" si="52"/>
        <v>0</v>
      </c>
      <c r="K112" s="229"/>
      <c r="L112" s="229"/>
      <c r="M112" s="229"/>
      <c r="N112" s="229">
        <f t="shared" si="53"/>
        <v>152.34</v>
      </c>
      <c r="O112" s="229">
        <f t="shared" si="54"/>
        <v>0</v>
      </c>
      <c r="P112" s="229">
        <f t="shared" si="55"/>
        <v>152.34</v>
      </c>
      <c r="Q112" s="229">
        <f t="shared" si="56"/>
        <v>0</v>
      </c>
      <c r="R112" s="229"/>
      <c r="S112" s="229">
        <v>29.042</v>
      </c>
      <c r="T112" s="228"/>
      <c r="U112" s="228" t="s">
        <v>1454</v>
      </c>
      <c r="V112" s="235"/>
      <c r="W112" s="236"/>
    </row>
    <row r="113" ht="41" customHeight="1" spans="1:24">
      <c r="A113" s="221">
        <v>106</v>
      </c>
      <c r="B113" s="227" t="s">
        <v>540</v>
      </c>
      <c r="C113" s="228" t="s">
        <v>553</v>
      </c>
      <c r="D113" s="228" t="s">
        <v>1455</v>
      </c>
      <c r="E113" s="228" t="s">
        <v>1456</v>
      </c>
      <c r="F113" s="229">
        <v>309.94</v>
      </c>
      <c r="G113" s="229"/>
      <c r="H113" s="229">
        <v>309.94</v>
      </c>
      <c r="I113" s="229"/>
      <c r="J113" s="229">
        <f t="shared" si="52"/>
        <v>175.5631</v>
      </c>
      <c r="K113" s="229"/>
      <c r="L113" s="229">
        <v>175.5631</v>
      </c>
      <c r="M113" s="229"/>
      <c r="N113" s="229">
        <f t="shared" si="53"/>
        <v>485.5031</v>
      </c>
      <c r="O113" s="229">
        <f t="shared" si="54"/>
        <v>0</v>
      </c>
      <c r="P113" s="229">
        <f t="shared" si="55"/>
        <v>485.5031</v>
      </c>
      <c r="Q113" s="229">
        <f t="shared" si="56"/>
        <v>0</v>
      </c>
      <c r="R113" s="229"/>
      <c r="S113" s="229">
        <v>175.5631</v>
      </c>
      <c r="T113" s="228" t="s">
        <v>1295</v>
      </c>
      <c r="U113" s="228" t="s">
        <v>1457</v>
      </c>
      <c r="V113" s="235"/>
      <c r="W113" s="236"/>
      <c r="X113" s="210">
        <v>175.5631</v>
      </c>
    </row>
    <row r="114" ht="40.5" spans="1:23">
      <c r="A114" s="221">
        <v>107</v>
      </c>
      <c r="B114" s="227" t="s">
        <v>540</v>
      </c>
      <c r="C114" s="228" t="s">
        <v>553</v>
      </c>
      <c r="D114" s="228" t="s">
        <v>1458</v>
      </c>
      <c r="E114" s="228" t="s">
        <v>1459</v>
      </c>
      <c r="F114" s="229">
        <v>47.23</v>
      </c>
      <c r="G114" s="229"/>
      <c r="H114" s="229">
        <v>47.23</v>
      </c>
      <c r="I114" s="229"/>
      <c r="J114" s="229">
        <f t="shared" si="52"/>
        <v>0</v>
      </c>
      <c r="K114" s="229"/>
      <c r="L114" s="229"/>
      <c r="M114" s="229"/>
      <c r="N114" s="229">
        <f t="shared" si="53"/>
        <v>47.23</v>
      </c>
      <c r="O114" s="229">
        <f t="shared" si="54"/>
        <v>0</v>
      </c>
      <c r="P114" s="229">
        <f t="shared" si="55"/>
        <v>47.23</v>
      </c>
      <c r="Q114" s="229">
        <f t="shared" si="56"/>
        <v>0</v>
      </c>
      <c r="R114" s="229"/>
      <c r="S114" s="229">
        <v>11.455</v>
      </c>
      <c r="T114" s="228"/>
      <c r="U114" s="228" t="s">
        <v>1460</v>
      </c>
      <c r="V114" s="235"/>
      <c r="W114" s="236"/>
    </row>
    <row r="115" ht="40.5" spans="1:23">
      <c r="A115" s="221">
        <v>108</v>
      </c>
      <c r="B115" s="227" t="s">
        <v>540</v>
      </c>
      <c r="C115" s="228" t="s">
        <v>553</v>
      </c>
      <c r="D115" s="228" t="s">
        <v>1461</v>
      </c>
      <c r="E115" s="228" t="s">
        <v>1462</v>
      </c>
      <c r="F115" s="229">
        <v>1541.49</v>
      </c>
      <c r="G115" s="229"/>
      <c r="H115" s="229">
        <v>1541.49</v>
      </c>
      <c r="I115" s="229"/>
      <c r="J115" s="229">
        <f t="shared" si="52"/>
        <v>0</v>
      </c>
      <c r="K115" s="229"/>
      <c r="L115" s="229"/>
      <c r="M115" s="229"/>
      <c r="N115" s="229">
        <f t="shared" si="53"/>
        <v>1541.49</v>
      </c>
      <c r="O115" s="229">
        <f t="shared" si="54"/>
        <v>0</v>
      </c>
      <c r="P115" s="229">
        <f t="shared" si="55"/>
        <v>1541.49</v>
      </c>
      <c r="Q115" s="229">
        <f t="shared" si="56"/>
        <v>0</v>
      </c>
      <c r="R115" s="229"/>
      <c r="S115" s="229">
        <v>336.781891</v>
      </c>
      <c r="T115" s="228"/>
      <c r="U115" s="228" t="s">
        <v>1463</v>
      </c>
      <c r="V115" s="235"/>
      <c r="W115" s="236"/>
    </row>
    <row r="116" ht="27" spans="1:23">
      <c r="A116" s="221">
        <v>109</v>
      </c>
      <c r="B116" s="227" t="s">
        <v>540</v>
      </c>
      <c r="C116" s="228" t="s">
        <v>553</v>
      </c>
      <c r="D116" s="228" t="s">
        <v>1464</v>
      </c>
      <c r="E116" s="228" t="s">
        <v>1465</v>
      </c>
      <c r="F116" s="229">
        <v>20</v>
      </c>
      <c r="G116" s="229"/>
      <c r="H116" s="229">
        <v>20</v>
      </c>
      <c r="I116" s="229"/>
      <c r="J116" s="229">
        <f t="shared" si="52"/>
        <v>0</v>
      </c>
      <c r="K116" s="229"/>
      <c r="L116" s="229"/>
      <c r="M116" s="229"/>
      <c r="N116" s="229">
        <f t="shared" si="53"/>
        <v>20</v>
      </c>
      <c r="O116" s="229">
        <f t="shared" si="54"/>
        <v>0</v>
      </c>
      <c r="P116" s="229">
        <f t="shared" si="55"/>
        <v>20</v>
      </c>
      <c r="Q116" s="229">
        <f t="shared" si="56"/>
        <v>0</v>
      </c>
      <c r="R116" s="229"/>
      <c r="S116" s="229">
        <v>11.4625</v>
      </c>
      <c r="T116" s="228"/>
      <c r="U116" s="228" t="s">
        <v>1466</v>
      </c>
      <c r="V116" s="235"/>
      <c r="W116" s="236"/>
    </row>
    <row r="117" ht="40.5" spans="1:23">
      <c r="A117" s="221">
        <v>110</v>
      </c>
      <c r="B117" s="227" t="s">
        <v>540</v>
      </c>
      <c r="C117" s="228" t="s">
        <v>553</v>
      </c>
      <c r="D117" s="228" t="s">
        <v>1467</v>
      </c>
      <c r="E117" s="228" t="s">
        <v>1468</v>
      </c>
      <c r="F117" s="229">
        <v>816.66</v>
      </c>
      <c r="G117" s="229"/>
      <c r="H117" s="229">
        <v>816.66</v>
      </c>
      <c r="I117" s="229"/>
      <c r="J117" s="229">
        <f t="shared" si="52"/>
        <v>0</v>
      </c>
      <c r="K117" s="229"/>
      <c r="L117" s="229"/>
      <c r="M117" s="229"/>
      <c r="N117" s="229">
        <f t="shared" si="53"/>
        <v>816.66</v>
      </c>
      <c r="O117" s="229">
        <f t="shared" si="54"/>
        <v>0</v>
      </c>
      <c r="P117" s="229">
        <f t="shared" si="55"/>
        <v>816.66</v>
      </c>
      <c r="Q117" s="229">
        <f t="shared" si="56"/>
        <v>0</v>
      </c>
      <c r="R117" s="229"/>
      <c r="S117" s="229">
        <v>220.95655</v>
      </c>
      <c r="T117" s="228"/>
      <c r="U117" s="228" t="s">
        <v>1469</v>
      </c>
      <c r="V117" s="235"/>
      <c r="W117" s="236"/>
    </row>
    <row r="118" ht="45" customHeight="1" spans="1:23">
      <c r="A118" s="221">
        <v>111</v>
      </c>
      <c r="B118" s="227" t="s">
        <v>540</v>
      </c>
      <c r="C118" s="228" t="s">
        <v>923</v>
      </c>
      <c r="D118" s="228" t="s">
        <v>1470</v>
      </c>
      <c r="E118" s="228" t="s">
        <v>1471</v>
      </c>
      <c r="F118" s="229">
        <v>2904.2</v>
      </c>
      <c r="G118" s="229"/>
      <c r="H118" s="229">
        <v>2904.2</v>
      </c>
      <c r="I118" s="229"/>
      <c r="J118" s="229">
        <f t="shared" si="52"/>
        <v>0</v>
      </c>
      <c r="K118" s="229"/>
      <c r="L118" s="229"/>
      <c r="M118" s="229"/>
      <c r="N118" s="229">
        <f t="shared" si="53"/>
        <v>2904.2</v>
      </c>
      <c r="O118" s="229">
        <f t="shared" si="54"/>
        <v>0</v>
      </c>
      <c r="P118" s="229">
        <f t="shared" si="55"/>
        <v>2904.2</v>
      </c>
      <c r="Q118" s="229">
        <f t="shared" si="56"/>
        <v>0</v>
      </c>
      <c r="R118" s="229"/>
      <c r="S118" s="229">
        <v>1130</v>
      </c>
      <c r="T118" s="228"/>
      <c r="U118" s="228" t="s">
        <v>1472</v>
      </c>
      <c r="V118" s="235"/>
      <c r="W118" s="236"/>
    </row>
    <row r="119" ht="40" customHeight="1" spans="1:23">
      <c r="A119" s="221">
        <v>112</v>
      </c>
      <c r="B119" s="227" t="s">
        <v>540</v>
      </c>
      <c r="C119" s="228" t="s">
        <v>923</v>
      </c>
      <c r="D119" s="228" t="s">
        <v>1473</v>
      </c>
      <c r="E119" s="228" t="s">
        <v>1474</v>
      </c>
      <c r="F119" s="229">
        <v>1000</v>
      </c>
      <c r="G119" s="229"/>
      <c r="H119" s="229">
        <v>1000</v>
      </c>
      <c r="I119" s="229"/>
      <c r="J119" s="229">
        <f t="shared" si="52"/>
        <v>-1000</v>
      </c>
      <c r="K119" s="229"/>
      <c r="L119" s="229">
        <v>-1000</v>
      </c>
      <c r="M119" s="229"/>
      <c r="N119" s="229">
        <f t="shared" si="53"/>
        <v>0</v>
      </c>
      <c r="O119" s="229">
        <f t="shared" si="54"/>
        <v>0</v>
      </c>
      <c r="P119" s="229">
        <f t="shared" si="55"/>
        <v>0</v>
      </c>
      <c r="Q119" s="229">
        <f t="shared" si="56"/>
        <v>0</v>
      </c>
      <c r="R119" s="229"/>
      <c r="S119" s="229"/>
      <c r="T119" s="228"/>
      <c r="U119" s="228" t="s">
        <v>1475</v>
      </c>
      <c r="V119" s="235">
        <v>-1000</v>
      </c>
      <c r="W119" s="236"/>
    </row>
    <row r="120" ht="38" customHeight="1" spans="1:23">
      <c r="A120" s="221">
        <v>113</v>
      </c>
      <c r="B120" s="227" t="s">
        <v>540</v>
      </c>
      <c r="C120" s="228" t="s">
        <v>1153</v>
      </c>
      <c r="D120" s="228" t="s">
        <v>1476</v>
      </c>
      <c r="E120" s="228" t="s">
        <v>1477</v>
      </c>
      <c r="F120" s="229">
        <v>2.43</v>
      </c>
      <c r="G120" s="229"/>
      <c r="H120" s="229">
        <v>2.43</v>
      </c>
      <c r="I120" s="229"/>
      <c r="J120" s="229">
        <f t="shared" si="52"/>
        <v>0.63</v>
      </c>
      <c r="K120" s="229"/>
      <c r="L120" s="229">
        <v>0.63</v>
      </c>
      <c r="M120" s="229"/>
      <c r="N120" s="229">
        <f t="shared" si="53"/>
        <v>3.06</v>
      </c>
      <c r="O120" s="229">
        <f t="shared" si="54"/>
        <v>0</v>
      </c>
      <c r="P120" s="229">
        <f t="shared" si="55"/>
        <v>3.06</v>
      </c>
      <c r="Q120" s="229">
        <f t="shared" si="56"/>
        <v>0</v>
      </c>
      <c r="R120" s="229"/>
      <c r="S120" s="229">
        <v>1.4188</v>
      </c>
      <c r="T120" s="228" t="s">
        <v>1478</v>
      </c>
      <c r="U120" s="228" t="s">
        <v>1479</v>
      </c>
      <c r="V120" s="235"/>
      <c r="W120" s="236"/>
    </row>
    <row r="121" ht="21" customHeight="1" spans="1:23">
      <c r="A121" s="221">
        <v>114</v>
      </c>
      <c r="B121" s="222"/>
      <c r="C121" s="223"/>
      <c r="D121" s="224" t="s">
        <v>1480</v>
      </c>
      <c r="E121" s="225"/>
      <c r="F121" s="226">
        <f>SUM(F122:F140)</f>
        <v>5431.77</v>
      </c>
      <c r="G121" s="226">
        <f>SUM(G122:G140)</f>
        <v>616</v>
      </c>
      <c r="H121" s="226">
        <f>SUM(H122:H140)</f>
        <v>2272.77</v>
      </c>
      <c r="I121" s="226">
        <f>SUM(I122:I140)</f>
        <v>2543</v>
      </c>
      <c r="J121" s="226">
        <f t="shared" ref="J121:R121" si="57">SUM(J122:J140)</f>
        <v>40.8196549999999</v>
      </c>
      <c r="K121" s="226">
        <f t="shared" si="57"/>
        <v>-455.29</v>
      </c>
      <c r="L121" s="226">
        <f t="shared" si="57"/>
        <v>496.109655</v>
      </c>
      <c r="M121" s="226">
        <f t="shared" si="57"/>
        <v>0</v>
      </c>
      <c r="N121" s="226">
        <f t="shared" si="57"/>
        <v>5472.589655</v>
      </c>
      <c r="O121" s="226">
        <f t="shared" si="57"/>
        <v>160.71</v>
      </c>
      <c r="P121" s="226">
        <f t="shared" si="57"/>
        <v>2768.879655</v>
      </c>
      <c r="Q121" s="226">
        <f t="shared" si="57"/>
        <v>2543</v>
      </c>
      <c r="R121" s="226">
        <f t="shared" si="57"/>
        <v>0</v>
      </c>
      <c r="S121" s="226"/>
      <c r="T121" s="239"/>
      <c r="U121" s="228"/>
      <c r="V121" s="235"/>
      <c r="W121" s="236"/>
    </row>
    <row r="122" ht="40.5" spans="1:23">
      <c r="A122" s="221">
        <v>115</v>
      </c>
      <c r="B122" s="227" t="s">
        <v>540</v>
      </c>
      <c r="C122" s="228" t="s">
        <v>577</v>
      </c>
      <c r="D122" s="228" t="s">
        <v>1481</v>
      </c>
      <c r="E122" s="228" t="s">
        <v>1482</v>
      </c>
      <c r="F122" s="229">
        <v>499.74</v>
      </c>
      <c r="G122" s="229"/>
      <c r="H122" s="229">
        <v>499.74</v>
      </c>
      <c r="I122" s="229"/>
      <c r="J122" s="229">
        <f t="shared" ref="J122:J132" si="58">SUM(K122:M122)</f>
        <v>0</v>
      </c>
      <c r="K122" s="229"/>
      <c r="L122" s="229"/>
      <c r="M122" s="229"/>
      <c r="N122" s="229">
        <f t="shared" ref="N122:N132" si="59">SUM(O122:Q122)</f>
        <v>499.74</v>
      </c>
      <c r="O122" s="229">
        <f t="shared" ref="O122:O132" si="60">G122+K122</f>
        <v>0</v>
      </c>
      <c r="P122" s="229">
        <f t="shared" ref="P122:P132" si="61">H122+L122</f>
        <v>499.74</v>
      </c>
      <c r="Q122" s="229">
        <f t="shared" ref="Q122:Q132" si="62">I122+M122</f>
        <v>0</v>
      </c>
      <c r="R122" s="229"/>
      <c r="S122" s="229">
        <v>260.5565</v>
      </c>
      <c r="T122" s="228"/>
      <c r="U122" s="228" t="s">
        <v>1483</v>
      </c>
      <c r="V122" s="235"/>
      <c r="W122" s="236"/>
    </row>
    <row r="123" ht="40.5" spans="1:23">
      <c r="A123" s="221">
        <v>116</v>
      </c>
      <c r="B123" s="227" t="s">
        <v>540</v>
      </c>
      <c r="C123" s="228" t="s">
        <v>577</v>
      </c>
      <c r="D123" s="228" t="s">
        <v>586</v>
      </c>
      <c r="E123" s="228" t="s">
        <v>1484</v>
      </c>
      <c r="F123" s="229">
        <v>100</v>
      </c>
      <c r="G123" s="229"/>
      <c r="H123" s="229">
        <v>100</v>
      </c>
      <c r="I123" s="229"/>
      <c r="J123" s="229">
        <f t="shared" si="58"/>
        <v>0</v>
      </c>
      <c r="K123" s="229"/>
      <c r="L123" s="229"/>
      <c r="M123" s="229"/>
      <c r="N123" s="229">
        <f t="shared" si="59"/>
        <v>100</v>
      </c>
      <c r="O123" s="229">
        <f t="shared" si="60"/>
        <v>0</v>
      </c>
      <c r="P123" s="229">
        <f t="shared" si="61"/>
        <v>100</v>
      </c>
      <c r="Q123" s="229">
        <f t="shared" si="62"/>
        <v>0</v>
      </c>
      <c r="R123" s="229"/>
      <c r="S123" s="229"/>
      <c r="T123" s="228"/>
      <c r="U123" s="228" t="s">
        <v>1485</v>
      </c>
      <c r="V123" s="235"/>
      <c r="W123" s="236"/>
    </row>
    <row r="124" ht="27" spans="1:23">
      <c r="A124" s="221">
        <v>117</v>
      </c>
      <c r="B124" s="227" t="s">
        <v>540</v>
      </c>
      <c r="C124" s="228" t="s">
        <v>585</v>
      </c>
      <c r="D124" s="228" t="s">
        <v>586</v>
      </c>
      <c r="E124" s="228" t="s">
        <v>1486</v>
      </c>
      <c r="F124" s="229">
        <v>330</v>
      </c>
      <c r="G124" s="229">
        <v>330</v>
      </c>
      <c r="H124" s="229"/>
      <c r="I124" s="229"/>
      <c r="J124" s="229">
        <f t="shared" si="58"/>
        <v>-330</v>
      </c>
      <c r="K124" s="229">
        <v>-330</v>
      </c>
      <c r="L124" s="229"/>
      <c r="M124" s="229"/>
      <c r="N124" s="229">
        <f t="shared" si="59"/>
        <v>0</v>
      </c>
      <c r="O124" s="229">
        <f t="shared" si="60"/>
        <v>0</v>
      </c>
      <c r="P124" s="229">
        <f t="shared" si="61"/>
        <v>0</v>
      </c>
      <c r="Q124" s="229">
        <f t="shared" si="62"/>
        <v>0</v>
      </c>
      <c r="R124" s="229"/>
      <c r="S124" s="229"/>
      <c r="T124" s="228"/>
      <c r="U124" s="228" t="s">
        <v>1487</v>
      </c>
      <c r="V124" s="235">
        <v>-330</v>
      </c>
      <c r="W124" s="236"/>
    </row>
    <row r="125" ht="27" spans="1:23">
      <c r="A125" s="221">
        <v>118</v>
      </c>
      <c r="B125" s="227" t="s">
        <v>540</v>
      </c>
      <c r="C125" s="228" t="s">
        <v>587</v>
      </c>
      <c r="D125" s="228" t="s">
        <v>588</v>
      </c>
      <c r="E125" s="228" t="s">
        <v>1488</v>
      </c>
      <c r="F125" s="229">
        <v>286</v>
      </c>
      <c r="G125" s="229">
        <v>286</v>
      </c>
      <c r="H125" s="229"/>
      <c r="I125" s="229"/>
      <c r="J125" s="229">
        <f t="shared" si="58"/>
        <v>-286</v>
      </c>
      <c r="K125" s="229">
        <v>-286</v>
      </c>
      <c r="L125" s="229"/>
      <c r="M125" s="229"/>
      <c r="N125" s="229">
        <f t="shared" si="59"/>
        <v>0</v>
      </c>
      <c r="O125" s="229">
        <f t="shared" si="60"/>
        <v>0</v>
      </c>
      <c r="P125" s="229">
        <f t="shared" si="61"/>
        <v>0</v>
      </c>
      <c r="Q125" s="229">
        <f t="shared" si="62"/>
        <v>0</v>
      </c>
      <c r="R125" s="229"/>
      <c r="S125" s="229">
        <v>100</v>
      </c>
      <c r="T125" s="228"/>
      <c r="U125" s="228" t="s">
        <v>1489</v>
      </c>
      <c r="V125" s="235">
        <v>-286</v>
      </c>
      <c r="W125" s="236"/>
    </row>
    <row r="126" ht="27" spans="1:23">
      <c r="A126" s="221">
        <v>119</v>
      </c>
      <c r="B126" s="227" t="s">
        <v>540</v>
      </c>
      <c r="C126" s="228" t="s">
        <v>577</v>
      </c>
      <c r="D126" s="228" t="s">
        <v>594</v>
      </c>
      <c r="E126" s="228" t="s">
        <v>1490</v>
      </c>
      <c r="F126" s="229">
        <v>120</v>
      </c>
      <c r="G126" s="229"/>
      <c r="H126" s="229"/>
      <c r="I126" s="229">
        <v>120</v>
      </c>
      <c r="J126" s="229">
        <f t="shared" si="58"/>
        <v>0</v>
      </c>
      <c r="K126" s="229"/>
      <c r="L126" s="229"/>
      <c r="M126" s="229"/>
      <c r="N126" s="229">
        <f t="shared" si="59"/>
        <v>120</v>
      </c>
      <c r="O126" s="229">
        <f t="shared" si="60"/>
        <v>0</v>
      </c>
      <c r="P126" s="229">
        <f t="shared" si="61"/>
        <v>0</v>
      </c>
      <c r="Q126" s="229">
        <f t="shared" si="62"/>
        <v>120</v>
      </c>
      <c r="R126" s="229"/>
      <c r="S126" s="229"/>
      <c r="T126" s="228"/>
      <c r="U126" s="228" t="s">
        <v>1491</v>
      </c>
      <c r="V126" s="235"/>
      <c r="W126" s="236"/>
    </row>
    <row r="127" ht="27" spans="1:23">
      <c r="A127" s="221">
        <v>120</v>
      </c>
      <c r="B127" s="227" t="s">
        <v>540</v>
      </c>
      <c r="C127" s="228" t="s">
        <v>589</v>
      </c>
      <c r="D127" s="228" t="s">
        <v>1492</v>
      </c>
      <c r="E127" s="228" t="s">
        <v>1493</v>
      </c>
      <c r="F127" s="229"/>
      <c r="G127" s="229"/>
      <c r="H127" s="229"/>
      <c r="I127" s="229"/>
      <c r="J127" s="229">
        <f t="shared" si="58"/>
        <v>204.0477</v>
      </c>
      <c r="K127" s="229"/>
      <c r="L127" s="229">
        <v>204.0477</v>
      </c>
      <c r="M127" s="229"/>
      <c r="N127" s="229">
        <f t="shared" si="59"/>
        <v>204.0477</v>
      </c>
      <c r="O127" s="229">
        <f t="shared" si="60"/>
        <v>0</v>
      </c>
      <c r="P127" s="229">
        <f t="shared" si="61"/>
        <v>204.0477</v>
      </c>
      <c r="Q127" s="229">
        <f t="shared" si="62"/>
        <v>0</v>
      </c>
      <c r="R127" s="229"/>
      <c r="S127" s="229"/>
      <c r="T127" s="228" t="s">
        <v>1494</v>
      </c>
      <c r="U127" s="228"/>
      <c r="V127" s="235"/>
      <c r="W127" s="236"/>
    </row>
    <row r="128" ht="27" spans="1:23">
      <c r="A128" s="221">
        <v>121</v>
      </c>
      <c r="B128" s="227" t="s">
        <v>540</v>
      </c>
      <c r="C128" s="228" t="s">
        <v>609</v>
      </c>
      <c r="D128" s="228" t="s">
        <v>1492</v>
      </c>
      <c r="E128" s="228" t="s">
        <v>1493</v>
      </c>
      <c r="F128" s="229"/>
      <c r="G128" s="229"/>
      <c r="H128" s="229"/>
      <c r="I128" s="229"/>
      <c r="J128" s="229">
        <f t="shared" si="58"/>
        <v>64.6384</v>
      </c>
      <c r="K128" s="229"/>
      <c r="L128" s="229">
        <v>64.6384</v>
      </c>
      <c r="M128" s="229"/>
      <c r="N128" s="229">
        <f t="shared" si="59"/>
        <v>64.6384</v>
      </c>
      <c r="O128" s="229">
        <f t="shared" si="60"/>
        <v>0</v>
      </c>
      <c r="P128" s="229">
        <f t="shared" si="61"/>
        <v>64.6384</v>
      </c>
      <c r="Q128" s="229">
        <f t="shared" si="62"/>
        <v>0</v>
      </c>
      <c r="R128" s="229"/>
      <c r="S128" s="229"/>
      <c r="T128" s="228" t="s">
        <v>1493</v>
      </c>
      <c r="U128" s="228"/>
      <c r="V128" s="235"/>
      <c r="W128" s="236"/>
    </row>
    <row r="129" ht="27" spans="1:23">
      <c r="A129" s="221">
        <v>122</v>
      </c>
      <c r="B129" s="227" t="s">
        <v>540</v>
      </c>
      <c r="C129" s="228" t="s">
        <v>609</v>
      </c>
      <c r="D129" s="228" t="s">
        <v>610</v>
      </c>
      <c r="E129" s="228" t="s">
        <v>1495</v>
      </c>
      <c r="F129" s="229"/>
      <c r="G129" s="229"/>
      <c r="H129" s="229"/>
      <c r="I129" s="229"/>
      <c r="J129" s="229">
        <f t="shared" si="58"/>
        <v>150</v>
      </c>
      <c r="K129" s="229">
        <v>150</v>
      </c>
      <c r="L129" s="229"/>
      <c r="M129" s="229"/>
      <c r="N129" s="229">
        <f t="shared" si="59"/>
        <v>150</v>
      </c>
      <c r="O129" s="229">
        <f t="shared" si="60"/>
        <v>150</v>
      </c>
      <c r="P129" s="229">
        <f t="shared" si="61"/>
        <v>0</v>
      </c>
      <c r="Q129" s="229">
        <f t="shared" si="62"/>
        <v>0</v>
      </c>
      <c r="R129" s="229"/>
      <c r="S129" s="229"/>
      <c r="T129" s="228" t="s">
        <v>1496</v>
      </c>
      <c r="U129" s="228"/>
      <c r="V129" s="235"/>
      <c r="W129" s="236"/>
    </row>
    <row r="130" ht="27" spans="1:23">
      <c r="A130" s="221">
        <v>123</v>
      </c>
      <c r="B130" s="227" t="s">
        <v>540</v>
      </c>
      <c r="C130" s="228" t="s">
        <v>577</v>
      </c>
      <c r="D130" s="228" t="s">
        <v>1497</v>
      </c>
      <c r="E130" s="228" t="s">
        <v>1498</v>
      </c>
      <c r="F130" s="229">
        <v>423</v>
      </c>
      <c r="G130" s="229"/>
      <c r="H130" s="229"/>
      <c r="I130" s="229">
        <v>423</v>
      </c>
      <c r="J130" s="229">
        <f t="shared" si="58"/>
        <v>0</v>
      </c>
      <c r="K130" s="229"/>
      <c r="L130" s="229"/>
      <c r="M130" s="229"/>
      <c r="N130" s="229">
        <f t="shared" si="59"/>
        <v>423</v>
      </c>
      <c r="O130" s="229">
        <f t="shared" si="60"/>
        <v>0</v>
      </c>
      <c r="P130" s="229">
        <f t="shared" si="61"/>
        <v>0</v>
      </c>
      <c r="Q130" s="229">
        <f t="shared" si="62"/>
        <v>423</v>
      </c>
      <c r="R130" s="229"/>
      <c r="S130" s="229"/>
      <c r="T130" s="228"/>
      <c r="U130" s="228" t="s">
        <v>1499</v>
      </c>
      <c r="V130" s="235"/>
      <c r="W130" s="236"/>
    </row>
    <row r="131" ht="40.5" spans="1:23">
      <c r="A131" s="221">
        <v>124</v>
      </c>
      <c r="B131" s="227" t="s">
        <v>540</v>
      </c>
      <c r="C131" s="228" t="s">
        <v>577</v>
      </c>
      <c r="D131" s="228" t="s">
        <v>1497</v>
      </c>
      <c r="E131" s="228" t="s">
        <v>1500</v>
      </c>
      <c r="F131" s="229">
        <v>47.99</v>
      </c>
      <c r="G131" s="229"/>
      <c r="H131" s="229">
        <v>47.99</v>
      </c>
      <c r="I131" s="229"/>
      <c r="J131" s="229">
        <f t="shared" si="58"/>
        <v>0</v>
      </c>
      <c r="K131" s="229"/>
      <c r="L131" s="229"/>
      <c r="M131" s="229"/>
      <c r="N131" s="229">
        <f t="shared" si="59"/>
        <v>47.99</v>
      </c>
      <c r="O131" s="229">
        <f t="shared" si="60"/>
        <v>0</v>
      </c>
      <c r="P131" s="229">
        <f t="shared" si="61"/>
        <v>47.99</v>
      </c>
      <c r="Q131" s="229">
        <f t="shared" si="62"/>
        <v>0</v>
      </c>
      <c r="R131" s="229"/>
      <c r="S131" s="229"/>
      <c r="T131" s="228"/>
      <c r="U131" s="228" t="s">
        <v>1501</v>
      </c>
      <c r="V131" s="235"/>
      <c r="W131" s="236"/>
    </row>
    <row r="132" ht="40.5" spans="1:23">
      <c r="A132" s="221">
        <v>125</v>
      </c>
      <c r="B132" s="227" t="s">
        <v>540</v>
      </c>
      <c r="C132" s="228" t="s">
        <v>577</v>
      </c>
      <c r="D132" s="228" t="s">
        <v>1492</v>
      </c>
      <c r="E132" s="228" t="s">
        <v>1502</v>
      </c>
      <c r="F132" s="229"/>
      <c r="G132" s="229"/>
      <c r="H132" s="229"/>
      <c r="I132" s="229"/>
      <c r="J132" s="229">
        <f t="shared" si="58"/>
        <v>10.71</v>
      </c>
      <c r="K132" s="229">
        <v>10.71</v>
      </c>
      <c r="L132" s="229"/>
      <c r="M132" s="229"/>
      <c r="N132" s="229">
        <f t="shared" si="59"/>
        <v>10.71</v>
      </c>
      <c r="O132" s="229">
        <f t="shared" si="60"/>
        <v>10.71</v>
      </c>
      <c r="P132" s="229">
        <f t="shared" si="61"/>
        <v>0</v>
      </c>
      <c r="Q132" s="229">
        <f t="shared" si="62"/>
        <v>0</v>
      </c>
      <c r="R132" s="229"/>
      <c r="S132" s="229"/>
      <c r="T132" s="228" t="s">
        <v>1503</v>
      </c>
      <c r="U132" s="228"/>
      <c r="V132" s="235"/>
      <c r="W132" s="236"/>
    </row>
    <row r="133" ht="27" spans="1:23">
      <c r="A133" s="221">
        <v>126</v>
      </c>
      <c r="B133" s="227" t="s">
        <v>540</v>
      </c>
      <c r="C133" s="228" t="s">
        <v>577</v>
      </c>
      <c r="D133" s="228" t="s">
        <v>1504</v>
      </c>
      <c r="E133" s="228" t="s">
        <v>1505</v>
      </c>
      <c r="F133" s="229">
        <v>816.06</v>
      </c>
      <c r="G133" s="229"/>
      <c r="H133" s="229">
        <v>816.06</v>
      </c>
      <c r="I133" s="229"/>
      <c r="J133" s="229">
        <f t="shared" ref="J133:J140" si="63">SUM(K133:M133)</f>
        <v>0</v>
      </c>
      <c r="K133" s="229"/>
      <c r="L133" s="229"/>
      <c r="M133" s="229"/>
      <c r="N133" s="229">
        <f t="shared" ref="N133:N140" si="64">SUM(O133:Q133)</f>
        <v>816.06</v>
      </c>
      <c r="O133" s="229">
        <f t="shared" ref="O133:O140" si="65">G133+K133</f>
        <v>0</v>
      </c>
      <c r="P133" s="229">
        <f t="shared" ref="P133:P140" si="66">H133+L133</f>
        <v>816.06</v>
      </c>
      <c r="Q133" s="229">
        <f t="shared" ref="Q133:Q140" si="67">I133+M133</f>
        <v>0</v>
      </c>
      <c r="R133" s="229"/>
      <c r="S133" s="229">
        <v>718.232</v>
      </c>
      <c r="T133" s="228"/>
      <c r="U133" s="228" t="s">
        <v>1506</v>
      </c>
      <c r="V133" s="235"/>
      <c r="W133" s="236"/>
    </row>
    <row r="134" ht="40.5" spans="1:23">
      <c r="A134" s="221">
        <v>127</v>
      </c>
      <c r="B134" s="227" t="s">
        <v>540</v>
      </c>
      <c r="C134" s="228" t="s">
        <v>577</v>
      </c>
      <c r="D134" s="228" t="s">
        <v>1507</v>
      </c>
      <c r="E134" s="228" t="s">
        <v>1508</v>
      </c>
      <c r="F134" s="229">
        <v>50</v>
      </c>
      <c r="G134" s="229"/>
      <c r="H134" s="229">
        <v>50</v>
      </c>
      <c r="I134" s="229"/>
      <c r="J134" s="229">
        <f t="shared" si="63"/>
        <v>0</v>
      </c>
      <c r="K134" s="229"/>
      <c r="L134" s="229"/>
      <c r="M134" s="229"/>
      <c r="N134" s="229">
        <f t="shared" si="64"/>
        <v>50</v>
      </c>
      <c r="O134" s="229">
        <f t="shared" si="65"/>
        <v>0</v>
      </c>
      <c r="P134" s="229">
        <f t="shared" si="66"/>
        <v>50</v>
      </c>
      <c r="Q134" s="229">
        <f t="shared" si="67"/>
        <v>0</v>
      </c>
      <c r="R134" s="229"/>
      <c r="S134" s="229">
        <v>12.470245</v>
      </c>
      <c r="T134" s="228"/>
      <c r="U134" s="228" t="s">
        <v>1509</v>
      </c>
      <c r="V134" s="235"/>
      <c r="W134" s="236"/>
    </row>
    <row r="135" ht="40.5" spans="1:23">
      <c r="A135" s="221">
        <v>128</v>
      </c>
      <c r="B135" s="227" t="s">
        <v>540</v>
      </c>
      <c r="C135" s="228" t="s">
        <v>577</v>
      </c>
      <c r="D135" s="228" t="s">
        <v>1510</v>
      </c>
      <c r="E135" s="228" t="s">
        <v>1511</v>
      </c>
      <c r="F135" s="229">
        <v>567</v>
      </c>
      <c r="G135" s="229"/>
      <c r="H135" s="229">
        <v>567</v>
      </c>
      <c r="I135" s="229"/>
      <c r="J135" s="229">
        <f t="shared" si="63"/>
        <v>0</v>
      </c>
      <c r="K135" s="229"/>
      <c r="L135" s="229"/>
      <c r="M135" s="229"/>
      <c r="N135" s="229">
        <f t="shared" si="64"/>
        <v>567</v>
      </c>
      <c r="O135" s="229">
        <f t="shared" si="65"/>
        <v>0</v>
      </c>
      <c r="P135" s="229">
        <f t="shared" si="66"/>
        <v>567</v>
      </c>
      <c r="Q135" s="229">
        <f t="shared" si="67"/>
        <v>0</v>
      </c>
      <c r="R135" s="229"/>
      <c r="S135" s="229"/>
      <c r="T135" s="228"/>
      <c r="U135" s="228" t="s">
        <v>1512</v>
      </c>
      <c r="V135" s="235"/>
      <c r="W135" s="236"/>
    </row>
    <row r="136" s="203" customFormat="1" ht="40.5" spans="1:23">
      <c r="A136" s="221">
        <v>129</v>
      </c>
      <c r="B136" s="227" t="s">
        <v>540</v>
      </c>
      <c r="C136" s="228" t="s">
        <v>1175</v>
      </c>
      <c r="D136" s="228" t="s">
        <v>1513</v>
      </c>
      <c r="E136" s="228" t="s">
        <v>1514</v>
      </c>
      <c r="F136" s="229">
        <v>30</v>
      </c>
      <c r="G136" s="229"/>
      <c r="H136" s="229">
        <v>30</v>
      </c>
      <c r="I136" s="229"/>
      <c r="J136" s="229">
        <f t="shared" si="63"/>
        <v>214.988647</v>
      </c>
      <c r="K136" s="229"/>
      <c r="L136" s="229">
        <v>214.988647</v>
      </c>
      <c r="M136" s="229"/>
      <c r="N136" s="229">
        <f t="shared" si="64"/>
        <v>244.988647</v>
      </c>
      <c r="O136" s="229">
        <f t="shared" si="65"/>
        <v>0</v>
      </c>
      <c r="P136" s="229">
        <f t="shared" si="66"/>
        <v>244.988647</v>
      </c>
      <c r="Q136" s="229">
        <f t="shared" si="67"/>
        <v>0</v>
      </c>
      <c r="R136" s="229"/>
      <c r="S136" s="229">
        <v>30</v>
      </c>
      <c r="T136" s="228" t="s">
        <v>1515</v>
      </c>
      <c r="U136" s="228" t="s">
        <v>1516</v>
      </c>
      <c r="V136" s="228"/>
      <c r="W136" s="238"/>
    </row>
    <row r="137" ht="54" spans="1:23">
      <c r="A137" s="221">
        <v>130</v>
      </c>
      <c r="B137" s="227" t="s">
        <v>540</v>
      </c>
      <c r="C137" s="228" t="s">
        <v>1175</v>
      </c>
      <c r="D137" s="228" t="s">
        <v>1176</v>
      </c>
      <c r="E137" s="228" t="s">
        <v>1517</v>
      </c>
      <c r="F137" s="229">
        <v>30</v>
      </c>
      <c r="G137" s="229"/>
      <c r="H137" s="229">
        <v>30</v>
      </c>
      <c r="I137" s="229"/>
      <c r="J137" s="229">
        <f t="shared" si="63"/>
        <v>12.434908</v>
      </c>
      <c r="K137" s="229"/>
      <c r="L137" s="229">
        <v>12.434908</v>
      </c>
      <c r="M137" s="229"/>
      <c r="N137" s="229">
        <f t="shared" si="64"/>
        <v>42.434908</v>
      </c>
      <c r="O137" s="229">
        <f t="shared" si="65"/>
        <v>0</v>
      </c>
      <c r="P137" s="229">
        <f t="shared" si="66"/>
        <v>42.434908</v>
      </c>
      <c r="Q137" s="229">
        <f t="shared" si="67"/>
        <v>0</v>
      </c>
      <c r="R137" s="229"/>
      <c r="S137" s="229"/>
      <c r="T137" s="228" t="s">
        <v>1518</v>
      </c>
      <c r="U137" s="228" t="s">
        <v>1519</v>
      </c>
      <c r="V137" s="235"/>
      <c r="W137" s="236"/>
    </row>
    <row r="138" ht="40.5" spans="1:23">
      <c r="A138" s="221">
        <v>131</v>
      </c>
      <c r="B138" s="227" t="s">
        <v>540</v>
      </c>
      <c r="C138" s="228" t="s">
        <v>577</v>
      </c>
      <c r="D138" s="228" t="s">
        <v>1520</v>
      </c>
      <c r="E138" s="228" t="s">
        <v>1521</v>
      </c>
      <c r="F138" s="229">
        <v>123.48</v>
      </c>
      <c r="G138" s="229"/>
      <c r="H138" s="229">
        <v>123.48</v>
      </c>
      <c r="I138" s="229"/>
      <c r="J138" s="229">
        <f t="shared" si="63"/>
        <v>0</v>
      </c>
      <c r="K138" s="229"/>
      <c r="L138" s="229"/>
      <c r="M138" s="229"/>
      <c r="N138" s="229">
        <f t="shared" si="64"/>
        <v>123.48</v>
      </c>
      <c r="O138" s="229">
        <f t="shared" si="65"/>
        <v>0</v>
      </c>
      <c r="P138" s="229">
        <f t="shared" si="66"/>
        <v>123.48</v>
      </c>
      <c r="Q138" s="229">
        <f t="shared" si="67"/>
        <v>0</v>
      </c>
      <c r="R138" s="229"/>
      <c r="S138" s="229">
        <v>104.3432</v>
      </c>
      <c r="T138" s="228"/>
      <c r="U138" s="228" t="s">
        <v>1522</v>
      </c>
      <c r="V138" s="235"/>
      <c r="W138" s="236"/>
    </row>
    <row r="139" ht="31" customHeight="1" spans="1:23">
      <c r="A139" s="221">
        <v>132</v>
      </c>
      <c r="B139" s="227" t="s">
        <v>540</v>
      </c>
      <c r="C139" s="228" t="s">
        <v>577</v>
      </c>
      <c r="D139" s="228" t="s">
        <v>1520</v>
      </c>
      <c r="E139" s="228" t="s">
        <v>1523</v>
      </c>
      <c r="F139" s="229">
        <v>2000</v>
      </c>
      <c r="G139" s="229"/>
      <c r="H139" s="229"/>
      <c r="I139" s="229">
        <v>2000</v>
      </c>
      <c r="J139" s="229">
        <f t="shared" si="63"/>
        <v>0</v>
      </c>
      <c r="K139" s="229"/>
      <c r="L139" s="229"/>
      <c r="M139" s="229"/>
      <c r="N139" s="229">
        <f t="shared" si="64"/>
        <v>2000</v>
      </c>
      <c r="O139" s="229">
        <f t="shared" si="65"/>
        <v>0</v>
      </c>
      <c r="P139" s="229">
        <f t="shared" si="66"/>
        <v>0</v>
      </c>
      <c r="Q139" s="229">
        <f t="shared" si="67"/>
        <v>2000</v>
      </c>
      <c r="R139" s="229"/>
      <c r="S139" s="229">
        <v>1802.379963</v>
      </c>
      <c r="T139" s="228" t="s">
        <v>1524</v>
      </c>
      <c r="U139" s="228" t="s">
        <v>1525</v>
      </c>
      <c r="V139" s="235">
        <v>-2000</v>
      </c>
      <c r="W139" s="236"/>
    </row>
    <row r="140" ht="34" customHeight="1" spans="1:23">
      <c r="A140" s="221">
        <v>133</v>
      </c>
      <c r="B140" s="227" t="s">
        <v>540</v>
      </c>
      <c r="C140" s="228" t="s">
        <v>613</v>
      </c>
      <c r="D140" s="228" t="s">
        <v>1520</v>
      </c>
      <c r="E140" s="228" t="s">
        <v>1526</v>
      </c>
      <c r="F140" s="229">
        <v>8.5</v>
      </c>
      <c r="G140" s="229"/>
      <c r="H140" s="229">
        <v>8.5</v>
      </c>
      <c r="I140" s="229"/>
      <c r="J140" s="229">
        <f t="shared" si="63"/>
        <v>0</v>
      </c>
      <c r="K140" s="229"/>
      <c r="L140" s="229"/>
      <c r="M140" s="229"/>
      <c r="N140" s="229">
        <f t="shared" si="64"/>
        <v>8.5</v>
      </c>
      <c r="O140" s="229">
        <f t="shared" si="65"/>
        <v>0</v>
      </c>
      <c r="P140" s="229">
        <f t="shared" si="66"/>
        <v>8.5</v>
      </c>
      <c r="Q140" s="229">
        <f t="shared" si="67"/>
        <v>0</v>
      </c>
      <c r="R140" s="229"/>
      <c r="S140" s="229">
        <v>4.70223</v>
      </c>
      <c r="T140" s="228"/>
      <c r="U140" s="228" t="s">
        <v>1527</v>
      </c>
      <c r="V140" s="235"/>
      <c r="W140" s="236"/>
    </row>
    <row r="141" ht="21" customHeight="1" spans="1:23">
      <c r="A141" s="221">
        <v>134</v>
      </c>
      <c r="B141" s="222"/>
      <c r="C141" s="223"/>
      <c r="D141" s="224" t="s">
        <v>1528</v>
      </c>
      <c r="E141" s="225"/>
      <c r="F141" s="226">
        <f>SUM(F142:F154)</f>
        <v>5579.55</v>
      </c>
      <c r="G141" s="226">
        <f t="shared" ref="G141:S141" si="68">SUM(G142:G154)</f>
        <v>5579.55</v>
      </c>
      <c r="H141" s="226">
        <f t="shared" si="68"/>
        <v>0</v>
      </c>
      <c r="I141" s="226">
        <f t="shared" si="68"/>
        <v>0</v>
      </c>
      <c r="J141" s="226">
        <f t="shared" si="68"/>
        <v>-974.5848</v>
      </c>
      <c r="K141" s="226">
        <f t="shared" si="68"/>
        <v>-974.5848</v>
      </c>
      <c r="L141" s="226">
        <f t="shared" si="68"/>
        <v>0</v>
      </c>
      <c r="M141" s="226">
        <f t="shared" si="68"/>
        <v>0</v>
      </c>
      <c r="N141" s="226">
        <f t="shared" si="68"/>
        <v>4604.9652</v>
      </c>
      <c r="O141" s="226">
        <f t="shared" si="68"/>
        <v>4604.9652</v>
      </c>
      <c r="P141" s="226">
        <f t="shared" si="68"/>
        <v>0</v>
      </c>
      <c r="Q141" s="226">
        <f t="shared" si="68"/>
        <v>0</v>
      </c>
      <c r="R141" s="226">
        <f t="shared" si="68"/>
        <v>387.2465</v>
      </c>
      <c r="S141" s="226">
        <f t="shared" si="68"/>
        <v>3618.846771</v>
      </c>
      <c r="T141" s="239"/>
      <c r="U141" s="228"/>
      <c r="V141" s="235"/>
      <c r="W141" s="236"/>
    </row>
    <row r="142" ht="36" customHeight="1" spans="1:23">
      <c r="A142" s="221">
        <v>135</v>
      </c>
      <c r="B142" s="227" t="s">
        <v>665</v>
      </c>
      <c r="C142" s="228" t="s">
        <v>1178</v>
      </c>
      <c r="D142" s="228" t="s">
        <v>1529</v>
      </c>
      <c r="E142" s="228" t="s">
        <v>1530</v>
      </c>
      <c r="F142" s="229"/>
      <c r="G142" s="229"/>
      <c r="H142" s="229"/>
      <c r="I142" s="229"/>
      <c r="J142" s="229">
        <f>SUM(K142:M142)</f>
        <v>89.4427</v>
      </c>
      <c r="K142" s="229">
        <v>89.4427</v>
      </c>
      <c r="L142" s="229"/>
      <c r="M142" s="229"/>
      <c r="N142" s="229">
        <f>SUM(O142:Q142)</f>
        <v>89.4427</v>
      </c>
      <c r="O142" s="229">
        <f>G142+K142</f>
        <v>89.4427</v>
      </c>
      <c r="P142" s="229">
        <f>H142+L142</f>
        <v>0</v>
      </c>
      <c r="Q142" s="229">
        <f>I142+M142</f>
        <v>0</v>
      </c>
      <c r="R142" s="229"/>
      <c r="S142" s="229"/>
      <c r="T142" s="228" t="s">
        <v>1531</v>
      </c>
      <c r="U142" s="228"/>
      <c r="V142" s="235"/>
      <c r="W142" s="236"/>
    </row>
    <row r="143" ht="36" customHeight="1" spans="1:23">
      <c r="A143" s="221">
        <v>136</v>
      </c>
      <c r="B143" s="227" t="s">
        <v>665</v>
      </c>
      <c r="C143" s="228" t="s">
        <v>1178</v>
      </c>
      <c r="D143" s="228" t="s">
        <v>1532</v>
      </c>
      <c r="E143" s="228" t="s">
        <v>1533</v>
      </c>
      <c r="F143" s="229"/>
      <c r="G143" s="229"/>
      <c r="H143" s="229"/>
      <c r="I143" s="229"/>
      <c r="J143" s="229"/>
      <c r="K143" s="229"/>
      <c r="L143" s="229"/>
      <c r="M143" s="229"/>
      <c r="N143" s="229"/>
      <c r="O143" s="229"/>
      <c r="P143" s="229"/>
      <c r="Q143" s="229"/>
      <c r="R143" s="229">
        <v>2.32</v>
      </c>
      <c r="S143" s="229"/>
      <c r="T143" s="228" t="s">
        <v>1534</v>
      </c>
      <c r="U143" s="228"/>
      <c r="V143" s="235"/>
      <c r="W143" s="236"/>
    </row>
    <row r="144" ht="36" customHeight="1" spans="1:23">
      <c r="A144" s="221">
        <v>137</v>
      </c>
      <c r="B144" s="227" t="s">
        <v>290</v>
      </c>
      <c r="C144" s="228" t="s">
        <v>342</v>
      </c>
      <c r="D144" s="228" t="s">
        <v>1535</v>
      </c>
      <c r="E144" s="228" t="s">
        <v>1536</v>
      </c>
      <c r="F144" s="229"/>
      <c r="G144" s="229"/>
      <c r="H144" s="229"/>
      <c r="I144" s="229"/>
      <c r="J144" s="229"/>
      <c r="K144" s="229"/>
      <c r="L144" s="229"/>
      <c r="M144" s="229"/>
      <c r="N144" s="229"/>
      <c r="O144" s="229"/>
      <c r="P144" s="229"/>
      <c r="Q144" s="229"/>
      <c r="R144" s="229">
        <v>193.44</v>
      </c>
      <c r="S144" s="229"/>
      <c r="T144" s="228" t="s">
        <v>1537</v>
      </c>
      <c r="U144" s="228"/>
      <c r="V144" s="235"/>
      <c r="W144" s="236"/>
    </row>
    <row r="145" ht="36" customHeight="1" spans="1:23">
      <c r="A145" s="221">
        <v>138</v>
      </c>
      <c r="B145" s="227" t="s">
        <v>290</v>
      </c>
      <c r="C145" s="228" t="s">
        <v>1538</v>
      </c>
      <c r="D145" s="228" t="s">
        <v>1539</v>
      </c>
      <c r="E145" s="228" t="s">
        <v>1540</v>
      </c>
      <c r="F145" s="229"/>
      <c r="G145" s="229"/>
      <c r="H145" s="229"/>
      <c r="I145" s="229"/>
      <c r="J145" s="229"/>
      <c r="K145" s="229"/>
      <c r="L145" s="229"/>
      <c r="M145" s="229"/>
      <c r="N145" s="229"/>
      <c r="O145" s="229"/>
      <c r="P145" s="229"/>
      <c r="Q145" s="229"/>
      <c r="R145" s="229">
        <v>191.4865</v>
      </c>
      <c r="S145" s="229"/>
      <c r="T145" s="228" t="s">
        <v>1541</v>
      </c>
      <c r="U145" s="228"/>
      <c r="V145" s="235"/>
      <c r="W145" s="236"/>
    </row>
    <row r="146" ht="30" customHeight="1" spans="1:23">
      <c r="A146" s="221">
        <v>139</v>
      </c>
      <c r="B146" s="227" t="s">
        <v>1334</v>
      </c>
      <c r="C146" s="228" t="s">
        <v>1542</v>
      </c>
      <c r="D146" s="228" t="s">
        <v>1543</v>
      </c>
      <c r="E146" s="228" t="s">
        <v>1544</v>
      </c>
      <c r="F146" s="229">
        <v>9.73</v>
      </c>
      <c r="G146" s="229">
        <v>9.73</v>
      </c>
      <c r="H146" s="229"/>
      <c r="I146" s="229"/>
      <c r="J146" s="229">
        <f>SUM(K146:M146)</f>
        <v>-9.73</v>
      </c>
      <c r="K146" s="229">
        <v>-9.73</v>
      </c>
      <c r="L146" s="229"/>
      <c r="M146" s="229"/>
      <c r="N146" s="229">
        <f>SUM(O146:Q146)</f>
        <v>0</v>
      </c>
      <c r="O146" s="229">
        <f t="shared" ref="O146:Q146" si="69">G146+K146</f>
        <v>0</v>
      </c>
      <c r="P146" s="229">
        <f t="shared" si="69"/>
        <v>0</v>
      </c>
      <c r="Q146" s="229">
        <f t="shared" si="69"/>
        <v>0</v>
      </c>
      <c r="R146" s="229"/>
      <c r="S146" s="229"/>
      <c r="T146" s="228" t="s">
        <v>1545</v>
      </c>
      <c r="U146" s="228"/>
      <c r="V146" s="235"/>
      <c r="W146" s="236"/>
    </row>
    <row r="147" ht="39" customHeight="1" spans="1:23">
      <c r="A147" s="221">
        <v>140</v>
      </c>
      <c r="B147" s="227" t="s">
        <v>1334</v>
      </c>
      <c r="C147" s="228" t="s">
        <v>1546</v>
      </c>
      <c r="D147" s="228" t="s">
        <v>1539</v>
      </c>
      <c r="E147" s="228" t="s">
        <v>1547</v>
      </c>
      <c r="F147" s="229">
        <v>61.08</v>
      </c>
      <c r="G147" s="229">
        <v>61.08</v>
      </c>
      <c r="H147" s="229"/>
      <c r="I147" s="229"/>
      <c r="J147" s="229">
        <f>SUM(K147:M147)</f>
        <v>0</v>
      </c>
      <c r="K147" s="229"/>
      <c r="L147" s="229"/>
      <c r="M147" s="229"/>
      <c r="N147" s="229">
        <f>SUM(O147:Q147)</f>
        <v>61.08</v>
      </c>
      <c r="O147" s="229">
        <f>G147+K147</f>
        <v>61.08</v>
      </c>
      <c r="P147" s="229">
        <f>H147+L147</f>
        <v>0</v>
      </c>
      <c r="Q147" s="229">
        <f>I147+M147</f>
        <v>0</v>
      </c>
      <c r="R147" s="229"/>
      <c r="S147" s="229"/>
      <c r="T147" s="228"/>
      <c r="U147" s="228" t="s">
        <v>1548</v>
      </c>
      <c r="V147" s="235"/>
      <c r="W147" s="236"/>
    </row>
    <row r="148" ht="29.25" customHeight="1" spans="1:23">
      <c r="A148" s="221">
        <v>141</v>
      </c>
      <c r="B148" s="227" t="s">
        <v>1236</v>
      </c>
      <c r="C148" s="228" t="s">
        <v>641</v>
      </c>
      <c r="D148" s="228" t="s">
        <v>1539</v>
      </c>
      <c r="E148" s="228" t="s">
        <v>1549</v>
      </c>
      <c r="F148" s="229">
        <v>3374.54</v>
      </c>
      <c r="G148" s="229">
        <v>3374.54</v>
      </c>
      <c r="H148" s="229"/>
      <c r="I148" s="229"/>
      <c r="J148" s="229">
        <f t="shared" ref="J148:J154" si="70">SUM(K148:M148)</f>
        <v>-5.66</v>
      </c>
      <c r="K148" s="229">
        <v>-5.66</v>
      </c>
      <c r="L148" s="229"/>
      <c r="M148" s="229"/>
      <c r="N148" s="229">
        <f t="shared" ref="N148:N154" si="71">SUM(O148:Q148)</f>
        <v>3368.88</v>
      </c>
      <c r="O148" s="229">
        <f t="shared" ref="O148:O154" si="72">G148+K148</f>
        <v>3368.88</v>
      </c>
      <c r="P148" s="229">
        <f t="shared" ref="P148:P154" si="73">H148+L148</f>
        <v>0</v>
      </c>
      <c r="Q148" s="229">
        <f t="shared" ref="Q148:Q154" si="74">I148+M148</f>
        <v>0</v>
      </c>
      <c r="R148" s="229"/>
      <c r="S148" s="229">
        <v>3107.47</v>
      </c>
      <c r="T148" s="228" t="s">
        <v>1550</v>
      </c>
      <c r="U148" s="228" t="s">
        <v>1551</v>
      </c>
      <c r="V148" s="235"/>
      <c r="W148" s="236"/>
    </row>
    <row r="149" ht="30" customHeight="1" spans="1:23">
      <c r="A149" s="221">
        <v>142</v>
      </c>
      <c r="B149" s="227" t="s">
        <v>290</v>
      </c>
      <c r="C149" s="228" t="s">
        <v>619</v>
      </c>
      <c r="D149" s="228" t="s">
        <v>1539</v>
      </c>
      <c r="E149" s="228" t="s">
        <v>1552</v>
      </c>
      <c r="F149" s="229">
        <v>600</v>
      </c>
      <c r="G149" s="229">
        <v>600</v>
      </c>
      <c r="H149" s="229"/>
      <c r="I149" s="229"/>
      <c r="J149" s="229">
        <f t="shared" si="70"/>
        <v>56.83</v>
      </c>
      <c r="K149" s="229">
        <v>56.83</v>
      </c>
      <c r="L149" s="229"/>
      <c r="M149" s="229"/>
      <c r="N149" s="229">
        <f t="shared" si="71"/>
        <v>656.83</v>
      </c>
      <c r="O149" s="229">
        <f t="shared" si="72"/>
        <v>656.83</v>
      </c>
      <c r="P149" s="229">
        <f t="shared" si="73"/>
        <v>0</v>
      </c>
      <c r="Q149" s="229">
        <f t="shared" si="74"/>
        <v>0</v>
      </c>
      <c r="R149" s="229"/>
      <c r="S149" s="229">
        <v>466.43982</v>
      </c>
      <c r="T149" s="228" t="s">
        <v>1553</v>
      </c>
      <c r="U149" s="228" t="s">
        <v>1554</v>
      </c>
      <c r="V149" s="235"/>
      <c r="W149" s="236"/>
    </row>
    <row r="150" ht="108" spans="1:23">
      <c r="A150" s="221">
        <v>143</v>
      </c>
      <c r="B150" s="227" t="s">
        <v>290</v>
      </c>
      <c r="C150" s="228" t="s">
        <v>619</v>
      </c>
      <c r="D150" s="228" t="s">
        <v>1539</v>
      </c>
      <c r="E150" s="35" t="s">
        <v>1555</v>
      </c>
      <c r="F150" s="229"/>
      <c r="G150" s="229"/>
      <c r="H150" s="229"/>
      <c r="I150" s="229"/>
      <c r="J150" s="229">
        <f t="shared" si="70"/>
        <v>250.2525</v>
      </c>
      <c r="K150" s="229">
        <v>250.2525</v>
      </c>
      <c r="L150" s="229"/>
      <c r="M150" s="229"/>
      <c r="N150" s="229">
        <f t="shared" si="71"/>
        <v>250.2525</v>
      </c>
      <c r="O150" s="229">
        <f t="shared" si="72"/>
        <v>250.2525</v>
      </c>
      <c r="P150" s="229">
        <f t="shared" si="73"/>
        <v>0</v>
      </c>
      <c r="Q150" s="229">
        <f t="shared" si="74"/>
        <v>0</v>
      </c>
      <c r="R150" s="229"/>
      <c r="S150" s="229"/>
      <c r="T150" s="228" t="s">
        <v>1556</v>
      </c>
      <c r="U150" s="228"/>
      <c r="V150" s="235"/>
      <c r="W150" s="236"/>
    </row>
    <row r="151" ht="31" customHeight="1" spans="1:23">
      <c r="A151" s="221">
        <v>144</v>
      </c>
      <c r="B151" s="227" t="s">
        <v>290</v>
      </c>
      <c r="C151" s="228" t="s">
        <v>619</v>
      </c>
      <c r="D151" s="228" t="s">
        <v>1539</v>
      </c>
      <c r="E151" s="35" t="s">
        <v>1557</v>
      </c>
      <c r="F151" s="229"/>
      <c r="G151" s="229"/>
      <c r="H151" s="229"/>
      <c r="I151" s="229"/>
      <c r="J151" s="229">
        <f t="shared" si="70"/>
        <v>69.28</v>
      </c>
      <c r="K151" s="229">
        <v>69.28</v>
      </c>
      <c r="L151" s="229"/>
      <c r="M151" s="229"/>
      <c r="N151" s="229">
        <f t="shared" si="71"/>
        <v>69.28</v>
      </c>
      <c r="O151" s="229">
        <f t="shared" si="72"/>
        <v>69.28</v>
      </c>
      <c r="P151" s="229">
        <f t="shared" si="73"/>
        <v>0</v>
      </c>
      <c r="Q151" s="229">
        <f t="shared" si="74"/>
        <v>0</v>
      </c>
      <c r="R151" s="229"/>
      <c r="S151" s="229"/>
      <c r="T151" s="228" t="s">
        <v>1558</v>
      </c>
      <c r="U151" s="228"/>
      <c r="V151" s="235"/>
      <c r="W151" s="236"/>
    </row>
    <row r="152" ht="30" customHeight="1" spans="1:23">
      <c r="A152" s="221">
        <v>145</v>
      </c>
      <c r="B152" s="227" t="s">
        <v>290</v>
      </c>
      <c r="C152" s="228" t="s">
        <v>617</v>
      </c>
      <c r="D152" s="228" t="s">
        <v>1539</v>
      </c>
      <c r="E152" s="35" t="s">
        <v>1559</v>
      </c>
      <c r="F152" s="229"/>
      <c r="G152" s="229"/>
      <c r="H152" s="229"/>
      <c r="I152" s="229"/>
      <c r="J152" s="229">
        <f t="shared" si="70"/>
        <v>5</v>
      </c>
      <c r="K152" s="229">
        <v>5</v>
      </c>
      <c r="L152" s="229"/>
      <c r="M152" s="229"/>
      <c r="N152" s="229">
        <f t="shared" si="71"/>
        <v>5</v>
      </c>
      <c r="O152" s="229">
        <f t="shared" si="72"/>
        <v>5</v>
      </c>
      <c r="P152" s="229">
        <f t="shared" si="73"/>
        <v>0</v>
      </c>
      <c r="Q152" s="229">
        <f t="shared" si="74"/>
        <v>0</v>
      </c>
      <c r="R152" s="229"/>
      <c r="S152" s="229">
        <v>1.9023</v>
      </c>
      <c r="T152" s="228" t="s">
        <v>1560</v>
      </c>
      <c r="U152" s="228"/>
      <c r="V152" s="235"/>
      <c r="W152" s="236"/>
    </row>
    <row r="153" ht="27" spans="1:23">
      <c r="A153" s="221">
        <v>146</v>
      </c>
      <c r="B153" s="227" t="s">
        <v>290</v>
      </c>
      <c r="C153" s="228" t="s">
        <v>619</v>
      </c>
      <c r="D153" s="228" t="s">
        <v>1539</v>
      </c>
      <c r="E153" s="228" t="s">
        <v>1561</v>
      </c>
      <c r="F153" s="229">
        <v>1430</v>
      </c>
      <c r="G153" s="229">
        <v>1430</v>
      </c>
      <c r="H153" s="229"/>
      <c r="I153" s="229"/>
      <c r="J153" s="229">
        <f t="shared" si="70"/>
        <v>-1430</v>
      </c>
      <c r="K153" s="229">
        <v>-1430</v>
      </c>
      <c r="L153" s="229"/>
      <c r="M153" s="229"/>
      <c r="N153" s="229">
        <f t="shared" si="71"/>
        <v>0</v>
      </c>
      <c r="O153" s="229">
        <f t="shared" si="72"/>
        <v>0</v>
      </c>
      <c r="P153" s="229">
        <f t="shared" si="73"/>
        <v>0</v>
      </c>
      <c r="Q153" s="229">
        <f t="shared" si="74"/>
        <v>0</v>
      </c>
      <c r="R153" s="229"/>
      <c r="S153" s="229"/>
      <c r="T153" s="228"/>
      <c r="U153" s="228" t="s">
        <v>1562</v>
      </c>
      <c r="V153" s="235">
        <v>-300</v>
      </c>
      <c r="W153" s="236"/>
    </row>
    <row r="154" ht="30" customHeight="1" spans="1:23">
      <c r="A154" s="221">
        <v>147</v>
      </c>
      <c r="B154" s="227" t="s">
        <v>290</v>
      </c>
      <c r="C154" s="228" t="s">
        <v>222</v>
      </c>
      <c r="D154" s="228" t="s">
        <v>1539</v>
      </c>
      <c r="E154" s="228" t="s">
        <v>1563</v>
      </c>
      <c r="F154" s="229">
        <v>104.2</v>
      </c>
      <c r="G154" s="229">
        <v>104.2</v>
      </c>
      <c r="H154" s="229"/>
      <c r="I154" s="229"/>
      <c r="J154" s="229">
        <f t="shared" si="70"/>
        <v>0</v>
      </c>
      <c r="K154" s="229"/>
      <c r="L154" s="229"/>
      <c r="M154" s="229"/>
      <c r="N154" s="229">
        <f t="shared" si="71"/>
        <v>104.2</v>
      </c>
      <c r="O154" s="229">
        <f t="shared" si="72"/>
        <v>104.2</v>
      </c>
      <c r="P154" s="229">
        <f t="shared" si="73"/>
        <v>0</v>
      </c>
      <c r="Q154" s="229">
        <f t="shared" si="74"/>
        <v>0</v>
      </c>
      <c r="R154" s="229"/>
      <c r="S154" s="229">
        <v>43.034651</v>
      </c>
      <c r="T154" s="228"/>
      <c r="U154" s="228" t="s">
        <v>1564</v>
      </c>
      <c r="V154" s="235"/>
      <c r="W154" s="236"/>
    </row>
    <row r="155" ht="21" customHeight="1" spans="1:23">
      <c r="A155" s="221">
        <v>148</v>
      </c>
      <c r="B155" s="222"/>
      <c r="C155" s="223"/>
      <c r="D155" s="224" t="s">
        <v>1565</v>
      </c>
      <c r="E155" s="225"/>
      <c r="F155" s="226">
        <f>SUM(F156:F180)</f>
        <v>2912.73</v>
      </c>
      <c r="G155" s="226">
        <f>SUM(G156:G180)</f>
        <v>2912.73</v>
      </c>
      <c r="H155" s="226">
        <f>SUM(H156:H180)</f>
        <v>0</v>
      </c>
      <c r="I155" s="226">
        <f>SUM(I156:I180)</f>
        <v>0</v>
      </c>
      <c r="J155" s="226">
        <f t="shared" ref="J155:R155" si="75">SUM(J156:J180)</f>
        <v>3628.6575</v>
      </c>
      <c r="K155" s="226">
        <f t="shared" si="75"/>
        <v>3628.6575</v>
      </c>
      <c r="L155" s="226">
        <f t="shared" si="75"/>
        <v>0</v>
      </c>
      <c r="M155" s="226">
        <f t="shared" si="75"/>
        <v>0</v>
      </c>
      <c r="N155" s="226">
        <f t="shared" si="75"/>
        <v>6541.3875</v>
      </c>
      <c r="O155" s="226">
        <f t="shared" si="75"/>
        <v>6541.3875</v>
      </c>
      <c r="P155" s="226">
        <f t="shared" si="75"/>
        <v>0</v>
      </c>
      <c r="Q155" s="226">
        <f t="shared" si="75"/>
        <v>0</v>
      </c>
      <c r="R155" s="226">
        <f t="shared" si="75"/>
        <v>0</v>
      </c>
      <c r="S155" s="226"/>
      <c r="T155" s="239"/>
      <c r="U155" s="228"/>
      <c r="V155" s="235"/>
      <c r="W155" s="236"/>
    </row>
    <row r="156" ht="30" customHeight="1" spans="1:23">
      <c r="A156" s="221">
        <v>149</v>
      </c>
      <c r="B156" s="227" t="s">
        <v>290</v>
      </c>
      <c r="C156" s="228" t="s">
        <v>619</v>
      </c>
      <c r="D156" s="228" t="s">
        <v>620</v>
      </c>
      <c r="E156" s="243" t="s">
        <v>1566</v>
      </c>
      <c r="F156" s="229">
        <v>50</v>
      </c>
      <c r="G156" s="229">
        <v>50</v>
      </c>
      <c r="H156" s="229"/>
      <c r="I156" s="229"/>
      <c r="J156" s="229">
        <f>SUM(K156:M156)</f>
        <v>0</v>
      </c>
      <c r="K156" s="229"/>
      <c r="L156" s="229"/>
      <c r="M156" s="229"/>
      <c r="N156" s="229">
        <f>SUM(O156:Q156)</f>
        <v>50</v>
      </c>
      <c r="O156" s="229">
        <f>G156+K156</f>
        <v>50</v>
      </c>
      <c r="P156" s="229">
        <f>H156+L156</f>
        <v>0</v>
      </c>
      <c r="Q156" s="229">
        <f>I156+M156</f>
        <v>0</v>
      </c>
      <c r="R156" s="229"/>
      <c r="S156" s="229">
        <v>9.987</v>
      </c>
      <c r="T156" s="228"/>
      <c r="U156" s="228" t="s">
        <v>1567</v>
      </c>
      <c r="V156" s="235"/>
      <c r="W156" s="236"/>
    </row>
    <row r="157" ht="30" customHeight="1" spans="1:23">
      <c r="A157" s="221">
        <v>150</v>
      </c>
      <c r="B157" s="227" t="s">
        <v>1334</v>
      </c>
      <c r="C157" s="228" t="s">
        <v>1568</v>
      </c>
      <c r="D157" s="228" t="s">
        <v>1569</v>
      </c>
      <c r="E157" s="243" t="s">
        <v>1570</v>
      </c>
      <c r="F157" s="229"/>
      <c r="G157" s="229"/>
      <c r="H157" s="229"/>
      <c r="I157" s="229"/>
      <c r="J157" s="229">
        <f>SUM(K157:M157)</f>
        <v>150</v>
      </c>
      <c r="K157" s="229">
        <v>150</v>
      </c>
      <c r="L157" s="229"/>
      <c r="M157" s="229"/>
      <c r="N157" s="229">
        <f>SUM(O157:Q157)</f>
        <v>150</v>
      </c>
      <c r="O157" s="229">
        <f>G157+K157</f>
        <v>150</v>
      </c>
      <c r="P157" s="229">
        <f>H157+L157</f>
        <v>0</v>
      </c>
      <c r="Q157" s="229">
        <f>I157+M157</f>
        <v>0</v>
      </c>
      <c r="R157" s="229"/>
      <c r="S157" s="229">
        <v>150</v>
      </c>
      <c r="T157" s="228" t="s">
        <v>1571</v>
      </c>
      <c r="U157" s="228"/>
      <c r="V157" s="235"/>
      <c r="W157" s="236"/>
    </row>
    <row r="158" ht="30" customHeight="1" spans="1:23">
      <c r="A158" s="221">
        <v>151</v>
      </c>
      <c r="B158" s="227" t="s">
        <v>290</v>
      </c>
      <c r="C158" s="228" t="s">
        <v>617</v>
      </c>
      <c r="D158" s="244" t="s">
        <v>629</v>
      </c>
      <c r="E158" s="245" t="s">
        <v>1572</v>
      </c>
      <c r="F158" s="229"/>
      <c r="G158" s="229"/>
      <c r="H158" s="229"/>
      <c r="I158" s="229"/>
      <c r="J158" s="229">
        <f>SUM(K158:M158)</f>
        <v>15</v>
      </c>
      <c r="K158" s="229">
        <v>15</v>
      </c>
      <c r="L158" s="229"/>
      <c r="M158" s="229"/>
      <c r="N158" s="229">
        <f>SUM(O158:Q158)</f>
        <v>15</v>
      </c>
      <c r="O158" s="229">
        <f>G158+K158</f>
        <v>15</v>
      </c>
      <c r="P158" s="229">
        <f>H158+L158</f>
        <v>0</v>
      </c>
      <c r="Q158" s="229">
        <f>I158+M158</f>
        <v>0</v>
      </c>
      <c r="R158" s="229"/>
      <c r="S158" s="229"/>
      <c r="T158" s="228" t="s">
        <v>1573</v>
      </c>
      <c r="U158" s="228"/>
      <c r="V158" s="235"/>
      <c r="W158" s="236"/>
    </row>
    <row r="159" ht="30" customHeight="1" spans="1:23">
      <c r="A159" s="221">
        <v>152</v>
      </c>
      <c r="B159" s="227" t="s">
        <v>290</v>
      </c>
      <c r="C159" s="228" t="s">
        <v>617</v>
      </c>
      <c r="D159" s="244" t="s">
        <v>629</v>
      </c>
      <c r="E159" s="245" t="s">
        <v>1574</v>
      </c>
      <c r="F159" s="229"/>
      <c r="G159" s="229"/>
      <c r="H159" s="229"/>
      <c r="I159" s="229"/>
      <c r="J159" s="229">
        <f>SUM(K159:M159)</f>
        <v>68.88</v>
      </c>
      <c r="K159" s="229">
        <v>68.88</v>
      </c>
      <c r="L159" s="229"/>
      <c r="M159" s="229"/>
      <c r="N159" s="229">
        <f>SUM(O159:Q159)</f>
        <v>68.88</v>
      </c>
      <c r="O159" s="229">
        <f>G159+K159</f>
        <v>68.88</v>
      </c>
      <c r="P159" s="229">
        <f>H159+L159</f>
        <v>0</v>
      </c>
      <c r="Q159" s="229">
        <f>I159+M159</f>
        <v>0</v>
      </c>
      <c r="R159" s="229"/>
      <c r="S159" s="229"/>
      <c r="T159" s="228" t="s">
        <v>1575</v>
      </c>
      <c r="U159" s="228"/>
      <c r="V159" s="235"/>
      <c r="W159" s="236"/>
    </row>
    <row r="160" ht="30" customHeight="1" spans="1:23">
      <c r="A160" s="221">
        <v>153</v>
      </c>
      <c r="B160" s="227" t="s">
        <v>290</v>
      </c>
      <c r="C160" s="228" t="s">
        <v>619</v>
      </c>
      <c r="D160" s="228" t="s">
        <v>1576</v>
      </c>
      <c r="E160" s="245" t="s">
        <v>1561</v>
      </c>
      <c r="F160" s="229"/>
      <c r="G160" s="229"/>
      <c r="H160" s="229"/>
      <c r="I160" s="229"/>
      <c r="J160" s="229">
        <f>SUM(K160:M160)</f>
        <v>1130</v>
      </c>
      <c r="K160" s="229">
        <f>1430-300</f>
        <v>1130</v>
      </c>
      <c r="L160" s="229"/>
      <c r="M160" s="229"/>
      <c r="N160" s="229">
        <f>SUM(O160:Q160)</f>
        <v>1130</v>
      </c>
      <c r="O160" s="229">
        <f>G160+K160</f>
        <v>1130</v>
      </c>
      <c r="P160" s="229">
        <f>H160+L160</f>
        <v>0</v>
      </c>
      <c r="Q160" s="229">
        <f>I160+M160</f>
        <v>0</v>
      </c>
      <c r="R160" s="229"/>
      <c r="S160" s="229">
        <v>800.8967</v>
      </c>
      <c r="T160" s="228" t="s">
        <v>1577</v>
      </c>
      <c r="U160" s="228"/>
      <c r="V160" s="235">
        <v>-300</v>
      </c>
      <c r="W160" s="236"/>
    </row>
    <row r="161" ht="30" customHeight="1" spans="1:23">
      <c r="A161" s="221">
        <v>154</v>
      </c>
      <c r="B161" s="227" t="s">
        <v>290</v>
      </c>
      <c r="C161" s="228" t="s">
        <v>329</v>
      </c>
      <c r="D161" s="228" t="s">
        <v>1576</v>
      </c>
      <c r="E161" s="245" t="s">
        <v>1578</v>
      </c>
      <c r="F161" s="229"/>
      <c r="G161" s="229"/>
      <c r="H161" s="229"/>
      <c r="I161" s="229"/>
      <c r="J161" s="229">
        <f t="shared" ref="J161:J180" si="76">SUM(K161:M161)</f>
        <v>36</v>
      </c>
      <c r="K161" s="229">
        <v>36</v>
      </c>
      <c r="L161" s="229"/>
      <c r="M161" s="229"/>
      <c r="N161" s="229">
        <f t="shared" ref="N161:N180" si="77">SUM(O161:Q161)</f>
        <v>36</v>
      </c>
      <c r="O161" s="229">
        <f t="shared" ref="O161:O180" si="78">G161+K161</f>
        <v>36</v>
      </c>
      <c r="P161" s="229">
        <f t="shared" ref="P161:P180" si="79">H161+L161</f>
        <v>0</v>
      </c>
      <c r="Q161" s="229">
        <f t="shared" ref="Q161:Q180" si="80">I161+M161</f>
        <v>0</v>
      </c>
      <c r="R161" s="229"/>
      <c r="S161" s="229"/>
      <c r="T161" s="228" t="s">
        <v>1579</v>
      </c>
      <c r="U161" s="228"/>
      <c r="V161" s="235"/>
      <c r="W161" s="236"/>
    </row>
    <row r="162" ht="43" customHeight="1" spans="1:23">
      <c r="A162" s="221">
        <v>155</v>
      </c>
      <c r="B162" s="227" t="s">
        <v>290</v>
      </c>
      <c r="C162" s="228" t="s">
        <v>342</v>
      </c>
      <c r="D162" s="228" t="s">
        <v>1576</v>
      </c>
      <c r="E162" s="245" t="s">
        <v>1578</v>
      </c>
      <c r="F162" s="229"/>
      <c r="G162" s="229"/>
      <c r="H162" s="229"/>
      <c r="I162" s="229"/>
      <c r="J162" s="229">
        <f t="shared" si="76"/>
        <v>20.85</v>
      </c>
      <c r="K162" s="229">
        <v>20.85</v>
      </c>
      <c r="L162" s="229"/>
      <c r="M162" s="229"/>
      <c r="N162" s="229">
        <f t="shared" si="77"/>
        <v>20.85</v>
      </c>
      <c r="O162" s="229">
        <f t="shared" si="78"/>
        <v>20.85</v>
      </c>
      <c r="P162" s="229">
        <f t="shared" si="79"/>
        <v>0</v>
      </c>
      <c r="Q162" s="229">
        <f t="shared" si="80"/>
        <v>0</v>
      </c>
      <c r="R162" s="229"/>
      <c r="S162" s="229"/>
      <c r="T162" s="228" t="s">
        <v>1580</v>
      </c>
      <c r="U162" s="228"/>
      <c r="V162" s="235"/>
      <c r="W162" s="236"/>
    </row>
    <row r="163" ht="30" customHeight="1" spans="1:23">
      <c r="A163" s="221">
        <v>156</v>
      </c>
      <c r="B163" s="227" t="s">
        <v>290</v>
      </c>
      <c r="C163" s="228" t="s">
        <v>1581</v>
      </c>
      <c r="D163" s="228" t="s">
        <v>1576</v>
      </c>
      <c r="E163" s="243" t="s">
        <v>1582</v>
      </c>
      <c r="F163" s="229"/>
      <c r="G163" s="229"/>
      <c r="H163" s="229"/>
      <c r="I163" s="229"/>
      <c r="J163" s="229">
        <f t="shared" si="76"/>
        <v>168.53</v>
      </c>
      <c r="K163" s="229">
        <v>168.53</v>
      </c>
      <c r="L163" s="229"/>
      <c r="M163" s="229"/>
      <c r="N163" s="229">
        <f t="shared" si="77"/>
        <v>168.53</v>
      </c>
      <c r="O163" s="229">
        <f t="shared" si="78"/>
        <v>168.53</v>
      </c>
      <c r="P163" s="229">
        <f t="shared" si="79"/>
        <v>0</v>
      </c>
      <c r="Q163" s="229">
        <f t="shared" si="80"/>
        <v>0</v>
      </c>
      <c r="R163" s="229"/>
      <c r="S163" s="229"/>
      <c r="T163" s="228" t="s">
        <v>1583</v>
      </c>
      <c r="U163" s="228"/>
      <c r="V163" s="235"/>
      <c r="W163" s="236"/>
    </row>
    <row r="164" ht="27" customHeight="1" spans="1:23">
      <c r="A164" s="221">
        <v>157</v>
      </c>
      <c r="B164" s="227" t="s">
        <v>290</v>
      </c>
      <c r="C164" s="228" t="s">
        <v>617</v>
      </c>
      <c r="D164" s="228" t="s">
        <v>1576</v>
      </c>
      <c r="E164" s="243" t="s">
        <v>1584</v>
      </c>
      <c r="F164" s="229">
        <v>80</v>
      </c>
      <c r="G164" s="229">
        <v>80</v>
      </c>
      <c r="H164" s="229"/>
      <c r="I164" s="229"/>
      <c r="J164" s="229">
        <f t="shared" si="76"/>
        <v>0</v>
      </c>
      <c r="K164" s="229"/>
      <c r="L164" s="229"/>
      <c r="M164" s="229"/>
      <c r="N164" s="229">
        <f t="shared" si="77"/>
        <v>80</v>
      </c>
      <c r="O164" s="229">
        <f t="shared" si="78"/>
        <v>80</v>
      </c>
      <c r="P164" s="229">
        <f t="shared" si="79"/>
        <v>0</v>
      </c>
      <c r="Q164" s="229">
        <f t="shared" si="80"/>
        <v>0</v>
      </c>
      <c r="R164" s="229"/>
      <c r="S164" s="229"/>
      <c r="T164" s="228"/>
      <c r="U164" s="228" t="s">
        <v>1585</v>
      </c>
      <c r="V164" s="235"/>
      <c r="W164" s="236"/>
    </row>
    <row r="165" ht="27" spans="1:23">
      <c r="A165" s="221">
        <v>158</v>
      </c>
      <c r="B165" s="227" t="s">
        <v>290</v>
      </c>
      <c r="C165" s="228" t="s">
        <v>632</v>
      </c>
      <c r="D165" s="228" t="s">
        <v>1586</v>
      </c>
      <c r="E165" s="243" t="s">
        <v>1587</v>
      </c>
      <c r="F165" s="229">
        <v>75</v>
      </c>
      <c r="G165" s="229">
        <v>75</v>
      </c>
      <c r="H165" s="229"/>
      <c r="I165" s="229"/>
      <c r="J165" s="229">
        <f t="shared" si="76"/>
        <v>-75</v>
      </c>
      <c r="K165" s="229">
        <v>-75</v>
      </c>
      <c r="L165" s="229"/>
      <c r="M165" s="229"/>
      <c r="N165" s="229">
        <f t="shared" si="77"/>
        <v>0</v>
      </c>
      <c r="O165" s="229">
        <f t="shared" si="78"/>
        <v>0</v>
      </c>
      <c r="P165" s="229">
        <f t="shared" si="79"/>
        <v>0</v>
      </c>
      <c r="Q165" s="229">
        <f t="shared" si="80"/>
        <v>0</v>
      </c>
      <c r="R165" s="229"/>
      <c r="S165" s="229"/>
      <c r="T165" s="228" t="s">
        <v>1588</v>
      </c>
      <c r="U165" s="228" t="s">
        <v>1589</v>
      </c>
      <c r="V165" s="235"/>
      <c r="W165" s="236"/>
    </row>
    <row r="166" ht="27" spans="1:24">
      <c r="A166" s="221">
        <v>159</v>
      </c>
      <c r="B166" s="227" t="s">
        <v>290</v>
      </c>
      <c r="C166" s="228" t="s">
        <v>632</v>
      </c>
      <c r="D166" s="228" t="s">
        <v>635</v>
      </c>
      <c r="E166" s="228" t="s">
        <v>1590</v>
      </c>
      <c r="F166" s="229">
        <v>600</v>
      </c>
      <c r="G166" s="229">
        <v>600</v>
      </c>
      <c r="H166" s="229"/>
      <c r="I166" s="229"/>
      <c r="J166" s="229">
        <f t="shared" si="76"/>
        <v>-65.8367</v>
      </c>
      <c r="K166" s="229">
        <f>60.216275-60.216275-65.8367</f>
        <v>-65.8367</v>
      </c>
      <c r="L166" s="229"/>
      <c r="M166" s="229"/>
      <c r="N166" s="229">
        <f t="shared" si="77"/>
        <v>534.1633</v>
      </c>
      <c r="O166" s="229">
        <f t="shared" si="78"/>
        <v>534.1633</v>
      </c>
      <c r="P166" s="229">
        <f t="shared" si="79"/>
        <v>0</v>
      </c>
      <c r="Q166" s="229">
        <f t="shared" si="80"/>
        <v>0</v>
      </c>
      <c r="R166" s="229"/>
      <c r="S166" s="229">
        <v>238.66045</v>
      </c>
      <c r="T166" s="228" t="s">
        <v>1591</v>
      </c>
      <c r="U166" s="228" t="s">
        <v>1592</v>
      </c>
      <c r="V166" s="235"/>
      <c r="W166" s="236"/>
      <c r="X166" s="210">
        <v>60.22</v>
      </c>
    </row>
    <row r="167" ht="27" spans="1:24">
      <c r="A167" s="221">
        <v>160</v>
      </c>
      <c r="B167" s="227" t="s">
        <v>290</v>
      </c>
      <c r="C167" s="228" t="s">
        <v>1538</v>
      </c>
      <c r="D167" s="228" t="s">
        <v>635</v>
      </c>
      <c r="E167" s="228" t="s">
        <v>1593</v>
      </c>
      <c r="F167" s="229"/>
      <c r="G167" s="229"/>
      <c r="H167" s="229"/>
      <c r="I167" s="229"/>
      <c r="J167" s="229">
        <f t="shared" si="76"/>
        <v>65.8367</v>
      </c>
      <c r="K167" s="229">
        <v>65.8367</v>
      </c>
      <c r="L167" s="229"/>
      <c r="M167" s="229"/>
      <c r="N167" s="229">
        <f t="shared" si="77"/>
        <v>65.8367</v>
      </c>
      <c r="O167" s="229">
        <f t="shared" si="78"/>
        <v>65.8367</v>
      </c>
      <c r="P167" s="229">
        <f t="shared" si="79"/>
        <v>0</v>
      </c>
      <c r="Q167" s="229">
        <f t="shared" si="80"/>
        <v>0</v>
      </c>
      <c r="R167" s="229"/>
      <c r="S167" s="229">
        <v>65.8367</v>
      </c>
      <c r="T167" s="228" t="s">
        <v>1594</v>
      </c>
      <c r="U167" s="228"/>
      <c r="V167" s="235"/>
      <c r="W167" s="236"/>
      <c r="X167" s="210">
        <v>65.84</v>
      </c>
    </row>
    <row r="168" ht="27" spans="1:24">
      <c r="A168" s="221">
        <v>161</v>
      </c>
      <c r="B168" s="227" t="s">
        <v>290</v>
      </c>
      <c r="C168" s="228" t="s">
        <v>632</v>
      </c>
      <c r="D168" s="228" t="s">
        <v>633</v>
      </c>
      <c r="E168" s="228" t="s">
        <v>1595</v>
      </c>
      <c r="F168" s="229"/>
      <c r="G168" s="229"/>
      <c r="H168" s="229"/>
      <c r="I168" s="229"/>
      <c r="J168" s="229">
        <f t="shared" si="76"/>
        <v>3.03</v>
      </c>
      <c r="K168" s="229">
        <v>3.03</v>
      </c>
      <c r="L168" s="229"/>
      <c r="M168" s="229"/>
      <c r="N168" s="229">
        <f t="shared" si="77"/>
        <v>3.03</v>
      </c>
      <c r="O168" s="229">
        <f t="shared" si="78"/>
        <v>3.03</v>
      </c>
      <c r="P168" s="229">
        <f t="shared" si="79"/>
        <v>0</v>
      </c>
      <c r="Q168" s="229">
        <f t="shared" si="80"/>
        <v>0</v>
      </c>
      <c r="R168" s="229"/>
      <c r="S168" s="229">
        <v>3.03</v>
      </c>
      <c r="T168" s="228" t="s">
        <v>1295</v>
      </c>
      <c r="U168" s="228"/>
      <c r="V168" s="235"/>
      <c r="W168" s="236"/>
      <c r="X168" s="210">
        <v>3.03</v>
      </c>
    </row>
    <row r="169" ht="27" spans="1:23">
      <c r="A169" s="221">
        <v>162</v>
      </c>
      <c r="B169" s="227" t="s">
        <v>290</v>
      </c>
      <c r="C169" s="228" t="s">
        <v>634</v>
      </c>
      <c r="D169" s="228" t="s">
        <v>635</v>
      </c>
      <c r="E169" s="228" t="s">
        <v>1596</v>
      </c>
      <c r="F169" s="229">
        <v>1522</v>
      </c>
      <c r="G169" s="229">
        <v>1522</v>
      </c>
      <c r="H169" s="229"/>
      <c r="I169" s="229"/>
      <c r="J169" s="229">
        <f t="shared" si="76"/>
        <v>-300</v>
      </c>
      <c r="K169" s="229">
        <v>-300</v>
      </c>
      <c r="L169" s="229"/>
      <c r="M169" s="229"/>
      <c r="N169" s="229">
        <f t="shared" si="77"/>
        <v>1222</v>
      </c>
      <c r="O169" s="229">
        <f t="shared" si="78"/>
        <v>1222</v>
      </c>
      <c r="P169" s="229">
        <f t="shared" si="79"/>
        <v>0</v>
      </c>
      <c r="Q169" s="229">
        <f t="shared" si="80"/>
        <v>0</v>
      </c>
      <c r="R169" s="229"/>
      <c r="S169" s="229">
        <v>841.555777</v>
      </c>
      <c r="T169" s="228"/>
      <c r="U169" s="228" t="s">
        <v>1597</v>
      </c>
      <c r="V169" s="235">
        <v>-300</v>
      </c>
      <c r="W169" s="236"/>
    </row>
    <row r="170" ht="27" spans="1:23">
      <c r="A170" s="221">
        <v>163</v>
      </c>
      <c r="B170" s="227" t="s">
        <v>290</v>
      </c>
      <c r="C170" s="228" t="s">
        <v>634</v>
      </c>
      <c r="D170" s="228" t="s">
        <v>1576</v>
      </c>
      <c r="E170" s="228" t="s">
        <v>1598</v>
      </c>
      <c r="F170" s="229"/>
      <c r="G170" s="229"/>
      <c r="H170" s="229"/>
      <c r="I170" s="229"/>
      <c r="J170" s="229">
        <f t="shared" si="76"/>
        <v>0</v>
      </c>
      <c r="K170" s="229"/>
      <c r="L170" s="229"/>
      <c r="M170" s="229"/>
      <c r="N170" s="229">
        <f t="shared" si="77"/>
        <v>0</v>
      </c>
      <c r="O170" s="229">
        <f t="shared" si="78"/>
        <v>0</v>
      </c>
      <c r="P170" s="229">
        <f t="shared" si="79"/>
        <v>0</v>
      </c>
      <c r="Q170" s="229">
        <f t="shared" si="80"/>
        <v>0</v>
      </c>
      <c r="R170" s="229"/>
      <c r="S170" s="229">
        <v>748.634592</v>
      </c>
      <c r="T170" s="228"/>
      <c r="U170" s="228"/>
      <c r="V170" s="235"/>
      <c r="W170" s="236">
        <v>748.634592</v>
      </c>
    </row>
    <row r="171" ht="27" spans="1:23">
      <c r="A171" s="221">
        <v>164</v>
      </c>
      <c r="B171" s="227" t="s">
        <v>290</v>
      </c>
      <c r="C171" s="228" t="s">
        <v>617</v>
      </c>
      <c r="D171" s="228" t="s">
        <v>638</v>
      </c>
      <c r="E171" s="228" t="s">
        <v>1599</v>
      </c>
      <c r="F171" s="229">
        <v>10</v>
      </c>
      <c r="G171" s="229">
        <v>10</v>
      </c>
      <c r="H171" s="229"/>
      <c r="I171" s="229"/>
      <c r="J171" s="229">
        <f t="shared" si="76"/>
        <v>0</v>
      </c>
      <c r="K171" s="229"/>
      <c r="L171" s="229"/>
      <c r="M171" s="229"/>
      <c r="N171" s="229">
        <f t="shared" si="77"/>
        <v>10</v>
      </c>
      <c r="O171" s="229">
        <f t="shared" si="78"/>
        <v>10</v>
      </c>
      <c r="P171" s="229">
        <f t="shared" si="79"/>
        <v>0</v>
      </c>
      <c r="Q171" s="229">
        <f t="shared" si="80"/>
        <v>0</v>
      </c>
      <c r="R171" s="229"/>
      <c r="S171" s="229"/>
      <c r="T171" s="228"/>
      <c r="U171" s="228" t="s">
        <v>1600</v>
      </c>
      <c r="V171" s="235"/>
      <c r="W171" s="236"/>
    </row>
    <row r="172" ht="27" customHeight="1" spans="1:23">
      <c r="A172" s="221">
        <v>165</v>
      </c>
      <c r="B172" s="227" t="s">
        <v>290</v>
      </c>
      <c r="C172" s="228" t="s">
        <v>329</v>
      </c>
      <c r="D172" s="228" t="s">
        <v>1576</v>
      </c>
      <c r="E172" s="228" t="s">
        <v>1601</v>
      </c>
      <c r="F172" s="229">
        <v>150</v>
      </c>
      <c r="G172" s="229">
        <v>150</v>
      </c>
      <c r="H172" s="229"/>
      <c r="I172" s="229"/>
      <c r="J172" s="229">
        <f t="shared" si="76"/>
        <v>-100</v>
      </c>
      <c r="K172" s="229">
        <v>-100</v>
      </c>
      <c r="L172" s="229"/>
      <c r="M172" s="229"/>
      <c r="N172" s="229">
        <f t="shared" si="77"/>
        <v>50</v>
      </c>
      <c r="O172" s="229">
        <f t="shared" si="78"/>
        <v>50</v>
      </c>
      <c r="P172" s="229">
        <f t="shared" si="79"/>
        <v>0</v>
      </c>
      <c r="Q172" s="229">
        <f t="shared" si="80"/>
        <v>0</v>
      </c>
      <c r="R172" s="229"/>
      <c r="S172" s="229"/>
      <c r="T172" s="228"/>
      <c r="U172" s="228" t="s">
        <v>1602</v>
      </c>
      <c r="V172" s="235">
        <v>-100</v>
      </c>
      <c r="W172" s="236"/>
    </row>
    <row r="173" ht="27" spans="1:23">
      <c r="A173" s="221">
        <v>166</v>
      </c>
      <c r="B173" s="227" t="s">
        <v>290</v>
      </c>
      <c r="C173" s="228" t="s">
        <v>329</v>
      </c>
      <c r="D173" s="228" t="s">
        <v>1576</v>
      </c>
      <c r="E173" s="228" t="s">
        <v>1603</v>
      </c>
      <c r="F173" s="229">
        <v>136</v>
      </c>
      <c r="G173" s="229">
        <v>136</v>
      </c>
      <c r="H173" s="229"/>
      <c r="I173" s="229"/>
      <c r="J173" s="229">
        <f t="shared" si="76"/>
        <v>-80</v>
      </c>
      <c r="K173" s="229">
        <v>-80</v>
      </c>
      <c r="L173" s="229"/>
      <c r="M173" s="229"/>
      <c r="N173" s="229">
        <f t="shared" si="77"/>
        <v>56</v>
      </c>
      <c r="O173" s="229">
        <f t="shared" si="78"/>
        <v>56</v>
      </c>
      <c r="P173" s="229">
        <f t="shared" si="79"/>
        <v>0</v>
      </c>
      <c r="Q173" s="229">
        <f t="shared" si="80"/>
        <v>0</v>
      </c>
      <c r="R173" s="229"/>
      <c r="S173" s="229">
        <v>9.219205</v>
      </c>
      <c r="T173" s="228"/>
      <c r="U173" s="228" t="s">
        <v>1604</v>
      </c>
      <c r="V173" s="235">
        <v>-80</v>
      </c>
      <c r="W173" s="236"/>
    </row>
    <row r="174" ht="27" customHeight="1" spans="1:23">
      <c r="A174" s="221">
        <v>167</v>
      </c>
      <c r="B174" s="227" t="s">
        <v>290</v>
      </c>
      <c r="C174" s="228" t="s">
        <v>342</v>
      </c>
      <c r="D174" s="228" t="s">
        <v>1576</v>
      </c>
      <c r="E174" s="228" t="s">
        <v>1603</v>
      </c>
      <c r="F174" s="229">
        <v>100</v>
      </c>
      <c r="G174" s="229">
        <v>100</v>
      </c>
      <c r="H174" s="229"/>
      <c r="I174" s="229"/>
      <c r="J174" s="229">
        <f t="shared" si="76"/>
        <v>-100</v>
      </c>
      <c r="K174" s="229">
        <v>-100</v>
      </c>
      <c r="L174" s="229"/>
      <c r="M174" s="229"/>
      <c r="N174" s="229">
        <f t="shared" si="77"/>
        <v>0</v>
      </c>
      <c r="O174" s="229">
        <f t="shared" si="78"/>
        <v>0</v>
      </c>
      <c r="P174" s="229">
        <f t="shared" si="79"/>
        <v>0</v>
      </c>
      <c r="Q174" s="229">
        <f t="shared" si="80"/>
        <v>0</v>
      </c>
      <c r="R174" s="229"/>
      <c r="S174" s="229"/>
      <c r="T174" s="228"/>
      <c r="U174" s="228" t="s">
        <v>1605</v>
      </c>
      <c r="V174" s="235">
        <v>-100</v>
      </c>
      <c r="W174" s="236"/>
    </row>
    <row r="175" ht="47" customHeight="1" spans="1:23">
      <c r="A175" s="221">
        <v>168</v>
      </c>
      <c r="B175" s="227" t="s">
        <v>1606</v>
      </c>
      <c r="C175" s="228" t="s">
        <v>1354</v>
      </c>
      <c r="D175" s="228" t="s">
        <v>1576</v>
      </c>
      <c r="E175" s="228" t="s">
        <v>1607</v>
      </c>
      <c r="F175" s="229">
        <v>180</v>
      </c>
      <c r="G175" s="229">
        <v>180</v>
      </c>
      <c r="H175" s="229"/>
      <c r="I175" s="229"/>
      <c r="J175" s="229">
        <f t="shared" si="76"/>
        <v>41.3675</v>
      </c>
      <c r="K175" s="229">
        <v>41.3675</v>
      </c>
      <c r="L175" s="229"/>
      <c r="M175" s="229"/>
      <c r="N175" s="229">
        <f t="shared" si="77"/>
        <v>221.3675</v>
      </c>
      <c r="O175" s="229">
        <f t="shared" si="78"/>
        <v>221.3675</v>
      </c>
      <c r="P175" s="229">
        <f t="shared" si="79"/>
        <v>0</v>
      </c>
      <c r="Q175" s="229">
        <f t="shared" si="80"/>
        <v>0</v>
      </c>
      <c r="R175" s="229"/>
      <c r="S175" s="229">
        <v>20</v>
      </c>
      <c r="T175" s="228" t="s">
        <v>1608</v>
      </c>
      <c r="U175" s="228" t="s">
        <v>1609</v>
      </c>
      <c r="V175" s="235"/>
      <c r="W175" s="236"/>
    </row>
    <row r="176" ht="32" customHeight="1" spans="1:23">
      <c r="A176" s="221">
        <v>169</v>
      </c>
      <c r="B176" s="227" t="s">
        <v>1334</v>
      </c>
      <c r="C176" s="228" t="s">
        <v>1364</v>
      </c>
      <c r="D176" s="228" t="s">
        <v>1576</v>
      </c>
      <c r="E176" s="228" t="s">
        <v>1610</v>
      </c>
      <c r="F176" s="229"/>
      <c r="G176" s="229"/>
      <c r="H176" s="229"/>
      <c r="I176" s="229"/>
      <c r="J176" s="229">
        <f t="shared" si="76"/>
        <v>150</v>
      </c>
      <c r="K176" s="229">
        <v>150</v>
      </c>
      <c r="L176" s="229"/>
      <c r="M176" s="229"/>
      <c r="N176" s="229">
        <f t="shared" si="77"/>
        <v>150</v>
      </c>
      <c r="O176" s="229">
        <f t="shared" si="78"/>
        <v>150</v>
      </c>
      <c r="P176" s="229">
        <f t="shared" si="79"/>
        <v>0</v>
      </c>
      <c r="Q176" s="229">
        <f t="shared" si="80"/>
        <v>0</v>
      </c>
      <c r="R176" s="229"/>
      <c r="S176" s="229">
        <v>150</v>
      </c>
      <c r="T176" s="228" t="s">
        <v>1611</v>
      </c>
      <c r="U176" s="228"/>
      <c r="V176" s="235"/>
      <c r="W176" s="236"/>
    </row>
    <row r="177" ht="27" spans="1:23">
      <c r="A177" s="221">
        <v>170</v>
      </c>
      <c r="B177" s="227" t="s">
        <v>1334</v>
      </c>
      <c r="C177" s="228" t="s">
        <v>1357</v>
      </c>
      <c r="D177" s="228" t="s">
        <v>1576</v>
      </c>
      <c r="E177" s="228" t="s">
        <v>1612</v>
      </c>
      <c r="F177" s="229"/>
      <c r="G177" s="229"/>
      <c r="H177" s="229"/>
      <c r="I177" s="229"/>
      <c r="J177" s="229">
        <f t="shared" si="76"/>
        <v>500</v>
      </c>
      <c r="K177" s="229">
        <v>500</v>
      </c>
      <c r="L177" s="229"/>
      <c r="M177" s="229"/>
      <c r="N177" s="229">
        <f t="shared" si="77"/>
        <v>500</v>
      </c>
      <c r="O177" s="229">
        <f t="shared" si="78"/>
        <v>500</v>
      </c>
      <c r="P177" s="229">
        <f t="shared" si="79"/>
        <v>0</v>
      </c>
      <c r="Q177" s="229">
        <f t="shared" si="80"/>
        <v>0</v>
      </c>
      <c r="R177" s="229"/>
      <c r="S177" s="229">
        <v>500</v>
      </c>
      <c r="T177" s="241" t="s">
        <v>1339</v>
      </c>
      <c r="U177" s="228"/>
      <c r="V177" s="235"/>
      <c r="W177" s="236"/>
    </row>
    <row r="178" ht="27" spans="1:23">
      <c r="A178" s="221">
        <v>171</v>
      </c>
      <c r="B178" s="227" t="s">
        <v>1334</v>
      </c>
      <c r="C178" s="228" t="s">
        <v>1357</v>
      </c>
      <c r="D178" s="228" t="s">
        <v>1576</v>
      </c>
      <c r="E178" s="228" t="s">
        <v>1613</v>
      </c>
      <c r="F178" s="229"/>
      <c r="G178" s="229"/>
      <c r="H178" s="229"/>
      <c r="I178" s="229"/>
      <c r="J178" s="229">
        <f t="shared" si="76"/>
        <v>1000</v>
      </c>
      <c r="K178" s="229">
        <v>1000</v>
      </c>
      <c r="L178" s="229"/>
      <c r="M178" s="229"/>
      <c r="N178" s="229">
        <f t="shared" si="77"/>
        <v>1000</v>
      </c>
      <c r="O178" s="229">
        <f t="shared" si="78"/>
        <v>1000</v>
      </c>
      <c r="P178" s="229">
        <f t="shared" si="79"/>
        <v>0</v>
      </c>
      <c r="Q178" s="229">
        <f t="shared" si="80"/>
        <v>0</v>
      </c>
      <c r="R178" s="229"/>
      <c r="S178" s="229">
        <v>1000</v>
      </c>
      <c r="T178" s="241" t="s">
        <v>1339</v>
      </c>
      <c r="U178" s="228"/>
      <c r="V178" s="235"/>
      <c r="W178" s="236"/>
    </row>
    <row r="179" ht="30" customHeight="1" spans="1:23">
      <c r="A179" s="221">
        <v>175</v>
      </c>
      <c r="B179" s="227" t="s">
        <v>1334</v>
      </c>
      <c r="C179" s="228" t="s">
        <v>1357</v>
      </c>
      <c r="D179" s="228" t="s">
        <v>1576</v>
      </c>
      <c r="E179" s="228" t="s">
        <v>1614</v>
      </c>
      <c r="F179" s="229"/>
      <c r="G179" s="229"/>
      <c r="H179" s="229"/>
      <c r="I179" s="229"/>
      <c r="J179" s="229">
        <f t="shared" si="76"/>
        <v>1000</v>
      </c>
      <c r="K179" s="229">
        <v>1000</v>
      </c>
      <c r="L179" s="229"/>
      <c r="M179" s="229"/>
      <c r="N179" s="229">
        <f t="shared" si="77"/>
        <v>1000</v>
      </c>
      <c r="O179" s="229">
        <f t="shared" si="78"/>
        <v>1000</v>
      </c>
      <c r="P179" s="229">
        <f t="shared" si="79"/>
        <v>0</v>
      </c>
      <c r="Q179" s="229">
        <f t="shared" si="80"/>
        <v>0</v>
      </c>
      <c r="R179" s="229"/>
      <c r="S179" s="229">
        <v>1000</v>
      </c>
      <c r="T179" s="241" t="s">
        <v>1363</v>
      </c>
      <c r="U179" s="228"/>
      <c r="V179" s="235"/>
      <c r="W179" s="236"/>
    </row>
    <row r="180" ht="40" customHeight="1" spans="1:23">
      <c r="A180" s="221">
        <v>176</v>
      </c>
      <c r="B180" s="227" t="s">
        <v>1236</v>
      </c>
      <c r="C180" s="228" t="s">
        <v>1615</v>
      </c>
      <c r="D180" s="228" t="s">
        <v>1616</v>
      </c>
      <c r="E180" s="228" t="s">
        <v>1617</v>
      </c>
      <c r="F180" s="229">
        <v>9.73</v>
      </c>
      <c r="G180" s="229">
        <v>9.73</v>
      </c>
      <c r="H180" s="229"/>
      <c r="I180" s="229"/>
      <c r="J180" s="229">
        <f t="shared" si="76"/>
        <v>0</v>
      </c>
      <c r="K180" s="229"/>
      <c r="L180" s="229"/>
      <c r="M180" s="229"/>
      <c r="N180" s="229">
        <f t="shared" si="77"/>
        <v>9.73</v>
      </c>
      <c r="O180" s="229">
        <f t="shared" si="78"/>
        <v>9.73</v>
      </c>
      <c r="P180" s="229">
        <f t="shared" si="79"/>
        <v>0</v>
      </c>
      <c r="Q180" s="229">
        <f t="shared" si="80"/>
        <v>0</v>
      </c>
      <c r="R180" s="229"/>
      <c r="S180" s="229"/>
      <c r="T180" s="228"/>
      <c r="U180" s="228" t="s">
        <v>1618</v>
      </c>
      <c r="V180" s="235"/>
      <c r="W180" s="236"/>
    </row>
    <row r="181" ht="21" customHeight="1" spans="1:23">
      <c r="A181" s="221">
        <v>177</v>
      </c>
      <c r="B181" s="222"/>
      <c r="C181" s="223"/>
      <c r="D181" s="224" t="s">
        <v>1619</v>
      </c>
      <c r="E181" s="225"/>
      <c r="F181" s="226">
        <f>SUM(F182:F249)</f>
        <v>10751.6</v>
      </c>
      <c r="G181" s="226">
        <f>SUM(G182:G249)</f>
        <v>9187.79</v>
      </c>
      <c r="H181" s="226">
        <f>SUM(H182:H249)</f>
        <v>1563.81</v>
      </c>
      <c r="I181" s="226">
        <f>SUM(I182:I249)</f>
        <v>0</v>
      </c>
      <c r="J181" s="226">
        <f t="shared" ref="J181:R181" si="81">SUM(J182:J249)</f>
        <v>-376.9</v>
      </c>
      <c r="K181" s="226">
        <f t="shared" si="81"/>
        <v>-371.9</v>
      </c>
      <c r="L181" s="226">
        <f t="shared" si="81"/>
        <v>-5</v>
      </c>
      <c r="M181" s="226">
        <f t="shared" si="81"/>
        <v>0</v>
      </c>
      <c r="N181" s="226">
        <f t="shared" si="81"/>
        <v>10374.7</v>
      </c>
      <c r="O181" s="226">
        <f t="shared" si="81"/>
        <v>8815.89</v>
      </c>
      <c r="P181" s="226">
        <f t="shared" si="81"/>
        <v>1558.81</v>
      </c>
      <c r="Q181" s="226">
        <f t="shared" si="81"/>
        <v>0</v>
      </c>
      <c r="R181" s="226">
        <f t="shared" si="81"/>
        <v>2183.19034</v>
      </c>
      <c r="S181" s="226"/>
      <c r="T181" s="239"/>
      <c r="U181" s="228"/>
      <c r="V181" s="235"/>
      <c r="W181" s="236"/>
    </row>
    <row r="182" ht="30" customHeight="1" spans="1:23">
      <c r="A182" s="221">
        <v>178</v>
      </c>
      <c r="B182" s="227" t="s">
        <v>640</v>
      </c>
      <c r="C182" s="228" t="s">
        <v>641</v>
      </c>
      <c r="D182" s="228" t="s">
        <v>1620</v>
      </c>
      <c r="E182" s="228" t="s">
        <v>1621</v>
      </c>
      <c r="F182" s="229">
        <v>24</v>
      </c>
      <c r="G182" s="229">
        <v>24</v>
      </c>
      <c r="H182" s="229"/>
      <c r="I182" s="229"/>
      <c r="J182" s="229">
        <f>SUM(K182:M182)</f>
        <v>0</v>
      </c>
      <c r="K182" s="229"/>
      <c r="L182" s="229"/>
      <c r="M182" s="229"/>
      <c r="N182" s="229">
        <f>SUM(O182:Q182)</f>
        <v>24</v>
      </c>
      <c r="O182" s="229">
        <f>G182+K182</f>
        <v>24</v>
      </c>
      <c r="P182" s="229">
        <f>H182+L182</f>
        <v>0</v>
      </c>
      <c r="Q182" s="229">
        <f>I182+M182</f>
        <v>0</v>
      </c>
      <c r="R182" s="229"/>
      <c r="S182" s="229"/>
      <c r="T182" s="228"/>
      <c r="U182" s="228" t="s">
        <v>1622</v>
      </c>
      <c r="V182" s="235"/>
      <c r="W182" s="236"/>
    </row>
    <row r="183" ht="31.5" customHeight="1" spans="1:23">
      <c r="A183" s="221">
        <v>179</v>
      </c>
      <c r="B183" s="227" t="s">
        <v>640</v>
      </c>
      <c r="C183" s="228" t="s">
        <v>641</v>
      </c>
      <c r="D183" s="228" t="s">
        <v>1620</v>
      </c>
      <c r="E183" s="228" t="s">
        <v>1623</v>
      </c>
      <c r="F183" s="229">
        <v>140</v>
      </c>
      <c r="G183" s="229">
        <v>140</v>
      </c>
      <c r="H183" s="229"/>
      <c r="I183" s="229"/>
      <c r="J183" s="229">
        <f>SUM(K183:M183)</f>
        <v>0</v>
      </c>
      <c r="K183" s="229"/>
      <c r="L183" s="229"/>
      <c r="M183" s="229"/>
      <c r="N183" s="229">
        <f>SUM(O183:Q183)</f>
        <v>140</v>
      </c>
      <c r="O183" s="229">
        <f>G183+K183</f>
        <v>140</v>
      </c>
      <c r="P183" s="229">
        <f>H183+L183</f>
        <v>0</v>
      </c>
      <c r="Q183" s="229">
        <f>I183+M183</f>
        <v>0</v>
      </c>
      <c r="R183" s="229"/>
      <c r="S183" s="229">
        <v>36.735</v>
      </c>
      <c r="T183" s="228"/>
      <c r="U183" s="228" t="s">
        <v>1624</v>
      </c>
      <c r="V183" s="235"/>
      <c r="W183" s="236"/>
    </row>
    <row r="184" ht="42.95" customHeight="1" spans="1:23">
      <c r="A184" s="221">
        <v>180</v>
      </c>
      <c r="B184" s="227" t="s">
        <v>640</v>
      </c>
      <c r="C184" s="228" t="s">
        <v>641</v>
      </c>
      <c r="D184" s="228" t="s">
        <v>1620</v>
      </c>
      <c r="E184" s="228" t="s">
        <v>1625</v>
      </c>
      <c r="F184" s="229">
        <v>458.7</v>
      </c>
      <c r="G184" s="229"/>
      <c r="H184" s="229">
        <v>458.7</v>
      </c>
      <c r="I184" s="229"/>
      <c r="J184" s="229">
        <f>SUM(K184:M184)</f>
        <v>0</v>
      </c>
      <c r="K184" s="229"/>
      <c r="L184" s="229"/>
      <c r="M184" s="229"/>
      <c r="N184" s="229">
        <f>SUM(O184:Q184)</f>
        <v>458.7</v>
      </c>
      <c r="O184" s="229">
        <f>G184+K184</f>
        <v>0</v>
      </c>
      <c r="P184" s="229">
        <f>H184+L184</f>
        <v>458.7</v>
      </c>
      <c r="Q184" s="229">
        <f>I184+M184</f>
        <v>0</v>
      </c>
      <c r="R184" s="229"/>
      <c r="S184" s="229">
        <v>84.507172</v>
      </c>
      <c r="T184" s="228"/>
      <c r="U184" s="228" t="s">
        <v>1626</v>
      </c>
      <c r="V184" s="235"/>
      <c r="W184" s="236"/>
    </row>
    <row r="185" ht="32.15" customHeight="1" spans="1:23">
      <c r="A185" s="221">
        <v>181</v>
      </c>
      <c r="B185" s="227" t="s">
        <v>290</v>
      </c>
      <c r="C185" s="228" t="s">
        <v>705</v>
      </c>
      <c r="D185" s="228" t="s">
        <v>1620</v>
      </c>
      <c r="E185" s="228" t="s">
        <v>1627</v>
      </c>
      <c r="F185" s="229">
        <v>10</v>
      </c>
      <c r="G185" s="229"/>
      <c r="H185" s="229">
        <v>10</v>
      </c>
      <c r="I185" s="229"/>
      <c r="J185" s="229">
        <f>SUM(K185:M185)</f>
        <v>0</v>
      </c>
      <c r="K185" s="229"/>
      <c r="L185" s="229"/>
      <c r="M185" s="229"/>
      <c r="N185" s="229">
        <f>SUM(O185:Q185)</f>
        <v>10</v>
      </c>
      <c r="O185" s="229">
        <f>G185+K185</f>
        <v>0</v>
      </c>
      <c r="P185" s="229">
        <f>H185+L185</f>
        <v>10</v>
      </c>
      <c r="Q185" s="229">
        <f>I185+M185</f>
        <v>0</v>
      </c>
      <c r="R185" s="229"/>
      <c r="S185" s="229">
        <v>10</v>
      </c>
      <c r="T185" s="228"/>
      <c r="U185" s="228" t="s">
        <v>1628</v>
      </c>
      <c r="V185" s="235"/>
      <c r="W185" s="236"/>
    </row>
    <row r="186" ht="42.95" customHeight="1" spans="1:23">
      <c r="A186" s="221">
        <v>182</v>
      </c>
      <c r="B186" s="227" t="s">
        <v>665</v>
      </c>
      <c r="C186" s="228" t="s">
        <v>668</v>
      </c>
      <c r="D186" s="228" t="s">
        <v>1629</v>
      </c>
      <c r="E186" s="228" t="s">
        <v>1630</v>
      </c>
      <c r="F186" s="229">
        <v>4.31</v>
      </c>
      <c r="G186" s="229"/>
      <c r="H186" s="229">
        <v>4.31</v>
      </c>
      <c r="I186" s="229"/>
      <c r="J186" s="229">
        <f>SUM(K186:M186)</f>
        <v>0</v>
      </c>
      <c r="K186" s="229"/>
      <c r="L186" s="229"/>
      <c r="M186" s="229"/>
      <c r="N186" s="229">
        <f>SUM(O186:Q186)</f>
        <v>4.31</v>
      </c>
      <c r="O186" s="229">
        <f>G186+K186</f>
        <v>0</v>
      </c>
      <c r="P186" s="229">
        <f>H186+L186</f>
        <v>4.31</v>
      </c>
      <c r="Q186" s="229">
        <f>I186+M186</f>
        <v>0</v>
      </c>
      <c r="R186" s="229"/>
      <c r="S186" s="229"/>
      <c r="T186" s="228"/>
      <c r="U186" s="228" t="s">
        <v>1631</v>
      </c>
      <c r="V186" s="235"/>
      <c r="W186" s="236"/>
    </row>
    <row r="187" ht="42.95" customHeight="1" spans="1:23">
      <c r="A187" s="221">
        <v>183</v>
      </c>
      <c r="B187" s="227" t="s">
        <v>665</v>
      </c>
      <c r="C187" s="228" t="s">
        <v>666</v>
      </c>
      <c r="D187" s="228" t="s">
        <v>1632</v>
      </c>
      <c r="E187" s="228" t="s">
        <v>1633</v>
      </c>
      <c r="F187" s="229"/>
      <c r="G187" s="229"/>
      <c r="H187" s="229"/>
      <c r="I187" s="229"/>
      <c r="J187" s="229"/>
      <c r="K187" s="229"/>
      <c r="L187" s="229"/>
      <c r="M187" s="229"/>
      <c r="N187" s="229"/>
      <c r="O187" s="229"/>
      <c r="P187" s="229"/>
      <c r="Q187" s="229"/>
      <c r="R187" s="229">
        <v>40</v>
      </c>
      <c r="S187" s="229"/>
      <c r="T187" s="228" t="s">
        <v>1634</v>
      </c>
      <c r="U187" s="228"/>
      <c r="V187" s="235"/>
      <c r="W187" s="236"/>
    </row>
    <row r="188" ht="42.95" customHeight="1" spans="1:23">
      <c r="A188" s="221">
        <v>184</v>
      </c>
      <c r="B188" s="227" t="s">
        <v>665</v>
      </c>
      <c r="C188" s="228" t="s">
        <v>668</v>
      </c>
      <c r="D188" s="228" t="s">
        <v>1632</v>
      </c>
      <c r="E188" s="228" t="s">
        <v>1635</v>
      </c>
      <c r="F188" s="229"/>
      <c r="G188" s="229"/>
      <c r="H188" s="229"/>
      <c r="I188" s="229"/>
      <c r="J188" s="229"/>
      <c r="K188" s="229"/>
      <c r="L188" s="229"/>
      <c r="M188" s="229"/>
      <c r="N188" s="229"/>
      <c r="O188" s="229"/>
      <c r="P188" s="229"/>
      <c r="Q188" s="229"/>
      <c r="R188" s="229">
        <v>23.49</v>
      </c>
      <c r="S188" s="229"/>
      <c r="T188" s="228" t="s">
        <v>1636</v>
      </c>
      <c r="U188" s="228"/>
      <c r="V188" s="235"/>
      <c r="W188" s="236"/>
    </row>
    <row r="189" ht="27" spans="1:23">
      <c r="A189" s="221">
        <v>185</v>
      </c>
      <c r="B189" s="227" t="s">
        <v>665</v>
      </c>
      <c r="C189" s="228" t="s">
        <v>666</v>
      </c>
      <c r="D189" s="228" t="s">
        <v>1632</v>
      </c>
      <c r="E189" s="228" t="s">
        <v>1637</v>
      </c>
      <c r="F189" s="229"/>
      <c r="G189" s="229"/>
      <c r="H189" s="229"/>
      <c r="I189" s="229"/>
      <c r="J189" s="229">
        <f>SUM(K189:M189)</f>
        <v>0</v>
      </c>
      <c r="K189" s="229"/>
      <c r="L189" s="229"/>
      <c r="M189" s="229"/>
      <c r="N189" s="229">
        <f>SUM(O189:Q189)</f>
        <v>0</v>
      </c>
      <c r="O189" s="229">
        <f>G189+K189</f>
        <v>0</v>
      </c>
      <c r="P189" s="229">
        <f>H189+L189</f>
        <v>0</v>
      </c>
      <c r="Q189" s="229">
        <f>I189+M189</f>
        <v>0</v>
      </c>
      <c r="R189" s="229">
        <v>125</v>
      </c>
      <c r="S189" s="229">
        <v>315</v>
      </c>
      <c r="T189" s="228" t="s">
        <v>1638</v>
      </c>
      <c r="U189" s="228"/>
      <c r="V189" s="235"/>
      <c r="W189" s="236">
        <v>315</v>
      </c>
    </row>
    <row r="190" ht="27" spans="1:23">
      <c r="A190" s="221">
        <v>186</v>
      </c>
      <c r="B190" s="227" t="s">
        <v>665</v>
      </c>
      <c r="C190" s="228" t="s">
        <v>666</v>
      </c>
      <c r="D190" s="228" t="s">
        <v>1632</v>
      </c>
      <c r="E190" s="228" t="s">
        <v>1639</v>
      </c>
      <c r="F190" s="229">
        <v>20</v>
      </c>
      <c r="G190" s="229">
        <v>20</v>
      </c>
      <c r="H190" s="229"/>
      <c r="I190" s="229"/>
      <c r="J190" s="229">
        <f t="shared" ref="J190:J200" si="82">SUM(K190:M190)</f>
        <v>0</v>
      </c>
      <c r="K190" s="229"/>
      <c r="L190" s="229"/>
      <c r="M190" s="229"/>
      <c r="N190" s="229">
        <f t="shared" ref="N190:N200" si="83">SUM(O190:Q190)</f>
        <v>20</v>
      </c>
      <c r="O190" s="229">
        <f t="shared" ref="O190:O200" si="84">G190+K190</f>
        <v>20</v>
      </c>
      <c r="P190" s="229">
        <f t="shared" ref="P190:P200" si="85">H190+L190</f>
        <v>0</v>
      </c>
      <c r="Q190" s="229">
        <f t="shared" ref="Q190:Q200" si="86">I190+M190</f>
        <v>0</v>
      </c>
      <c r="R190" s="229"/>
      <c r="S190" s="229"/>
      <c r="T190" s="228"/>
      <c r="U190" s="228" t="s">
        <v>1640</v>
      </c>
      <c r="V190" s="235"/>
      <c r="W190" s="236"/>
    </row>
    <row r="191" ht="27" spans="1:23">
      <c r="A191" s="221">
        <v>187</v>
      </c>
      <c r="B191" s="227" t="s">
        <v>665</v>
      </c>
      <c r="C191" s="228" t="s">
        <v>666</v>
      </c>
      <c r="D191" s="228" t="s">
        <v>1632</v>
      </c>
      <c r="E191" s="228" t="s">
        <v>1641</v>
      </c>
      <c r="F191" s="229">
        <v>20</v>
      </c>
      <c r="G191" s="229">
        <v>20</v>
      </c>
      <c r="H191" s="229"/>
      <c r="I191" s="229"/>
      <c r="J191" s="229">
        <f t="shared" si="82"/>
        <v>0</v>
      </c>
      <c r="K191" s="229"/>
      <c r="L191" s="229"/>
      <c r="M191" s="229"/>
      <c r="N191" s="229">
        <f t="shared" si="83"/>
        <v>20</v>
      </c>
      <c r="O191" s="229">
        <f t="shared" si="84"/>
        <v>20</v>
      </c>
      <c r="P191" s="229">
        <f t="shared" si="85"/>
        <v>0</v>
      </c>
      <c r="Q191" s="229">
        <f t="shared" si="86"/>
        <v>0</v>
      </c>
      <c r="R191" s="229"/>
      <c r="S191" s="229"/>
      <c r="T191" s="228"/>
      <c r="U191" s="228" t="s">
        <v>1642</v>
      </c>
      <c r="V191" s="235"/>
      <c r="W191" s="236"/>
    </row>
    <row r="192" ht="27" spans="1:23">
      <c r="A192" s="221">
        <v>188</v>
      </c>
      <c r="B192" s="227" t="s">
        <v>665</v>
      </c>
      <c r="C192" s="228" t="s">
        <v>666</v>
      </c>
      <c r="D192" s="228" t="s">
        <v>1632</v>
      </c>
      <c r="E192" s="228" t="s">
        <v>1643</v>
      </c>
      <c r="F192" s="229">
        <v>20</v>
      </c>
      <c r="G192" s="229">
        <v>20</v>
      </c>
      <c r="H192" s="229"/>
      <c r="I192" s="229"/>
      <c r="J192" s="229">
        <f t="shared" si="82"/>
        <v>0</v>
      </c>
      <c r="K192" s="229"/>
      <c r="L192" s="229"/>
      <c r="M192" s="229"/>
      <c r="N192" s="229">
        <f t="shared" si="83"/>
        <v>20</v>
      </c>
      <c r="O192" s="229">
        <f t="shared" si="84"/>
        <v>20</v>
      </c>
      <c r="P192" s="229">
        <f t="shared" si="85"/>
        <v>0</v>
      </c>
      <c r="Q192" s="229">
        <f t="shared" si="86"/>
        <v>0</v>
      </c>
      <c r="R192" s="229"/>
      <c r="S192" s="229"/>
      <c r="T192" s="228"/>
      <c r="U192" s="228" t="s">
        <v>1644</v>
      </c>
      <c r="V192" s="235"/>
      <c r="W192" s="236"/>
    </row>
    <row r="193" ht="27" spans="1:23">
      <c r="A193" s="221">
        <v>189</v>
      </c>
      <c r="B193" s="227" t="s">
        <v>665</v>
      </c>
      <c r="C193" s="228" t="s">
        <v>666</v>
      </c>
      <c r="D193" s="228" t="s">
        <v>1632</v>
      </c>
      <c r="E193" s="228" t="s">
        <v>1645</v>
      </c>
      <c r="F193" s="229">
        <v>5</v>
      </c>
      <c r="G193" s="229">
        <v>5</v>
      </c>
      <c r="H193" s="229"/>
      <c r="I193" s="229"/>
      <c r="J193" s="229">
        <f t="shared" si="82"/>
        <v>0</v>
      </c>
      <c r="K193" s="229"/>
      <c r="L193" s="229"/>
      <c r="M193" s="229"/>
      <c r="N193" s="229">
        <f t="shared" si="83"/>
        <v>5</v>
      </c>
      <c r="O193" s="229">
        <f t="shared" si="84"/>
        <v>5</v>
      </c>
      <c r="P193" s="229">
        <f t="shared" si="85"/>
        <v>0</v>
      </c>
      <c r="Q193" s="229">
        <f t="shared" si="86"/>
        <v>0</v>
      </c>
      <c r="R193" s="229"/>
      <c r="S193" s="229"/>
      <c r="T193" s="228"/>
      <c r="U193" s="228" t="s">
        <v>1646</v>
      </c>
      <c r="V193" s="235"/>
      <c r="W193" s="236"/>
    </row>
    <row r="194" ht="27" spans="1:23">
      <c r="A194" s="221">
        <v>190</v>
      </c>
      <c r="B194" s="227" t="s">
        <v>665</v>
      </c>
      <c r="C194" s="228" t="s">
        <v>666</v>
      </c>
      <c r="D194" s="228" t="s">
        <v>1632</v>
      </c>
      <c r="E194" s="228" t="s">
        <v>1647</v>
      </c>
      <c r="F194" s="229">
        <v>100</v>
      </c>
      <c r="G194" s="229">
        <v>100</v>
      </c>
      <c r="H194" s="229"/>
      <c r="I194" s="229"/>
      <c r="J194" s="229">
        <f t="shared" si="82"/>
        <v>0</v>
      </c>
      <c r="K194" s="229"/>
      <c r="L194" s="229"/>
      <c r="M194" s="229"/>
      <c r="N194" s="229">
        <f t="shared" si="83"/>
        <v>100</v>
      </c>
      <c r="O194" s="229">
        <f t="shared" si="84"/>
        <v>100</v>
      </c>
      <c r="P194" s="229">
        <f t="shared" si="85"/>
        <v>0</v>
      </c>
      <c r="Q194" s="229">
        <f t="shared" si="86"/>
        <v>0</v>
      </c>
      <c r="R194" s="229"/>
      <c r="S194" s="229">
        <v>0.5</v>
      </c>
      <c r="T194" s="228"/>
      <c r="U194" s="228" t="s">
        <v>1648</v>
      </c>
      <c r="V194" s="235"/>
      <c r="W194" s="236"/>
    </row>
    <row r="195" ht="27" spans="1:23">
      <c r="A195" s="221">
        <v>191</v>
      </c>
      <c r="B195" s="227" t="s">
        <v>665</v>
      </c>
      <c r="C195" s="228" t="s">
        <v>666</v>
      </c>
      <c r="D195" s="228" t="s">
        <v>1632</v>
      </c>
      <c r="E195" s="228" t="s">
        <v>1649</v>
      </c>
      <c r="F195" s="229">
        <v>13.3</v>
      </c>
      <c r="G195" s="229"/>
      <c r="H195" s="229">
        <v>13.3</v>
      </c>
      <c r="I195" s="229"/>
      <c r="J195" s="229">
        <f t="shared" si="82"/>
        <v>0</v>
      </c>
      <c r="K195" s="229"/>
      <c r="L195" s="229"/>
      <c r="M195" s="229"/>
      <c r="N195" s="229">
        <f t="shared" si="83"/>
        <v>13.3</v>
      </c>
      <c r="O195" s="229">
        <f t="shared" si="84"/>
        <v>0</v>
      </c>
      <c r="P195" s="229">
        <f t="shared" si="85"/>
        <v>13.3</v>
      </c>
      <c r="Q195" s="229">
        <f t="shared" si="86"/>
        <v>0</v>
      </c>
      <c r="R195" s="229"/>
      <c r="S195" s="229"/>
      <c r="T195" s="228"/>
      <c r="U195" s="228" t="s">
        <v>1650</v>
      </c>
      <c r="V195" s="235"/>
      <c r="W195" s="236"/>
    </row>
    <row r="196" ht="27" spans="1:23">
      <c r="A196" s="221">
        <v>192</v>
      </c>
      <c r="B196" s="227" t="s">
        <v>665</v>
      </c>
      <c r="C196" s="228" t="s">
        <v>666</v>
      </c>
      <c r="D196" s="228" t="s">
        <v>1632</v>
      </c>
      <c r="E196" s="228" t="s">
        <v>1651</v>
      </c>
      <c r="F196" s="229">
        <v>5</v>
      </c>
      <c r="G196" s="229">
        <v>5</v>
      </c>
      <c r="H196" s="229"/>
      <c r="I196" s="229"/>
      <c r="J196" s="229">
        <f t="shared" si="82"/>
        <v>0</v>
      </c>
      <c r="K196" s="229"/>
      <c r="L196" s="229"/>
      <c r="M196" s="229"/>
      <c r="N196" s="229">
        <f t="shared" si="83"/>
        <v>5</v>
      </c>
      <c r="O196" s="229">
        <f t="shared" si="84"/>
        <v>5</v>
      </c>
      <c r="P196" s="229">
        <f t="shared" si="85"/>
        <v>0</v>
      </c>
      <c r="Q196" s="229">
        <f t="shared" si="86"/>
        <v>0</v>
      </c>
      <c r="R196" s="229"/>
      <c r="S196" s="229"/>
      <c r="T196" s="228"/>
      <c r="U196" s="228" t="s">
        <v>1652</v>
      </c>
      <c r="V196" s="235"/>
      <c r="W196" s="236"/>
    </row>
    <row r="197" ht="27" spans="1:23">
      <c r="A197" s="221">
        <v>193</v>
      </c>
      <c r="B197" s="227" t="s">
        <v>665</v>
      </c>
      <c r="C197" s="228" t="s">
        <v>666</v>
      </c>
      <c r="D197" s="228" t="s">
        <v>1632</v>
      </c>
      <c r="E197" s="228" t="s">
        <v>1653</v>
      </c>
      <c r="F197" s="229">
        <v>110</v>
      </c>
      <c r="G197" s="229"/>
      <c r="H197" s="229">
        <v>110</v>
      </c>
      <c r="I197" s="229"/>
      <c r="J197" s="229">
        <f t="shared" si="82"/>
        <v>0</v>
      </c>
      <c r="K197" s="229"/>
      <c r="L197" s="229"/>
      <c r="M197" s="229"/>
      <c r="N197" s="229">
        <f t="shared" si="83"/>
        <v>110</v>
      </c>
      <c r="O197" s="229">
        <f t="shared" si="84"/>
        <v>0</v>
      </c>
      <c r="P197" s="229">
        <f t="shared" si="85"/>
        <v>110</v>
      </c>
      <c r="Q197" s="229">
        <f t="shared" si="86"/>
        <v>0</v>
      </c>
      <c r="R197" s="229"/>
      <c r="S197" s="229">
        <v>49.861306</v>
      </c>
      <c r="T197" s="228"/>
      <c r="U197" s="228" t="s">
        <v>1654</v>
      </c>
      <c r="V197" s="235"/>
      <c r="W197" s="236"/>
    </row>
    <row r="198" ht="55" customHeight="1" spans="1:23">
      <c r="A198" s="221">
        <v>194</v>
      </c>
      <c r="B198" s="227" t="s">
        <v>665</v>
      </c>
      <c r="C198" s="228" t="s">
        <v>666</v>
      </c>
      <c r="D198" s="228" t="s">
        <v>1632</v>
      </c>
      <c r="E198" s="228" t="s">
        <v>1655</v>
      </c>
      <c r="F198" s="229">
        <v>400</v>
      </c>
      <c r="G198" s="229">
        <v>400</v>
      </c>
      <c r="H198" s="229"/>
      <c r="I198" s="229"/>
      <c r="J198" s="229">
        <f t="shared" si="82"/>
        <v>-400</v>
      </c>
      <c r="K198" s="229">
        <v>-400</v>
      </c>
      <c r="L198" s="229"/>
      <c r="M198" s="229"/>
      <c r="N198" s="229">
        <f t="shared" si="83"/>
        <v>0</v>
      </c>
      <c r="O198" s="229">
        <f t="shared" si="84"/>
        <v>0</v>
      </c>
      <c r="P198" s="229">
        <f t="shared" si="85"/>
        <v>0</v>
      </c>
      <c r="Q198" s="229">
        <f t="shared" si="86"/>
        <v>0</v>
      </c>
      <c r="R198" s="229"/>
      <c r="S198" s="229"/>
      <c r="T198" s="228" t="s">
        <v>1656</v>
      </c>
      <c r="U198" s="228" t="s">
        <v>1657</v>
      </c>
      <c r="V198" s="235"/>
      <c r="W198" s="236"/>
    </row>
    <row r="199" ht="27" spans="1:23">
      <c r="A199" s="221">
        <v>195</v>
      </c>
      <c r="B199" s="227" t="s">
        <v>665</v>
      </c>
      <c r="C199" s="228" t="s">
        <v>666</v>
      </c>
      <c r="D199" s="228" t="s">
        <v>1632</v>
      </c>
      <c r="E199" s="228" t="s">
        <v>1658</v>
      </c>
      <c r="F199" s="229"/>
      <c r="G199" s="229"/>
      <c r="H199" s="229"/>
      <c r="I199" s="229"/>
      <c r="J199" s="229">
        <f t="shared" si="82"/>
        <v>80</v>
      </c>
      <c r="K199" s="229">
        <v>80</v>
      </c>
      <c r="L199" s="229"/>
      <c r="M199" s="229"/>
      <c r="N199" s="229">
        <f t="shared" si="83"/>
        <v>80</v>
      </c>
      <c r="O199" s="229">
        <f t="shared" si="84"/>
        <v>80</v>
      </c>
      <c r="P199" s="229">
        <f t="shared" si="85"/>
        <v>0</v>
      </c>
      <c r="Q199" s="229">
        <f t="shared" si="86"/>
        <v>0</v>
      </c>
      <c r="R199" s="229"/>
      <c r="S199" s="229"/>
      <c r="T199" s="228" t="s">
        <v>1659</v>
      </c>
      <c r="U199" s="228"/>
      <c r="V199" s="235"/>
      <c r="W199" s="236"/>
    </row>
    <row r="200" ht="27" spans="1:23">
      <c r="A200" s="221">
        <v>196</v>
      </c>
      <c r="B200" s="227" t="s">
        <v>665</v>
      </c>
      <c r="C200" s="228" t="s">
        <v>666</v>
      </c>
      <c r="D200" s="228" t="s">
        <v>1632</v>
      </c>
      <c r="E200" s="228" t="s">
        <v>1660</v>
      </c>
      <c r="F200" s="229"/>
      <c r="G200" s="229"/>
      <c r="H200" s="229"/>
      <c r="I200" s="229"/>
      <c r="J200" s="229">
        <f t="shared" si="82"/>
        <v>27.01</v>
      </c>
      <c r="K200" s="229">
        <v>27.01</v>
      </c>
      <c r="L200" s="229"/>
      <c r="M200" s="229"/>
      <c r="N200" s="229">
        <f t="shared" si="83"/>
        <v>27.01</v>
      </c>
      <c r="O200" s="229">
        <f t="shared" si="84"/>
        <v>27.01</v>
      </c>
      <c r="P200" s="229">
        <f t="shared" si="85"/>
        <v>0</v>
      </c>
      <c r="Q200" s="229">
        <f t="shared" si="86"/>
        <v>0</v>
      </c>
      <c r="R200" s="229"/>
      <c r="S200" s="229"/>
      <c r="T200" s="228" t="s">
        <v>1661</v>
      </c>
      <c r="U200" s="228"/>
      <c r="V200" s="235"/>
      <c r="W200" s="236"/>
    </row>
    <row r="201" ht="40.5" spans="1:23">
      <c r="A201" s="221">
        <v>197</v>
      </c>
      <c r="B201" s="227" t="s">
        <v>290</v>
      </c>
      <c r="C201" s="228" t="s">
        <v>724</v>
      </c>
      <c r="D201" s="228" t="s">
        <v>1662</v>
      </c>
      <c r="E201" s="228" t="s">
        <v>1663</v>
      </c>
      <c r="F201" s="229">
        <v>20</v>
      </c>
      <c r="G201" s="229">
        <v>20</v>
      </c>
      <c r="H201" s="229"/>
      <c r="I201" s="229"/>
      <c r="J201" s="229">
        <f t="shared" ref="J201:J212" si="87">SUM(K201:M201)</f>
        <v>0</v>
      </c>
      <c r="K201" s="229"/>
      <c r="L201" s="229"/>
      <c r="M201" s="229"/>
      <c r="N201" s="229">
        <f t="shared" ref="N201:N212" si="88">SUM(O201:Q201)</f>
        <v>20</v>
      </c>
      <c r="O201" s="229">
        <f t="shared" ref="O201:O212" si="89">G201+K201</f>
        <v>20</v>
      </c>
      <c r="P201" s="229">
        <f t="shared" ref="P201:P212" si="90">H201+L201</f>
        <v>0</v>
      </c>
      <c r="Q201" s="229">
        <f t="shared" ref="Q201:Q212" si="91">I201+M201</f>
        <v>0</v>
      </c>
      <c r="R201" s="229"/>
      <c r="S201" s="229"/>
      <c r="T201" s="228"/>
      <c r="U201" s="228" t="s">
        <v>1664</v>
      </c>
      <c r="V201" s="235"/>
      <c r="W201" s="236"/>
    </row>
    <row r="202" ht="27" spans="1:23">
      <c r="A202" s="221">
        <v>198</v>
      </c>
      <c r="B202" s="227" t="s">
        <v>640</v>
      </c>
      <c r="C202" s="228" t="s">
        <v>682</v>
      </c>
      <c r="D202" s="228" t="s">
        <v>691</v>
      </c>
      <c r="E202" s="228" t="s">
        <v>1665</v>
      </c>
      <c r="F202" s="229">
        <v>32.74</v>
      </c>
      <c r="G202" s="229">
        <v>32.74</v>
      </c>
      <c r="H202" s="229"/>
      <c r="I202" s="229"/>
      <c r="J202" s="229">
        <f t="shared" si="87"/>
        <v>0</v>
      </c>
      <c r="K202" s="229"/>
      <c r="L202" s="229"/>
      <c r="M202" s="229"/>
      <c r="N202" s="229">
        <f t="shared" si="88"/>
        <v>32.74</v>
      </c>
      <c r="O202" s="229">
        <f t="shared" si="89"/>
        <v>32.74</v>
      </c>
      <c r="P202" s="229">
        <f t="shared" si="90"/>
        <v>0</v>
      </c>
      <c r="Q202" s="229">
        <f t="shared" si="91"/>
        <v>0</v>
      </c>
      <c r="R202" s="229"/>
      <c r="S202" s="229">
        <v>16.2771</v>
      </c>
      <c r="T202" s="228"/>
      <c r="U202" s="228" t="s">
        <v>1666</v>
      </c>
      <c r="V202" s="235"/>
      <c r="W202" s="236"/>
    </row>
    <row r="203" ht="40.5" spans="1:23">
      <c r="A203" s="221">
        <v>199</v>
      </c>
      <c r="B203" s="227" t="s">
        <v>640</v>
      </c>
      <c r="C203" s="228" t="s">
        <v>682</v>
      </c>
      <c r="D203" s="228" t="s">
        <v>691</v>
      </c>
      <c r="E203" s="228" t="s">
        <v>1667</v>
      </c>
      <c r="F203" s="229">
        <v>3.75</v>
      </c>
      <c r="G203" s="229">
        <v>3.75</v>
      </c>
      <c r="H203" s="229"/>
      <c r="I203" s="229"/>
      <c r="J203" s="229">
        <f t="shared" si="87"/>
        <v>0</v>
      </c>
      <c r="K203" s="229"/>
      <c r="L203" s="229"/>
      <c r="M203" s="229"/>
      <c r="N203" s="229">
        <f t="shared" si="88"/>
        <v>3.75</v>
      </c>
      <c r="O203" s="229">
        <f t="shared" si="89"/>
        <v>3.75</v>
      </c>
      <c r="P203" s="229">
        <f t="shared" si="90"/>
        <v>0</v>
      </c>
      <c r="Q203" s="229">
        <f t="shared" si="91"/>
        <v>0</v>
      </c>
      <c r="R203" s="229"/>
      <c r="S203" s="229">
        <v>3.744</v>
      </c>
      <c r="T203" s="228"/>
      <c r="U203" s="228" t="s">
        <v>1668</v>
      </c>
      <c r="V203" s="235"/>
      <c r="W203" s="236"/>
    </row>
    <row r="204" ht="40.5" spans="1:23">
      <c r="A204" s="221">
        <v>200</v>
      </c>
      <c r="B204" s="227" t="s">
        <v>640</v>
      </c>
      <c r="C204" s="228" t="s">
        <v>682</v>
      </c>
      <c r="D204" s="228" t="s">
        <v>691</v>
      </c>
      <c r="E204" s="228" t="s">
        <v>1669</v>
      </c>
      <c r="F204" s="229">
        <v>30</v>
      </c>
      <c r="G204" s="229">
        <v>30</v>
      </c>
      <c r="H204" s="229"/>
      <c r="I204" s="229"/>
      <c r="J204" s="229">
        <f t="shared" si="87"/>
        <v>0</v>
      </c>
      <c r="K204" s="229"/>
      <c r="L204" s="229"/>
      <c r="M204" s="229"/>
      <c r="N204" s="229">
        <f t="shared" si="88"/>
        <v>30</v>
      </c>
      <c r="O204" s="229">
        <f t="shared" si="89"/>
        <v>30</v>
      </c>
      <c r="P204" s="229">
        <f t="shared" si="90"/>
        <v>0</v>
      </c>
      <c r="Q204" s="229">
        <f t="shared" si="91"/>
        <v>0</v>
      </c>
      <c r="R204" s="229"/>
      <c r="S204" s="229"/>
      <c r="T204" s="228"/>
      <c r="U204" s="228" t="s">
        <v>1670</v>
      </c>
      <c r="V204" s="235"/>
      <c r="W204" s="236"/>
    </row>
    <row r="205" ht="40.5" spans="1:23">
      <c r="A205" s="221">
        <v>201</v>
      </c>
      <c r="B205" s="227" t="s">
        <v>640</v>
      </c>
      <c r="C205" s="228" t="s">
        <v>682</v>
      </c>
      <c r="D205" s="228" t="s">
        <v>691</v>
      </c>
      <c r="E205" s="228" t="s">
        <v>1671</v>
      </c>
      <c r="F205" s="229">
        <v>5</v>
      </c>
      <c r="G205" s="229">
        <v>5</v>
      </c>
      <c r="H205" s="229"/>
      <c r="I205" s="229"/>
      <c r="J205" s="229">
        <f t="shared" si="87"/>
        <v>0</v>
      </c>
      <c r="K205" s="229"/>
      <c r="L205" s="229"/>
      <c r="M205" s="229"/>
      <c r="N205" s="229">
        <f t="shared" si="88"/>
        <v>5</v>
      </c>
      <c r="O205" s="229">
        <f t="shared" si="89"/>
        <v>5</v>
      </c>
      <c r="P205" s="229">
        <f t="shared" si="90"/>
        <v>0</v>
      </c>
      <c r="Q205" s="229">
        <f t="shared" si="91"/>
        <v>0</v>
      </c>
      <c r="R205" s="229"/>
      <c r="S205" s="229"/>
      <c r="T205" s="228"/>
      <c r="U205" s="228" t="s">
        <v>1672</v>
      </c>
      <c r="V205" s="235"/>
      <c r="W205" s="236"/>
    </row>
    <row r="206" ht="27" spans="1:23">
      <c r="A206" s="221">
        <v>202</v>
      </c>
      <c r="B206" s="227" t="s">
        <v>640</v>
      </c>
      <c r="C206" s="228" t="s">
        <v>682</v>
      </c>
      <c r="D206" s="228" t="s">
        <v>691</v>
      </c>
      <c r="E206" s="228" t="s">
        <v>1673</v>
      </c>
      <c r="F206" s="229">
        <v>5</v>
      </c>
      <c r="G206" s="229">
        <v>5</v>
      </c>
      <c r="H206" s="229"/>
      <c r="I206" s="229"/>
      <c r="J206" s="229">
        <f t="shared" si="87"/>
        <v>0</v>
      </c>
      <c r="K206" s="229"/>
      <c r="L206" s="229"/>
      <c r="M206" s="229"/>
      <c r="N206" s="229">
        <f t="shared" si="88"/>
        <v>5</v>
      </c>
      <c r="O206" s="229">
        <f t="shared" si="89"/>
        <v>5</v>
      </c>
      <c r="P206" s="229">
        <f t="shared" si="90"/>
        <v>0</v>
      </c>
      <c r="Q206" s="229">
        <f t="shared" si="91"/>
        <v>0</v>
      </c>
      <c r="R206" s="229"/>
      <c r="S206" s="229"/>
      <c r="T206" s="228"/>
      <c r="U206" s="228" t="s">
        <v>1674</v>
      </c>
      <c r="V206" s="235"/>
      <c r="W206" s="236"/>
    </row>
    <row r="207" ht="27" spans="1:23">
      <c r="A207" s="221">
        <v>203</v>
      </c>
      <c r="B207" s="227" t="s">
        <v>640</v>
      </c>
      <c r="C207" s="228" t="s">
        <v>682</v>
      </c>
      <c r="D207" s="228" t="s">
        <v>691</v>
      </c>
      <c r="E207" s="228" t="s">
        <v>1675</v>
      </c>
      <c r="F207" s="229">
        <v>20</v>
      </c>
      <c r="G207" s="229">
        <v>20</v>
      </c>
      <c r="H207" s="229"/>
      <c r="I207" s="229"/>
      <c r="J207" s="229">
        <f t="shared" si="87"/>
        <v>0</v>
      </c>
      <c r="K207" s="229"/>
      <c r="L207" s="229"/>
      <c r="M207" s="229"/>
      <c r="N207" s="229">
        <f t="shared" si="88"/>
        <v>20</v>
      </c>
      <c r="O207" s="229">
        <f t="shared" si="89"/>
        <v>20</v>
      </c>
      <c r="P207" s="229">
        <f t="shared" si="90"/>
        <v>0</v>
      </c>
      <c r="Q207" s="229">
        <f t="shared" si="91"/>
        <v>0</v>
      </c>
      <c r="R207" s="229"/>
      <c r="S207" s="229"/>
      <c r="T207" s="228"/>
      <c r="U207" s="228" t="s">
        <v>1676</v>
      </c>
      <c r="V207" s="235"/>
      <c r="W207" s="236"/>
    </row>
    <row r="208" ht="27" spans="1:23">
      <c r="A208" s="221">
        <v>204</v>
      </c>
      <c r="B208" s="227" t="s">
        <v>640</v>
      </c>
      <c r="C208" s="228" t="s">
        <v>682</v>
      </c>
      <c r="D208" s="228" t="s">
        <v>691</v>
      </c>
      <c r="E208" s="228" t="s">
        <v>1677</v>
      </c>
      <c r="F208" s="229">
        <v>100</v>
      </c>
      <c r="G208" s="229">
        <v>100</v>
      </c>
      <c r="H208" s="229"/>
      <c r="I208" s="229"/>
      <c r="J208" s="229">
        <f t="shared" si="87"/>
        <v>-100</v>
      </c>
      <c r="K208" s="229">
        <v>-100</v>
      </c>
      <c r="L208" s="229"/>
      <c r="M208" s="229"/>
      <c r="N208" s="229">
        <f t="shared" si="88"/>
        <v>0</v>
      </c>
      <c r="O208" s="229">
        <f t="shared" si="89"/>
        <v>0</v>
      </c>
      <c r="P208" s="229">
        <f t="shared" si="90"/>
        <v>0</v>
      </c>
      <c r="Q208" s="229">
        <f t="shared" si="91"/>
        <v>0</v>
      </c>
      <c r="R208" s="229"/>
      <c r="S208" s="229"/>
      <c r="T208" s="228"/>
      <c r="U208" s="228" t="s">
        <v>1678</v>
      </c>
      <c r="V208" s="235">
        <v>-100</v>
      </c>
      <c r="W208" s="236"/>
    </row>
    <row r="209" ht="27" spans="1:23">
      <c r="A209" s="221">
        <v>205</v>
      </c>
      <c r="B209" s="227" t="s">
        <v>640</v>
      </c>
      <c r="C209" s="228" t="s">
        <v>682</v>
      </c>
      <c r="D209" s="228" t="s">
        <v>691</v>
      </c>
      <c r="E209" s="228" t="s">
        <v>1679</v>
      </c>
      <c r="F209" s="229">
        <v>20</v>
      </c>
      <c r="G209" s="229">
        <v>20</v>
      </c>
      <c r="H209" s="229"/>
      <c r="I209" s="229"/>
      <c r="J209" s="229">
        <f t="shared" si="87"/>
        <v>0</v>
      </c>
      <c r="K209" s="229"/>
      <c r="L209" s="229"/>
      <c r="M209" s="229"/>
      <c r="N209" s="229">
        <f t="shared" si="88"/>
        <v>20</v>
      </c>
      <c r="O209" s="229">
        <f t="shared" si="89"/>
        <v>20</v>
      </c>
      <c r="P209" s="229">
        <f t="shared" si="90"/>
        <v>0</v>
      </c>
      <c r="Q209" s="229">
        <f t="shared" si="91"/>
        <v>0</v>
      </c>
      <c r="R209" s="229"/>
      <c r="S209" s="229"/>
      <c r="T209" s="228"/>
      <c r="U209" s="228" t="s">
        <v>1680</v>
      </c>
      <c r="V209" s="235"/>
      <c r="W209" s="236"/>
    </row>
    <row r="210" ht="27" spans="1:23">
      <c r="A210" s="221">
        <v>206</v>
      </c>
      <c r="B210" s="227" t="s">
        <v>640</v>
      </c>
      <c r="C210" s="228" t="s">
        <v>682</v>
      </c>
      <c r="D210" s="228" t="s">
        <v>691</v>
      </c>
      <c r="E210" s="228" t="s">
        <v>1681</v>
      </c>
      <c r="F210" s="229">
        <v>15</v>
      </c>
      <c r="G210" s="229">
        <v>15</v>
      </c>
      <c r="H210" s="229"/>
      <c r="I210" s="229"/>
      <c r="J210" s="229">
        <f t="shared" si="87"/>
        <v>0</v>
      </c>
      <c r="K210" s="229"/>
      <c r="L210" s="229"/>
      <c r="M210" s="229"/>
      <c r="N210" s="229">
        <f t="shared" si="88"/>
        <v>15</v>
      </c>
      <c r="O210" s="229">
        <f t="shared" si="89"/>
        <v>15</v>
      </c>
      <c r="P210" s="229">
        <f t="shared" si="90"/>
        <v>0</v>
      </c>
      <c r="Q210" s="229">
        <f t="shared" si="91"/>
        <v>0</v>
      </c>
      <c r="R210" s="229"/>
      <c r="S210" s="229"/>
      <c r="T210" s="228"/>
      <c r="U210" s="228" t="s">
        <v>1682</v>
      </c>
      <c r="V210" s="235"/>
      <c r="W210" s="236"/>
    </row>
    <row r="211" ht="40.5" spans="1:23">
      <c r="A211" s="221">
        <v>207</v>
      </c>
      <c r="B211" s="227" t="s">
        <v>640</v>
      </c>
      <c r="C211" s="228" t="s">
        <v>682</v>
      </c>
      <c r="D211" s="228" t="s">
        <v>691</v>
      </c>
      <c r="E211" s="228" t="s">
        <v>1683</v>
      </c>
      <c r="F211" s="229">
        <v>137.4</v>
      </c>
      <c r="G211" s="229">
        <v>137.4</v>
      </c>
      <c r="H211" s="229"/>
      <c r="I211" s="229"/>
      <c r="J211" s="229">
        <f t="shared" si="87"/>
        <v>-137.4</v>
      </c>
      <c r="K211" s="229">
        <v>-137.4</v>
      </c>
      <c r="L211" s="229"/>
      <c r="M211" s="229"/>
      <c r="N211" s="229">
        <f t="shared" si="88"/>
        <v>0</v>
      </c>
      <c r="O211" s="229">
        <f t="shared" si="89"/>
        <v>0</v>
      </c>
      <c r="P211" s="229">
        <f t="shared" si="90"/>
        <v>0</v>
      </c>
      <c r="Q211" s="229">
        <f t="shared" si="91"/>
        <v>0</v>
      </c>
      <c r="R211" s="229"/>
      <c r="S211" s="229"/>
      <c r="T211" s="228" t="s">
        <v>1684</v>
      </c>
      <c r="U211" s="228" t="s">
        <v>1685</v>
      </c>
      <c r="V211" s="235"/>
      <c r="W211" s="236"/>
    </row>
    <row r="212" ht="27" spans="1:23">
      <c r="A212" s="221">
        <v>208</v>
      </c>
      <c r="B212" s="227" t="s">
        <v>640</v>
      </c>
      <c r="C212" s="228" t="s">
        <v>682</v>
      </c>
      <c r="D212" s="228" t="s">
        <v>691</v>
      </c>
      <c r="E212" s="228" t="s">
        <v>1686</v>
      </c>
      <c r="F212" s="229"/>
      <c r="G212" s="229"/>
      <c r="H212" s="229"/>
      <c r="I212" s="229"/>
      <c r="J212" s="229"/>
      <c r="K212" s="229"/>
      <c r="L212" s="229"/>
      <c r="M212" s="229"/>
      <c r="N212" s="229"/>
      <c r="O212" s="229"/>
      <c r="P212" s="229"/>
      <c r="Q212" s="229"/>
      <c r="R212" s="229">
        <v>479.39246</v>
      </c>
      <c r="S212" s="229"/>
      <c r="T212" s="228" t="s">
        <v>1687</v>
      </c>
      <c r="U212" s="228"/>
      <c r="V212" s="235"/>
      <c r="W212" s="236"/>
    </row>
    <row r="213" ht="27" spans="1:23">
      <c r="A213" s="221">
        <v>209</v>
      </c>
      <c r="B213" s="227" t="s">
        <v>640</v>
      </c>
      <c r="C213" s="228" t="s">
        <v>682</v>
      </c>
      <c r="D213" s="228" t="s">
        <v>691</v>
      </c>
      <c r="E213" s="228" t="s">
        <v>1688</v>
      </c>
      <c r="F213" s="229"/>
      <c r="G213" s="229"/>
      <c r="H213" s="229"/>
      <c r="I213" s="229"/>
      <c r="J213" s="229"/>
      <c r="K213" s="229"/>
      <c r="L213" s="229"/>
      <c r="M213" s="229"/>
      <c r="N213" s="229"/>
      <c r="O213" s="229"/>
      <c r="P213" s="229"/>
      <c r="Q213" s="229"/>
      <c r="R213" s="229">
        <f>338.393+95.6092</f>
        <v>434.0022</v>
      </c>
      <c r="S213" s="229"/>
      <c r="T213" s="228" t="s">
        <v>1689</v>
      </c>
      <c r="U213" s="228"/>
      <c r="V213" s="235"/>
      <c r="W213" s="236"/>
    </row>
    <row r="214" ht="27" spans="1:23">
      <c r="A214" s="221">
        <v>210</v>
      </c>
      <c r="B214" s="227" t="s">
        <v>640</v>
      </c>
      <c r="C214" s="228" t="s">
        <v>682</v>
      </c>
      <c r="D214" s="228" t="s">
        <v>691</v>
      </c>
      <c r="E214" s="228" t="s">
        <v>1681</v>
      </c>
      <c r="F214" s="229"/>
      <c r="G214" s="229"/>
      <c r="H214" s="229"/>
      <c r="I214" s="229"/>
      <c r="J214" s="229"/>
      <c r="K214" s="229"/>
      <c r="L214" s="229"/>
      <c r="M214" s="229"/>
      <c r="N214" s="229"/>
      <c r="O214" s="229"/>
      <c r="P214" s="229"/>
      <c r="Q214" s="229"/>
      <c r="R214" s="229">
        <v>10</v>
      </c>
      <c r="S214" s="229"/>
      <c r="T214" s="228" t="s">
        <v>1690</v>
      </c>
      <c r="U214" s="228"/>
      <c r="V214" s="235"/>
      <c r="W214" s="236"/>
    </row>
    <row r="215" ht="27" spans="1:23">
      <c r="A215" s="221">
        <v>211</v>
      </c>
      <c r="B215" s="227" t="s">
        <v>640</v>
      </c>
      <c r="C215" s="228" t="s">
        <v>682</v>
      </c>
      <c r="D215" s="228" t="s">
        <v>691</v>
      </c>
      <c r="E215" s="228" t="s">
        <v>1691</v>
      </c>
      <c r="F215" s="229"/>
      <c r="G215" s="229"/>
      <c r="H215" s="229"/>
      <c r="I215" s="229"/>
      <c r="J215" s="229"/>
      <c r="K215" s="229"/>
      <c r="L215" s="229"/>
      <c r="M215" s="229"/>
      <c r="N215" s="229"/>
      <c r="O215" s="229"/>
      <c r="P215" s="229"/>
      <c r="Q215" s="229"/>
      <c r="R215" s="229">
        <v>20.16</v>
      </c>
      <c r="S215" s="229"/>
      <c r="T215" s="228" t="s">
        <v>1690</v>
      </c>
      <c r="U215" s="228"/>
      <c r="V215" s="235"/>
      <c r="W215" s="236"/>
    </row>
    <row r="216" ht="27" spans="1:23">
      <c r="A216" s="221">
        <v>212</v>
      </c>
      <c r="B216" s="227" t="s">
        <v>640</v>
      </c>
      <c r="C216" s="228" t="s">
        <v>682</v>
      </c>
      <c r="D216" s="228" t="s">
        <v>691</v>
      </c>
      <c r="E216" s="228" t="s">
        <v>1692</v>
      </c>
      <c r="F216" s="229"/>
      <c r="G216" s="229"/>
      <c r="H216" s="229"/>
      <c r="I216" s="229"/>
      <c r="J216" s="229"/>
      <c r="K216" s="229"/>
      <c r="L216" s="229"/>
      <c r="M216" s="229"/>
      <c r="N216" s="229"/>
      <c r="O216" s="229"/>
      <c r="P216" s="229"/>
      <c r="Q216" s="229"/>
      <c r="R216" s="229">
        <v>945.95568</v>
      </c>
      <c r="S216" s="229"/>
      <c r="T216" s="228" t="s">
        <v>1693</v>
      </c>
      <c r="U216" s="228"/>
      <c r="V216" s="235"/>
      <c r="W216" s="236"/>
    </row>
    <row r="217" ht="40.5" spans="1:23">
      <c r="A217" s="221">
        <v>213</v>
      </c>
      <c r="B217" s="227" t="s">
        <v>195</v>
      </c>
      <c r="C217" s="228" t="s">
        <v>384</v>
      </c>
      <c r="D217" s="228" t="s">
        <v>1694</v>
      </c>
      <c r="E217" s="228" t="s">
        <v>1695</v>
      </c>
      <c r="F217" s="229">
        <v>90</v>
      </c>
      <c r="G217" s="229">
        <v>90</v>
      </c>
      <c r="H217" s="229"/>
      <c r="I217" s="229"/>
      <c r="J217" s="229">
        <f>SUM(K217:M217)</f>
        <v>0</v>
      </c>
      <c r="K217" s="229"/>
      <c r="L217" s="229"/>
      <c r="M217" s="229"/>
      <c r="N217" s="229">
        <f>SUM(O217:Q217)</f>
        <v>90</v>
      </c>
      <c r="O217" s="229">
        <f>G217+K217</f>
        <v>90</v>
      </c>
      <c r="P217" s="229">
        <f>H217+L217</f>
        <v>0</v>
      </c>
      <c r="Q217" s="229">
        <f>I217+M217</f>
        <v>0</v>
      </c>
      <c r="R217" s="229"/>
      <c r="S217" s="229"/>
      <c r="T217" s="228"/>
      <c r="U217" s="228" t="s">
        <v>1695</v>
      </c>
      <c r="V217" s="235"/>
      <c r="W217" s="236"/>
    </row>
    <row r="218" ht="42.95" customHeight="1" spans="1:23">
      <c r="A218" s="221">
        <v>214</v>
      </c>
      <c r="B218" s="227" t="s">
        <v>640</v>
      </c>
      <c r="C218" s="228" t="s">
        <v>641</v>
      </c>
      <c r="D218" s="228" t="s">
        <v>1694</v>
      </c>
      <c r="E218" s="228" t="s">
        <v>1696</v>
      </c>
      <c r="F218" s="229"/>
      <c r="G218" s="229"/>
      <c r="H218" s="229"/>
      <c r="I218" s="229"/>
      <c r="J218" s="229"/>
      <c r="K218" s="229"/>
      <c r="L218" s="229"/>
      <c r="M218" s="229"/>
      <c r="N218" s="229"/>
      <c r="O218" s="229"/>
      <c r="P218" s="229"/>
      <c r="Q218" s="229"/>
      <c r="R218" s="229">
        <v>105.19</v>
      </c>
      <c r="S218" s="229"/>
      <c r="T218" s="228" t="s">
        <v>1697</v>
      </c>
      <c r="U218" s="228"/>
      <c r="V218" s="235"/>
      <c r="W218" s="236"/>
    </row>
    <row r="219" ht="67.5" spans="1:23">
      <c r="A219" s="221">
        <v>215</v>
      </c>
      <c r="B219" s="227" t="s">
        <v>1236</v>
      </c>
      <c r="C219" s="228" t="s">
        <v>641</v>
      </c>
      <c r="D219" s="228" t="s">
        <v>1694</v>
      </c>
      <c r="E219" s="228" t="s">
        <v>1698</v>
      </c>
      <c r="F219" s="229">
        <v>201.42</v>
      </c>
      <c r="G219" s="229">
        <v>201.42</v>
      </c>
      <c r="H219" s="229"/>
      <c r="I219" s="229"/>
      <c r="J219" s="229">
        <f>SUM(K219:M219)</f>
        <v>0.27</v>
      </c>
      <c r="K219" s="229">
        <v>0.27</v>
      </c>
      <c r="L219" s="229"/>
      <c r="M219" s="229"/>
      <c r="N219" s="229">
        <f>SUM(O219:Q219)</f>
        <v>201.69</v>
      </c>
      <c r="O219" s="229">
        <f>G219+K219</f>
        <v>201.69</v>
      </c>
      <c r="P219" s="229">
        <f>H219+L219</f>
        <v>0</v>
      </c>
      <c r="Q219" s="229">
        <f>I219+M219</f>
        <v>0</v>
      </c>
      <c r="R219" s="229"/>
      <c r="S219" s="229">
        <v>201.42</v>
      </c>
      <c r="T219" s="228" t="s">
        <v>1699</v>
      </c>
      <c r="U219" s="228" t="s">
        <v>1700</v>
      </c>
      <c r="V219" s="235"/>
      <c r="W219" s="236"/>
    </row>
    <row r="220" ht="40.5" spans="1:23">
      <c r="A220" s="221">
        <v>216</v>
      </c>
      <c r="B220" s="227" t="s">
        <v>1236</v>
      </c>
      <c r="C220" s="228" t="s">
        <v>641</v>
      </c>
      <c r="D220" s="228" t="s">
        <v>1694</v>
      </c>
      <c r="E220" s="228" t="s">
        <v>1701</v>
      </c>
      <c r="F220" s="229">
        <v>3642</v>
      </c>
      <c r="G220" s="229">
        <v>3642</v>
      </c>
      <c r="H220" s="229"/>
      <c r="I220" s="229"/>
      <c r="J220" s="229">
        <f>SUM(K220:M220)</f>
        <v>-10.86</v>
      </c>
      <c r="K220" s="229">
        <f>-10.86</f>
        <v>-10.86</v>
      </c>
      <c r="L220" s="229"/>
      <c r="M220" s="229"/>
      <c r="N220" s="229">
        <f>SUM(O220:Q220)</f>
        <v>3631.14</v>
      </c>
      <c r="O220" s="229">
        <f>G220+K220</f>
        <v>3631.14</v>
      </c>
      <c r="P220" s="229">
        <f>H220+L220</f>
        <v>0</v>
      </c>
      <c r="Q220" s="229">
        <f>I220+M220</f>
        <v>0</v>
      </c>
      <c r="R220" s="229"/>
      <c r="S220" s="229">
        <v>1789.35</v>
      </c>
      <c r="T220" s="228" t="s">
        <v>1702</v>
      </c>
      <c r="U220" s="228" t="s">
        <v>1703</v>
      </c>
      <c r="V220" s="235"/>
      <c r="W220" s="236"/>
    </row>
    <row r="221" ht="47" customHeight="1" spans="1:23">
      <c r="A221" s="221">
        <v>217</v>
      </c>
      <c r="B221" s="227" t="s">
        <v>1236</v>
      </c>
      <c r="C221" s="228" t="s">
        <v>693</v>
      </c>
      <c r="D221" s="228" t="s">
        <v>1694</v>
      </c>
      <c r="E221" s="228" t="s">
        <v>1704</v>
      </c>
      <c r="F221" s="229">
        <v>579.68</v>
      </c>
      <c r="G221" s="229">
        <v>579.68</v>
      </c>
      <c r="H221" s="229"/>
      <c r="I221" s="229"/>
      <c r="J221" s="229">
        <f>SUM(K221:M221)</f>
        <v>184.27</v>
      </c>
      <c r="K221" s="229">
        <v>184.27</v>
      </c>
      <c r="L221" s="229"/>
      <c r="M221" s="229"/>
      <c r="N221" s="229">
        <f>SUM(O221:Q221)</f>
        <v>763.95</v>
      </c>
      <c r="O221" s="229">
        <f>G221+K221</f>
        <v>763.95</v>
      </c>
      <c r="P221" s="229">
        <f>H221+L221</f>
        <v>0</v>
      </c>
      <c r="Q221" s="229">
        <f>I221+M221</f>
        <v>0</v>
      </c>
      <c r="R221" s="229"/>
      <c r="S221" s="229">
        <v>763.95</v>
      </c>
      <c r="T221" s="228" t="s">
        <v>1705</v>
      </c>
      <c r="U221" s="228" t="s">
        <v>1706</v>
      </c>
      <c r="V221" s="235"/>
      <c r="W221" s="236"/>
    </row>
    <row r="222" ht="202.5" spans="1:23">
      <c r="A222" s="221">
        <v>218</v>
      </c>
      <c r="B222" s="227" t="s">
        <v>640</v>
      </c>
      <c r="C222" s="228" t="s">
        <v>641</v>
      </c>
      <c r="D222" s="228" t="s">
        <v>1694</v>
      </c>
      <c r="E222" s="228" t="s">
        <v>1707</v>
      </c>
      <c r="F222" s="229">
        <f>1318-140</f>
        <v>1178</v>
      </c>
      <c r="G222" s="229">
        <v>1178</v>
      </c>
      <c r="H222" s="229"/>
      <c r="I222" s="229"/>
      <c r="J222" s="229">
        <f>SUM(K222:M222)</f>
        <v>-105.19</v>
      </c>
      <c r="K222" s="229">
        <v>-105.19</v>
      </c>
      <c r="L222" s="229"/>
      <c r="M222" s="229"/>
      <c r="N222" s="229">
        <f>SUM(O222:Q222)</f>
        <v>1072.81</v>
      </c>
      <c r="O222" s="229">
        <f>G222+K222</f>
        <v>1072.81</v>
      </c>
      <c r="P222" s="229">
        <f>H222+L222</f>
        <v>0</v>
      </c>
      <c r="Q222" s="229">
        <f>I222+M222</f>
        <v>0</v>
      </c>
      <c r="R222" s="229"/>
      <c r="S222" s="229">
        <v>113.626256</v>
      </c>
      <c r="T222" s="228" t="s">
        <v>1708</v>
      </c>
      <c r="U222" s="228" t="s">
        <v>1709</v>
      </c>
      <c r="V222" s="235"/>
      <c r="W222" s="236"/>
    </row>
    <row r="223" ht="40.5" spans="1:23">
      <c r="A223" s="221">
        <v>219</v>
      </c>
      <c r="B223" s="227" t="s">
        <v>640</v>
      </c>
      <c r="C223" s="228" t="s">
        <v>641</v>
      </c>
      <c r="D223" s="228" t="s">
        <v>1694</v>
      </c>
      <c r="E223" s="228" t="s">
        <v>1710</v>
      </c>
      <c r="F223" s="229">
        <v>2071.3</v>
      </c>
      <c r="G223" s="229">
        <v>2071.3</v>
      </c>
      <c r="H223" s="229"/>
      <c r="I223" s="229"/>
      <c r="J223" s="229">
        <f>SUM(K223:M223)</f>
        <v>0</v>
      </c>
      <c r="K223" s="229"/>
      <c r="L223" s="229"/>
      <c r="M223" s="229"/>
      <c r="N223" s="229">
        <f>SUM(O223:Q223)</f>
        <v>2071.3</v>
      </c>
      <c r="O223" s="229">
        <f>G223+K223</f>
        <v>2071.3</v>
      </c>
      <c r="P223" s="229">
        <f>H223+L223</f>
        <v>0</v>
      </c>
      <c r="Q223" s="229">
        <f>I223+M223</f>
        <v>0</v>
      </c>
      <c r="R223" s="229"/>
      <c r="S223" s="229"/>
      <c r="T223" s="228"/>
      <c r="U223" s="228" t="s">
        <v>1711</v>
      </c>
      <c r="V223" s="235"/>
      <c r="W223" s="236"/>
    </row>
    <row r="224" ht="40.5" spans="1:23">
      <c r="A224" s="221">
        <v>220</v>
      </c>
      <c r="B224" s="227" t="s">
        <v>1712</v>
      </c>
      <c r="C224" s="228" t="s">
        <v>254</v>
      </c>
      <c r="D224" s="228" t="s">
        <v>1694</v>
      </c>
      <c r="E224" s="228" t="s">
        <v>1713</v>
      </c>
      <c r="F224" s="229"/>
      <c r="G224" s="229"/>
      <c r="H224" s="229"/>
      <c r="I224" s="229"/>
      <c r="J224" s="229">
        <f t="shared" ref="J224:J249" si="92">SUM(K224:M224)</f>
        <v>30</v>
      </c>
      <c r="K224" s="229">
        <v>30</v>
      </c>
      <c r="L224" s="229"/>
      <c r="M224" s="229"/>
      <c r="N224" s="229">
        <f t="shared" ref="N224:N249" si="93">SUM(O224:Q224)</f>
        <v>30</v>
      </c>
      <c r="O224" s="229">
        <f t="shared" ref="O224:O249" si="94">G224+K224</f>
        <v>30</v>
      </c>
      <c r="P224" s="229">
        <f t="shared" ref="P224:P249" si="95">H224+L224</f>
        <v>0</v>
      </c>
      <c r="Q224" s="229">
        <f t="shared" ref="Q224:Q249" si="96">I224+M224</f>
        <v>0</v>
      </c>
      <c r="R224" s="229"/>
      <c r="S224" s="229"/>
      <c r="T224" s="228" t="s">
        <v>1496</v>
      </c>
      <c r="U224" s="228"/>
      <c r="V224" s="235"/>
      <c r="W224" s="236"/>
    </row>
    <row r="225" ht="40.5" spans="1:23">
      <c r="A225" s="221">
        <v>221</v>
      </c>
      <c r="B225" s="227" t="s">
        <v>1712</v>
      </c>
      <c r="C225" s="228" t="s">
        <v>266</v>
      </c>
      <c r="D225" s="228" t="s">
        <v>1694</v>
      </c>
      <c r="E225" s="228" t="s">
        <v>1714</v>
      </c>
      <c r="F225" s="229"/>
      <c r="G225" s="229"/>
      <c r="H225" s="229"/>
      <c r="I225" s="229"/>
      <c r="J225" s="229">
        <f t="shared" si="92"/>
        <v>30</v>
      </c>
      <c r="K225" s="229">
        <v>30</v>
      </c>
      <c r="L225" s="229"/>
      <c r="M225" s="229"/>
      <c r="N225" s="229">
        <f t="shared" si="93"/>
        <v>30</v>
      </c>
      <c r="O225" s="229">
        <f t="shared" si="94"/>
        <v>30</v>
      </c>
      <c r="P225" s="229">
        <f t="shared" si="95"/>
        <v>0</v>
      </c>
      <c r="Q225" s="229">
        <f t="shared" si="96"/>
        <v>0</v>
      </c>
      <c r="R225" s="229"/>
      <c r="S225" s="229"/>
      <c r="T225" s="228" t="s">
        <v>1496</v>
      </c>
      <c r="U225" s="228"/>
      <c r="V225" s="235"/>
      <c r="W225" s="236"/>
    </row>
    <row r="226" ht="40.5" spans="1:23">
      <c r="A226" s="221">
        <v>222</v>
      </c>
      <c r="B226" s="227" t="s">
        <v>1712</v>
      </c>
      <c r="C226" s="228" t="s">
        <v>270</v>
      </c>
      <c r="D226" s="228" t="s">
        <v>1694</v>
      </c>
      <c r="E226" s="228" t="s">
        <v>1715</v>
      </c>
      <c r="F226" s="229"/>
      <c r="G226" s="229"/>
      <c r="H226" s="229"/>
      <c r="I226" s="229"/>
      <c r="J226" s="229">
        <f t="shared" si="92"/>
        <v>30</v>
      </c>
      <c r="K226" s="229">
        <v>30</v>
      </c>
      <c r="L226" s="229"/>
      <c r="M226" s="229"/>
      <c r="N226" s="229">
        <f t="shared" si="93"/>
        <v>30</v>
      </c>
      <c r="O226" s="229">
        <f t="shared" si="94"/>
        <v>30</v>
      </c>
      <c r="P226" s="229">
        <f t="shared" si="95"/>
        <v>0</v>
      </c>
      <c r="Q226" s="229">
        <f t="shared" si="96"/>
        <v>0</v>
      </c>
      <c r="R226" s="229"/>
      <c r="S226" s="229"/>
      <c r="T226" s="228" t="s">
        <v>1496</v>
      </c>
      <c r="U226" s="228"/>
      <c r="V226" s="235"/>
      <c r="W226" s="236"/>
    </row>
    <row r="227" ht="40.5" spans="1:23">
      <c r="A227" s="221">
        <v>223</v>
      </c>
      <c r="B227" s="227" t="s">
        <v>221</v>
      </c>
      <c r="C227" s="228" t="s">
        <v>222</v>
      </c>
      <c r="D227" s="228" t="s">
        <v>932</v>
      </c>
      <c r="E227" s="228" t="s">
        <v>1716</v>
      </c>
      <c r="F227" s="229">
        <v>240</v>
      </c>
      <c r="G227" s="229"/>
      <c r="H227" s="229">
        <v>240</v>
      </c>
      <c r="I227" s="229"/>
      <c r="J227" s="229">
        <f t="shared" si="92"/>
        <v>0</v>
      </c>
      <c r="K227" s="229"/>
      <c r="L227" s="229"/>
      <c r="M227" s="229"/>
      <c r="N227" s="229">
        <f t="shared" si="93"/>
        <v>240</v>
      </c>
      <c r="O227" s="229">
        <f t="shared" si="94"/>
        <v>0</v>
      </c>
      <c r="P227" s="229">
        <f t="shared" si="95"/>
        <v>240</v>
      </c>
      <c r="Q227" s="229">
        <f t="shared" si="96"/>
        <v>0</v>
      </c>
      <c r="R227" s="229"/>
      <c r="S227" s="229">
        <f>120+121</f>
        <v>241</v>
      </c>
      <c r="T227" s="228"/>
      <c r="U227" s="228" t="s">
        <v>1717</v>
      </c>
      <c r="V227" s="235"/>
      <c r="W227" s="236">
        <v>121</v>
      </c>
    </row>
    <row r="228" ht="40.5" spans="1:23">
      <c r="A228" s="221">
        <v>224</v>
      </c>
      <c r="B228" s="227" t="s">
        <v>221</v>
      </c>
      <c r="C228" s="228" t="s">
        <v>226</v>
      </c>
      <c r="D228" s="228" t="s">
        <v>932</v>
      </c>
      <c r="E228" s="228" t="s">
        <v>1716</v>
      </c>
      <c r="F228" s="229">
        <v>60</v>
      </c>
      <c r="G228" s="229"/>
      <c r="H228" s="229">
        <v>60</v>
      </c>
      <c r="I228" s="229"/>
      <c r="J228" s="229">
        <f t="shared" si="92"/>
        <v>0</v>
      </c>
      <c r="K228" s="229"/>
      <c r="L228" s="229"/>
      <c r="M228" s="229"/>
      <c r="N228" s="229">
        <f t="shared" si="93"/>
        <v>60</v>
      </c>
      <c r="O228" s="229">
        <f t="shared" si="94"/>
        <v>0</v>
      </c>
      <c r="P228" s="229">
        <f t="shared" si="95"/>
        <v>60</v>
      </c>
      <c r="Q228" s="229">
        <f t="shared" si="96"/>
        <v>0</v>
      </c>
      <c r="R228" s="229"/>
      <c r="S228" s="229">
        <v>30</v>
      </c>
      <c r="T228" s="228"/>
      <c r="U228" s="228"/>
      <c r="V228" s="235"/>
      <c r="W228" s="236"/>
    </row>
    <row r="229" ht="40.5" spans="1:23">
      <c r="A229" s="221">
        <v>225</v>
      </c>
      <c r="B229" s="227" t="s">
        <v>221</v>
      </c>
      <c r="C229" s="228" t="s">
        <v>254</v>
      </c>
      <c r="D229" s="228" t="s">
        <v>932</v>
      </c>
      <c r="E229" s="228" t="s">
        <v>1716</v>
      </c>
      <c r="F229" s="229">
        <v>20</v>
      </c>
      <c r="G229" s="229"/>
      <c r="H229" s="229">
        <v>20</v>
      </c>
      <c r="I229" s="229"/>
      <c r="J229" s="229">
        <f t="shared" si="92"/>
        <v>0</v>
      </c>
      <c r="K229" s="229"/>
      <c r="L229" s="229"/>
      <c r="M229" s="229"/>
      <c r="N229" s="229">
        <f t="shared" si="93"/>
        <v>20</v>
      </c>
      <c r="O229" s="229">
        <f t="shared" si="94"/>
        <v>0</v>
      </c>
      <c r="P229" s="229">
        <f t="shared" si="95"/>
        <v>20</v>
      </c>
      <c r="Q229" s="229">
        <f t="shared" si="96"/>
        <v>0</v>
      </c>
      <c r="R229" s="229"/>
      <c r="S229" s="229">
        <v>15</v>
      </c>
      <c r="T229" s="228"/>
      <c r="U229" s="228"/>
      <c r="V229" s="235"/>
      <c r="W229" s="236"/>
    </row>
    <row r="230" ht="40.5" spans="1:23">
      <c r="A230" s="221">
        <v>226</v>
      </c>
      <c r="B230" s="227" t="s">
        <v>221</v>
      </c>
      <c r="C230" s="228" t="s">
        <v>226</v>
      </c>
      <c r="D230" s="228" t="s">
        <v>932</v>
      </c>
      <c r="E230" s="228" t="s">
        <v>1718</v>
      </c>
      <c r="F230" s="229">
        <v>39.6</v>
      </c>
      <c r="G230" s="229"/>
      <c r="H230" s="229">
        <v>39.6</v>
      </c>
      <c r="I230" s="229"/>
      <c r="J230" s="229">
        <f t="shared" si="92"/>
        <v>0</v>
      </c>
      <c r="K230" s="229"/>
      <c r="L230" s="229"/>
      <c r="M230" s="229"/>
      <c r="N230" s="229">
        <f t="shared" si="93"/>
        <v>39.6</v>
      </c>
      <c r="O230" s="229">
        <f t="shared" si="94"/>
        <v>0</v>
      </c>
      <c r="P230" s="229">
        <f t="shared" si="95"/>
        <v>39.6</v>
      </c>
      <c r="Q230" s="229">
        <f t="shared" si="96"/>
        <v>0</v>
      </c>
      <c r="R230" s="229"/>
      <c r="S230" s="229"/>
      <c r="T230" s="228"/>
      <c r="U230" s="228" t="s">
        <v>1719</v>
      </c>
      <c r="V230" s="235"/>
      <c r="W230" s="236"/>
    </row>
    <row r="231" ht="30" customHeight="1" spans="1:23">
      <c r="A231" s="221">
        <v>227</v>
      </c>
      <c r="B231" s="227" t="s">
        <v>221</v>
      </c>
      <c r="C231" s="228" t="s">
        <v>230</v>
      </c>
      <c r="D231" s="228" t="s">
        <v>932</v>
      </c>
      <c r="E231" s="228" t="s">
        <v>1718</v>
      </c>
      <c r="F231" s="229">
        <v>15.7</v>
      </c>
      <c r="G231" s="229"/>
      <c r="H231" s="229">
        <v>15.7</v>
      </c>
      <c r="I231" s="229"/>
      <c r="J231" s="229">
        <f t="shared" si="92"/>
        <v>0</v>
      </c>
      <c r="K231" s="229"/>
      <c r="L231" s="229"/>
      <c r="M231" s="229"/>
      <c r="N231" s="229">
        <f t="shared" si="93"/>
        <v>15.7</v>
      </c>
      <c r="O231" s="229">
        <f t="shared" si="94"/>
        <v>0</v>
      </c>
      <c r="P231" s="229">
        <f t="shared" si="95"/>
        <v>15.7</v>
      </c>
      <c r="Q231" s="229">
        <f t="shared" si="96"/>
        <v>0</v>
      </c>
      <c r="R231" s="229"/>
      <c r="S231" s="229"/>
      <c r="T231" s="228"/>
      <c r="U231" s="228"/>
      <c r="V231" s="235"/>
      <c r="W231" s="236"/>
    </row>
    <row r="232" ht="40.5" spans="1:23">
      <c r="A232" s="221">
        <v>228</v>
      </c>
      <c r="B232" s="227" t="s">
        <v>221</v>
      </c>
      <c r="C232" s="228" t="s">
        <v>234</v>
      </c>
      <c r="D232" s="228" t="s">
        <v>932</v>
      </c>
      <c r="E232" s="228" t="s">
        <v>1718</v>
      </c>
      <c r="F232" s="229">
        <v>42.6</v>
      </c>
      <c r="G232" s="229"/>
      <c r="H232" s="229">
        <v>42.6</v>
      </c>
      <c r="I232" s="229"/>
      <c r="J232" s="229">
        <f t="shared" si="92"/>
        <v>0</v>
      </c>
      <c r="K232" s="229"/>
      <c r="L232" s="229"/>
      <c r="M232" s="229"/>
      <c r="N232" s="229">
        <f t="shared" si="93"/>
        <v>42.6</v>
      </c>
      <c r="O232" s="229">
        <f t="shared" si="94"/>
        <v>0</v>
      </c>
      <c r="P232" s="229">
        <f t="shared" si="95"/>
        <v>42.6</v>
      </c>
      <c r="Q232" s="229">
        <f t="shared" si="96"/>
        <v>0</v>
      </c>
      <c r="R232" s="229"/>
      <c r="S232" s="229">
        <v>21.3</v>
      </c>
      <c r="T232" s="228"/>
      <c r="U232" s="228"/>
      <c r="V232" s="235"/>
      <c r="W232" s="236"/>
    </row>
    <row r="233" ht="40.5" spans="1:23">
      <c r="A233" s="221">
        <v>229</v>
      </c>
      <c r="B233" s="227" t="s">
        <v>221</v>
      </c>
      <c r="C233" s="228" t="s">
        <v>238</v>
      </c>
      <c r="D233" s="228" t="s">
        <v>932</v>
      </c>
      <c r="E233" s="228" t="s">
        <v>1718</v>
      </c>
      <c r="F233" s="229">
        <v>28.1</v>
      </c>
      <c r="G233" s="229"/>
      <c r="H233" s="229">
        <v>28.1</v>
      </c>
      <c r="I233" s="229"/>
      <c r="J233" s="229">
        <f t="shared" si="92"/>
        <v>0</v>
      </c>
      <c r="K233" s="229"/>
      <c r="L233" s="229"/>
      <c r="M233" s="229"/>
      <c r="N233" s="229">
        <f t="shared" si="93"/>
        <v>28.1</v>
      </c>
      <c r="O233" s="229">
        <f t="shared" si="94"/>
        <v>0</v>
      </c>
      <c r="P233" s="229">
        <f t="shared" si="95"/>
        <v>28.1</v>
      </c>
      <c r="Q233" s="229">
        <f t="shared" si="96"/>
        <v>0</v>
      </c>
      <c r="R233" s="229"/>
      <c r="S233" s="229"/>
      <c r="T233" s="228"/>
      <c r="U233" s="228"/>
      <c r="V233" s="235"/>
      <c r="W233" s="236"/>
    </row>
    <row r="234" ht="40.5" spans="1:23">
      <c r="A234" s="221">
        <v>230</v>
      </c>
      <c r="B234" s="227" t="s">
        <v>221</v>
      </c>
      <c r="C234" s="228" t="s">
        <v>242</v>
      </c>
      <c r="D234" s="228" t="s">
        <v>932</v>
      </c>
      <c r="E234" s="228" t="s">
        <v>1718</v>
      </c>
      <c r="F234" s="229">
        <v>13.3</v>
      </c>
      <c r="G234" s="229"/>
      <c r="H234" s="229">
        <v>13.3</v>
      </c>
      <c r="I234" s="229"/>
      <c r="J234" s="229">
        <f t="shared" si="92"/>
        <v>0</v>
      </c>
      <c r="K234" s="229"/>
      <c r="L234" s="229"/>
      <c r="M234" s="229"/>
      <c r="N234" s="229">
        <f t="shared" si="93"/>
        <v>13.3</v>
      </c>
      <c r="O234" s="229">
        <f t="shared" si="94"/>
        <v>0</v>
      </c>
      <c r="P234" s="229">
        <f t="shared" si="95"/>
        <v>13.3</v>
      </c>
      <c r="Q234" s="229">
        <f t="shared" si="96"/>
        <v>0</v>
      </c>
      <c r="R234" s="229"/>
      <c r="S234" s="229">
        <v>6.65</v>
      </c>
      <c r="T234" s="228"/>
      <c r="U234" s="228"/>
      <c r="V234" s="235"/>
      <c r="W234" s="236"/>
    </row>
    <row r="235" ht="40.5" spans="1:23">
      <c r="A235" s="221">
        <v>231</v>
      </c>
      <c r="B235" s="227" t="s">
        <v>221</v>
      </c>
      <c r="C235" s="228" t="s">
        <v>246</v>
      </c>
      <c r="D235" s="228" t="s">
        <v>932</v>
      </c>
      <c r="E235" s="228" t="s">
        <v>1718</v>
      </c>
      <c r="F235" s="229">
        <v>18.5</v>
      </c>
      <c r="G235" s="229"/>
      <c r="H235" s="229">
        <v>18.5</v>
      </c>
      <c r="I235" s="229"/>
      <c r="J235" s="229">
        <f t="shared" si="92"/>
        <v>0</v>
      </c>
      <c r="K235" s="229"/>
      <c r="L235" s="229"/>
      <c r="M235" s="229"/>
      <c r="N235" s="229">
        <f t="shared" si="93"/>
        <v>18.5</v>
      </c>
      <c r="O235" s="229">
        <f t="shared" si="94"/>
        <v>0</v>
      </c>
      <c r="P235" s="229">
        <f t="shared" si="95"/>
        <v>18.5</v>
      </c>
      <c r="Q235" s="229">
        <f t="shared" si="96"/>
        <v>0</v>
      </c>
      <c r="R235" s="229"/>
      <c r="S235" s="229">
        <v>18.5</v>
      </c>
      <c r="T235" s="228"/>
      <c r="U235" s="228"/>
      <c r="V235" s="235"/>
      <c r="W235" s="236"/>
    </row>
    <row r="236" ht="40.5" spans="1:23">
      <c r="A236" s="221">
        <v>232</v>
      </c>
      <c r="B236" s="227" t="s">
        <v>221</v>
      </c>
      <c r="C236" s="228" t="s">
        <v>250</v>
      </c>
      <c r="D236" s="228" t="s">
        <v>932</v>
      </c>
      <c r="E236" s="228" t="s">
        <v>1718</v>
      </c>
      <c r="F236" s="229">
        <v>16.8</v>
      </c>
      <c r="G236" s="229"/>
      <c r="H236" s="229">
        <v>16.8</v>
      </c>
      <c r="I236" s="229"/>
      <c r="J236" s="229">
        <f t="shared" si="92"/>
        <v>0</v>
      </c>
      <c r="K236" s="229"/>
      <c r="L236" s="229"/>
      <c r="M236" s="229"/>
      <c r="N236" s="229">
        <f t="shared" si="93"/>
        <v>16.8</v>
      </c>
      <c r="O236" s="229">
        <f t="shared" si="94"/>
        <v>0</v>
      </c>
      <c r="P236" s="229">
        <f t="shared" si="95"/>
        <v>16.8</v>
      </c>
      <c r="Q236" s="229">
        <f t="shared" si="96"/>
        <v>0</v>
      </c>
      <c r="R236" s="229"/>
      <c r="S236" s="229">
        <v>8.4</v>
      </c>
      <c r="T236" s="228"/>
      <c r="U236" s="228"/>
      <c r="V236" s="235"/>
      <c r="W236" s="236"/>
    </row>
    <row r="237" ht="40.5" spans="1:23">
      <c r="A237" s="221">
        <v>233</v>
      </c>
      <c r="B237" s="227" t="s">
        <v>221</v>
      </c>
      <c r="C237" s="228" t="s">
        <v>254</v>
      </c>
      <c r="D237" s="228" t="s">
        <v>932</v>
      </c>
      <c r="E237" s="228" t="s">
        <v>1718</v>
      </c>
      <c r="F237" s="229">
        <v>41.4</v>
      </c>
      <c r="G237" s="229"/>
      <c r="H237" s="229">
        <v>41.4</v>
      </c>
      <c r="I237" s="229"/>
      <c r="J237" s="229">
        <f t="shared" si="92"/>
        <v>0</v>
      </c>
      <c r="K237" s="229"/>
      <c r="L237" s="229"/>
      <c r="M237" s="229"/>
      <c r="N237" s="229">
        <f t="shared" si="93"/>
        <v>41.4</v>
      </c>
      <c r="O237" s="229">
        <f t="shared" si="94"/>
        <v>0</v>
      </c>
      <c r="P237" s="229">
        <f t="shared" si="95"/>
        <v>41.4</v>
      </c>
      <c r="Q237" s="229">
        <f t="shared" si="96"/>
        <v>0</v>
      </c>
      <c r="R237" s="229"/>
      <c r="S237" s="229"/>
      <c r="T237" s="228"/>
      <c r="U237" s="228"/>
      <c r="V237" s="235"/>
      <c r="W237" s="236"/>
    </row>
    <row r="238" ht="40.5" spans="1:23">
      <c r="A238" s="221">
        <v>234</v>
      </c>
      <c r="B238" s="227" t="s">
        <v>221</v>
      </c>
      <c r="C238" s="228" t="s">
        <v>258</v>
      </c>
      <c r="D238" s="228" t="s">
        <v>932</v>
      </c>
      <c r="E238" s="228" t="s">
        <v>1718</v>
      </c>
      <c r="F238" s="229">
        <v>26.7</v>
      </c>
      <c r="G238" s="229"/>
      <c r="H238" s="229">
        <v>26.7</v>
      </c>
      <c r="I238" s="229"/>
      <c r="J238" s="229">
        <f t="shared" si="92"/>
        <v>0</v>
      </c>
      <c r="K238" s="229"/>
      <c r="L238" s="229"/>
      <c r="M238" s="229"/>
      <c r="N238" s="229">
        <f t="shared" si="93"/>
        <v>26.7</v>
      </c>
      <c r="O238" s="229">
        <f t="shared" si="94"/>
        <v>0</v>
      </c>
      <c r="P238" s="229">
        <f t="shared" si="95"/>
        <v>26.7</v>
      </c>
      <c r="Q238" s="229">
        <f t="shared" si="96"/>
        <v>0</v>
      </c>
      <c r="R238" s="229"/>
      <c r="S238" s="229">
        <v>13.35</v>
      </c>
      <c r="T238" s="228"/>
      <c r="U238" s="228"/>
      <c r="V238" s="235"/>
      <c r="W238" s="236"/>
    </row>
    <row r="239" ht="40.5" spans="1:23">
      <c r="A239" s="221">
        <v>235</v>
      </c>
      <c r="B239" s="227" t="s">
        <v>221</v>
      </c>
      <c r="C239" s="228" t="s">
        <v>262</v>
      </c>
      <c r="D239" s="228" t="s">
        <v>932</v>
      </c>
      <c r="E239" s="228" t="s">
        <v>1718</v>
      </c>
      <c r="F239" s="229">
        <v>49.3</v>
      </c>
      <c r="G239" s="229"/>
      <c r="H239" s="229">
        <v>49.3</v>
      </c>
      <c r="I239" s="229"/>
      <c r="J239" s="229">
        <f t="shared" si="92"/>
        <v>0</v>
      </c>
      <c r="K239" s="229"/>
      <c r="L239" s="229"/>
      <c r="M239" s="229"/>
      <c r="N239" s="229">
        <f t="shared" si="93"/>
        <v>49.3</v>
      </c>
      <c r="O239" s="229">
        <f t="shared" si="94"/>
        <v>0</v>
      </c>
      <c r="P239" s="229">
        <f t="shared" si="95"/>
        <v>49.3</v>
      </c>
      <c r="Q239" s="229">
        <f t="shared" si="96"/>
        <v>0</v>
      </c>
      <c r="R239" s="229"/>
      <c r="S239" s="229">
        <v>24.8</v>
      </c>
      <c r="T239" s="228"/>
      <c r="U239" s="228"/>
      <c r="V239" s="235"/>
      <c r="W239" s="236"/>
    </row>
    <row r="240" ht="40.5" spans="1:23">
      <c r="A240" s="221">
        <v>236</v>
      </c>
      <c r="B240" s="227" t="s">
        <v>221</v>
      </c>
      <c r="C240" s="228" t="s">
        <v>266</v>
      </c>
      <c r="D240" s="228" t="s">
        <v>932</v>
      </c>
      <c r="E240" s="228" t="s">
        <v>1718</v>
      </c>
      <c r="F240" s="229">
        <v>47.6</v>
      </c>
      <c r="G240" s="229"/>
      <c r="H240" s="229">
        <v>47.6</v>
      </c>
      <c r="I240" s="229"/>
      <c r="J240" s="229">
        <f t="shared" si="92"/>
        <v>0</v>
      </c>
      <c r="K240" s="229"/>
      <c r="L240" s="229"/>
      <c r="M240" s="229"/>
      <c r="N240" s="229">
        <f t="shared" si="93"/>
        <v>47.6</v>
      </c>
      <c r="O240" s="229">
        <f t="shared" si="94"/>
        <v>0</v>
      </c>
      <c r="P240" s="229">
        <f t="shared" si="95"/>
        <v>47.6</v>
      </c>
      <c r="Q240" s="229">
        <f t="shared" si="96"/>
        <v>0</v>
      </c>
      <c r="R240" s="229"/>
      <c r="S240" s="229"/>
      <c r="T240" s="228"/>
      <c r="U240" s="228"/>
      <c r="V240" s="235"/>
      <c r="W240" s="236"/>
    </row>
    <row r="241" ht="40.5" spans="1:23">
      <c r="A241" s="221">
        <v>237</v>
      </c>
      <c r="B241" s="227" t="s">
        <v>221</v>
      </c>
      <c r="C241" s="228" t="s">
        <v>270</v>
      </c>
      <c r="D241" s="228" t="s">
        <v>932</v>
      </c>
      <c r="E241" s="228" t="s">
        <v>1718</v>
      </c>
      <c r="F241" s="229">
        <v>50.9</v>
      </c>
      <c r="G241" s="229"/>
      <c r="H241" s="229">
        <v>50.9</v>
      </c>
      <c r="I241" s="229"/>
      <c r="J241" s="229">
        <f t="shared" si="92"/>
        <v>0</v>
      </c>
      <c r="K241" s="229"/>
      <c r="L241" s="229"/>
      <c r="M241" s="229"/>
      <c r="N241" s="229">
        <f t="shared" si="93"/>
        <v>50.9</v>
      </c>
      <c r="O241" s="229">
        <f t="shared" si="94"/>
        <v>0</v>
      </c>
      <c r="P241" s="229">
        <f t="shared" si="95"/>
        <v>50.9</v>
      </c>
      <c r="Q241" s="229">
        <f t="shared" si="96"/>
        <v>0</v>
      </c>
      <c r="R241" s="229"/>
      <c r="S241" s="229"/>
      <c r="T241" s="228"/>
      <c r="U241" s="228"/>
      <c r="V241" s="235"/>
      <c r="W241" s="236"/>
    </row>
    <row r="242" ht="40.5" spans="1:23">
      <c r="A242" s="221">
        <v>238</v>
      </c>
      <c r="B242" s="227" t="s">
        <v>221</v>
      </c>
      <c r="C242" s="228" t="s">
        <v>274</v>
      </c>
      <c r="D242" s="228" t="s">
        <v>932</v>
      </c>
      <c r="E242" s="228" t="s">
        <v>1718</v>
      </c>
      <c r="F242" s="229">
        <v>36.7</v>
      </c>
      <c r="G242" s="229"/>
      <c r="H242" s="229">
        <v>36.7</v>
      </c>
      <c r="I242" s="229"/>
      <c r="J242" s="229">
        <f t="shared" si="92"/>
        <v>0</v>
      </c>
      <c r="K242" s="229"/>
      <c r="L242" s="229"/>
      <c r="M242" s="229"/>
      <c r="N242" s="229">
        <f t="shared" si="93"/>
        <v>36.7</v>
      </c>
      <c r="O242" s="229">
        <f t="shared" si="94"/>
        <v>0</v>
      </c>
      <c r="P242" s="229">
        <f t="shared" si="95"/>
        <v>36.7</v>
      </c>
      <c r="Q242" s="229">
        <f t="shared" si="96"/>
        <v>0</v>
      </c>
      <c r="R242" s="229"/>
      <c r="S242" s="229"/>
      <c r="T242" s="228"/>
      <c r="U242" s="228"/>
      <c r="V242" s="235"/>
      <c r="W242" s="236"/>
    </row>
    <row r="243" ht="40.5" spans="1:23">
      <c r="A243" s="221">
        <v>239</v>
      </c>
      <c r="B243" s="227" t="s">
        <v>221</v>
      </c>
      <c r="C243" s="228" t="s">
        <v>278</v>
      </c>
      <c r="D243" s="228" t="s">
        <v>932</v>
      </c>
      <c r="E243" s="228" t="s">
        <v>1718</v>
      </c>
      <c r="F243" s="229">
        <v>34.6</v>
      </c>
      <c r="G243" s="229"/>
      <c r="H243" s="229">
        <v>34.6</v>
      </c>
      <c r="I243" s="229"/>
      <c r="J243" s="229">
        <f t="shared" si="92"/>
        <v>0</v>
      </c>
      <c r="K243" s="229"/>
      <c r="L243" s="229"/>
      <c r="M243" s="229"/>
      <c r="N243" s="229">
        <f t="shared" si="93"/>
        <v>34.6</v>
      </c>
      <c r="O243" s="229">
        <f t="shared" si="94"/>
        <v>0</v>
      </c>
      <c r="P243" s="229">
        <f t="shared" si="95"/>
        <v>34.6</v>
      </c>
      <c r="Q243" s="229">
        <f t="shared" si="96"/>
        <v>0</v>
      </c>
      <c r="R243" s="229"/>
      <c r="S243" s="229">
        <v>34.6</v>
      </c>
      <c r="T243" s="228"/>
      <c r="U243" s="228"/>
      <c r="V243" s="235"/>
      <c r="W243" s="236"/>
    </row>
    <row r="244" ht="40.5" spans="1:23">
      <c r="A244" s="221">
        <v>240</v>
      </c>
      <c r="B244" s="227" t="s">
        <v>221</v>
      </c>
      <c r="C244" s="228" t="s">
        <v>282</v>
      </c>
      <c r="D244" s="228" t="s">
        <v>932</v>
      </c>
      <c r="E244" s="228" t="s">
        <v>1718</v>
      </c>
      <c r="F244" s="229">
        <v>30.8</v>
      </c>
      <c r="G244" s="229"/>
      <c r="H244" s="229">
        <v>30.8</v>
      </c>
      <c r="I244" s="229"/>
      <c r="J244" s="229">
        <f t="shared" si="92"/>
        <v>0</v>
      </c>
      <c r="K244" s="229"/>
      <c r="L244" s="229"/>
      <c r="M244" s="229"/>
      <c r="N244" s="229">
        <f t="shared" si="93"/>
        <v>30.8</v>
      </c>
      <c r="O244" s="229">
        <f t="shared" si="94"/>
        <v>0</v>
      </c>
      <c r="P244" s="229">
        <f t="shared" si="95"/>
        <v>30.8</v>
      </c>
      <c r="Q244" s="229">
        <f t="shared" si="96"/>
        <v>0</v>
      </c>
      <c r="R244" s="229"/>
      <c r="S244" s="229"/>
      <c r="T244" s="228"/>
      <c r="U244" s="228"/>
      <c r="V244" s="235"/>
      <c r="W244" s="236"/>
    </row>
    <row r="245" ht="40.5" spans="1:23">
      <c r="A245" s="221">
        <v>241</v>
      </c>
      <c r="B245" s="227" t="s">
        <v>221</v>
      </c>
      <c r="C245" s="228" t="s">
        <v>286</v>
      </c>
      <c r="D245" s="228" t="s">
        <v>932</v>
      </c>
      <c r="E245" s="228" t="s">
        <v>1718</v>
      </c>
      <c r="F245" s="229">
        <v>14.9</v>
      </c>
      <c r="G245" s="229"/>
      <c r="H245" s="229">
        <v>14.9</v>
      </c>
      <c r="I245" s="229"/>
      <c r="J245" s="229">
        <f t="shared" si="92"/>
        <v>0</v>
      </c>
      <c r="K245" s="229"/>
      <c r="L245" s="229"/>
      <c r="M245" s="229"/>
      <c r="N245" s="229">
        <f t="shared" si="93"/>
        <v>14.9</v>
      </c>
      <c r="O245" s="229">
        <f t="shared" si="94"/>
        <v>0</v>
      </c>
      <c r="P245" s="229">
        <f t="shared" si="95"/>
        <v>14.9</v>
      </c>
      <c r="Q245" s="229">
        <f t="shared" si="96"/>
        <v>0</v>
      </c>
      <c r="R245" s="229"/>
      <c r="S245" s="229">
        <v>7.45</v>
      </c>
      <c r="T245" s="228"/>
      <c r="U245" s="228"/>
      <c r="V245" s="235"/>
      <c r="W245" s="236"/>
    </row>
    <row r="246" ht="33" customHeight="1" spans="1:23">
      <c r="A246" s="221">
        <v>242</v>
      </c>
      <c r="B246" s="227" t="s">
        <v>540</v>
      </c>
      <c r="C246" s="228" t="s">
        <v>546</v>
      </c>
      <c r="D246" s="228" t="s">
        <v>1720</v>
      </c>
      <c r="E246" s="228" t="s">
        <v>1721</v>
      </c>
      <c r="F246" s="229">
        <v>10</v>
      </c>
      <c r="G246" s="229"/>
      <c r="H246" s="229">
        <v>10</v>
      </c>
      <c r="I246" s="229"/>
      <c r="J246" s="229">
        <f t="shared" si="92"/>
        <v>0</v>
      </c>
      <c r="K246" s="229"/>
      <c r="L246" s="229"/>
      <c r="M246" s="229"/>
      <c r="N246" s="229">
        <f t="shared" si="93"/>
        <v>10</v>
      </c>
      <c r="O246" s="229">
        <f t="shared" si="94"/>
        <v>0</v>
      </c>
      <c r="P246" s="229">
        <f t="shared" si="95"/>
        <v>10</v>
      </c>
      <c r="Q246" s="229">
        <f t="shared" si="96"/>
        <v>0</v>
      </c>
      <c r="R246" s="229"/>
      <c r="S246" s="229"/>
      <c r="T246" s="228"/>
      <c r="U246" s="228" t="s">
        <v>1722</v>
      </c>
      <c r="V246" s="235"/>
      <c r="W246" s="236"/>
    </row>
    <row r="247" ht="40" customHeight="1" spans="1:23">
      <c r="A247" s="221">
        <v>243</v>
      </c>
      <c r="B247" s="227" t="s">
        <v>640</v>
      </c>
      <c r="C247" s="228" t="s">
        <v>641</v>
      </c>
      <c r="D247" s="228" t="s">
        <v>1723</v>
      </c>
      <c r="E247" s="228" t="s">
        <v>1724</v>
      </c>
      <c r="F247" s="229">
        <v>30</v>
      </c>
      <c r="G247" s="229"/>
      <c r="H247" s="229">
        <v>30</v>
      </c>
      <c r="I247" s="229"/>
      <c r="J247" s="229">
        <f t="shared" si="92"/>
        <v>-5</v>
      </c>
      <c r="K247" s="229"/>
      <c r="L247" s="229">
        <v>-5</v>
      </c>
      <c r="M247" s="229"/>
      <c r="N247" s="229">
        <f t="shared" si="93"/>
        <v>25</v>
      </c>
      <c r="O247" s="229">
        <f t="shared" si="94"/>
        <v>0</v>
      </c>
      <c r="P247" s="229">
        <f t="shared" si="95"/>
        <v>25</v>
      </c>
      <c r="Q247" s="229">
        <f t="shared" si="96"/>
        <v>0</v>
      </c>
      <c r="R247" s="229"/>
      <c r="S247" s="229"/>
      <c r="T247" s="228"/>
      <c r="U247" s="228" t="s">
        <v>1725</v>
      </c>
      <c r="V247" s="235"/>
      <c r="W247" s="236"/>
    </row>
    <row r="248" ht="40" customHeight="1" spans="1:23">
      <c r="A248" s="221">
        <v>244</v>
      </c>
      <c r="B248" s="227" t="s">
        <v>640</v>
      </c>
      <c r="C248" s="228" t="s">
        <v>1538</v>
      </c>
      <c r="D248" s="228" t="s">
        <v>1620</v>
      </c>
      <c r="E248" s="228" t="s">
        <v>1726</v>
      </c>
      <c r="F248" s="229">
        <v>100</v>
      </c>
      <c r="G248" s="229"/>
      <c r="H248" s="229">
        <v>100</v>
      </c>
      <c r="I248" s="229"/>
      <c r="J248" s="229">
        <f t="shared" si="92"/>
        <v>0</v>
      </c>
      <c r="K248" s="229"/>
      <c r="L248" s="229"/>
      <c r="M248" s="229"/>
      <c r="N248" s="229">
        <f t="shared" si="93"/>
        <v>100</v>
      </c>
      <c r="O248" s="229">
        <f t="shared" si="94"/>
        <v>0</v>
      </c>
      <c r="P248" s="229">
        <f t="shared" si="95"/>
        <v>100</v>
      </c>
      <c r="Q248" s="229">
        <f t="shared" si="96"/>
        <v>0</v>
      </c>
      <c r="R248" s="229"/>
      <c r="S248" s="229"/>
      <c r="T248" s="228"/>
      <c r="U248" s="228" t="s">
        <v>1727</v>
      </c>
      <c r="V248" s="235"/>
      <c r="W248" s="236"/>
    </row>
    <row r="249" ht="40.5" spans="1:23">
      <c r="A249" s="221">
        <v>245</v>
      </c>
      <c r="B249" s="227" t="s">
        <v>640</v>
      </c>
      <c r="C249" s="228" t="s">
        <v>1538</v>
      </c>
      <c r="D249" s="228" t="s">
        <v>1728</v>
      </c>
      <c r="E249" s="228" t="s">
        <v>1729</v>
      </c>
      <c r="F249" s="229">
        <v>302.5</v>
      </c>
      <c r="G249" s="229">
        <v>302.5</v>
      </c>
      <c r="H249" s="229"/>
      <c r="I249" s="229"/>
      <c r="J249" s="229">
        <f t="shared" si="92"/>
        <v>0</v>
      </c>
      <c r="K249" s="229"/>
      <c r="L249" s="229"/>
      <c r="M249" s="229"/>
      <c r="N249" s="229">
        <f t="shared" si="93"/>
        <v>302.5</v>
      </c>
      <c r="O249" s="229">
        <f t="shared" si="94"/>
        <v>302.5</v>
      </c>
      <c r="P249" s="229">
        <f t="shared" si="95"/>
        <v>0</v>
      </c>
      <c r="Q249" s="229">
        <f t="shared" si="96"/>
        <v>0</v>
      </c>
      <c r="R249" s="229"/>
      <c r="S249" s="229"/>
      <c r="T249" s="228"/>
      <c r="U249" s="228" t="s">
        <v>1730</v>
      </c>
      <c r="V249" s="235"/>
      <c r="W249" s="236"/>
    </row>
    <row r="250" ht="21" customHeight="1" spans="1:23">
      <c r="A250" s="221">
        <v>246</v>
      </c>
      <c r="B250" s="222"/>
      <c r="C250" s="223"/>
      <c r="D250" s="224" t="s">
        <v>1731</v>
      </c>
      <c r="E250" s="225"/>
      <c r="F250" s="226">
        <f>SUM(F251:F260)</f>
        <v>2566</v>
      </c>
      <c r="G250" s="226">
        <f>SUM(G251:G260)</f>
        <v>2566</v>
      </c>
      <c r="H250" s="226">
        <f>SUM(H251:H260)</f>
        <v>0</v>
      </c>
      <c r="I250" s="226">
        <f>SUM(I251:I260)</f>
        <v>0</v>
      </c>
      <c r="J250" s="226">
        <f t="shared" ref="J250:R250" si="97">SUM(J251:J260)</f>
        <v>-1053.85</v>
      </c>
      <c r="K250" s="226">
        <f t="shared" si="97"/>
        <v>-1053.85</v>
      </c>
      <c r="L250" s="226">
        <f t="shared" si="97"/>
        <v>0</v>
      </c>
      <c r="M250" s="226">
        <f t="shared" si="97"/>
        <v>0</v>
      </c>
      <c r="N250" s="226">
        <f t="shared" si="97"/>
        <v>1512.15</v>
      </c>
      <c r="O250" s="226">
        <f t="shared" si="97"/>
        <v>1512.15</v>
      </c>
      <c r="P250" s="226">
        <f t="shared" si="97"/>
        <v>0</v>
      </c>
      <c r="Q250" s="226">
        <f t="shared" si="97"/>
        <v>0</v>
      </c>
      <c r="R250" s="226">
        <f t="shared" si="97"/>
        <v>960.3</v>
      </c>
      <c r="S250" s="226"/>
      <c r="T250" s="239"/>
      <c r="U250" s="228"/>
      <c r="V250" s="235"/>
      <c r="W250" s="236"/>
    </row>
    <row r="251" ht="40.5" spans="1:23">
      <c r="A251" s="221">
        <v>247</v>
      </c>
      <c r="B251" s="227" t="s">
        <v>1236</v>
      </c>
      <c r="C251" s="228" t="s">
        <v>693</v>
      </c>
      <c r="D251" s="228" t="s">
        <v>1732</v>
      </c>
      <c r="E251" s="228" t="s">
        <v>1733</v>
      </c>
      <c r="F251" s="229">
        <v>1000</v>
      </c>
      <c r="G251" s="229">
        <v>1000</v>
      </c>
      <c r="H251" s="229"/>
      <c r="I251" s="229"/>
      <c r="J251" s="229">
        <f>SUM(K251:M251)</f>
        <v>-1000</v>
      </c>
      <c r="K251" s="229">
        <v>-1000</v>
      </c>
      <c r="L251" s="229"/>
      <c r="M251" s="229"/>
      <c r="N251" s="229">
        <f>SUM(O251:Q251)</f>
        <v>0</v>
      </c>
      <c r="O251" s="229">
        <f>G251+K251</f>
        <v>0</v>
      </c>
      <c r="P251" s="229">
        <f>H251+L251</f>
        <v>0</v>
      </c>
      <c r="Q251" s="229">
        <f>I251+M251</f>
        <v>0</v>
      </c>
      <c r="R251" s="229"/>
      <c r="S251" s="229"/>
      <c r="T251" s="228"/>
      <c r="U251" s="228" t="s">
        <v>1734</v>
      </c>
      <c r="V251" s="235">
        <v>-1000</v>
      </c>
      <c r="W251" s="236"/>
    </row>
    <row r="252" ht="27" spans="1:23">
      <c r="A252" s="221">
        <v>248</v>
      </c>
      <c r="B252" s="227" t="s">
        <v>290</v>
      </c>
      <c r="C252" s="228" t="s">
        <v>270</v>
      </c>
      <c r="D252" s="228" t="s">
        <v>1732</v>
      </c>
      <c r="E252" s="228" t="s">
        <v>1735</v>
      </c>
      <c r="F252" s="229"/>
      <c r="G252" s="229"/>
      <c r="H252" s="229"/>
      <c r="I252" s="229"/>
      <c r="J252" s="229"/>
      <c r="K252" s="229"/>
      <c r="L252" s="229"/>
      <c r="M252" s="229"/>
      <c r="N252" s="229"/>
      <c r="O252" s="229"/>
      <c r="P252" s="229"/>
      <c r="Q252" s="229"/>
      <c r="R252" s="229">
        <v>20</v>
      </c>
      <c r="S252" s="229"/>
      <c r="T252" s="228" t="s">
        <v>1736</v>
      </c>
      <c r="U252" s="228"/>
      <c r="V252" s="235"/>
      <c r="W252" s="236"/>
    </row>
    <row r="253" ht="27" spans="1:23">
      <c r="A253" s="221">
        <v>249</v>
      </c>
      <c r="B253" s="227" t="s">
        <v>290</v>
      </c>
      <c r="C253" s="228" t="s">
        <v>1538</v>
      </c>
      <c r="D253" s="228" t="s">
        <v>1732</v>
      </c>
      <c r="E253" s="228" t="s">
        <v>1737</v>
      </c>
      <c r="F253" s="229"/>
      <c r="G253" s="229"/>
      <c r="H253" s="229"/>
      <c r="I253" s="229"/>
      <c r="J253" s="229"/>
      <c r="K253" s="229"/>
      <c r="L253" s="229"/>
      <c r="M253" s="229"/>
      <c r="N253" s="229"/>
      <c r="O253" s="229"/>
      <c r="P253" s="229"/>
      <c r="Q253" s="229"/>
      <c r="R253" s="229">
        <v>940.3</v>
      </c>
      <c r="S253" s="229"/>
      <c r="T253" s="228" t="s">
        <v>1738</v>
      </c>
      <c r="U253" s="228"/>
      <c r="V253" s="235"/>
      <c r="W253" s="236"/>
    </row>
    <row r="254" ht="81" spans="1:23">
      <c r="A254" s="221">
        <v>250</v>
      </c>
      <c r="B254" s="227" t="s">
        <v>290</v>
      </c>
      <c r="C254" s="228" t="s">
        <v>693</v>
      </c>
      <c r="D254" s="228" t="s">
        <v>697</v>
      </c>
      <c r="E254" s="228" t="s">
        <v>1739</v>
      </c>
      <c r="F254" s="229"/>
      <c r="G254" s="229"/>
      <c r="H254" s="229"/>
      <c r="I254" s="229"/>
      <c r="J254" s="229">
        <f t="shared" ref="J254:J260" si="98">SUM(K254:M254)</f>
        <v>96.37</v>
      </c>
      <c r="K254" s="229">
        <v>96.37</v>
      </c>
      <c r="L254" s="229"/>
      <c r="M254" s="229"/>
      <c r="N254" s="229">
        <f t="shared" ref="N254:N260" si="99">SUM(O254:Q254)</f>
        <v>96.37</v>
      </c>
      <c r="O254" s="229">
        <f t="shared" ref="O254:O260" si="100">G254+K254</f>
        <v>96.37</v>
      </c>
      <c r="P254" s="229">
        <f t="shared" ref="P254:P260" si="101">H254+L254</f>
        <v>0</v>
      </c>
      <c r="Q254" s="229">
        <f t="shared" ref="Q254:Q260" si="102">I254+M254</f>
        <v>0</v>
      </c>
      <c r="R254" s="229"/>
      <c r="S254" s="229"/>
      <c r="T254" s="228" t="s">
        <v>1740</v>
      </c>
      <c r="U254" s="228"/>
      <c r="V254" s="235"/>
      <c r="W254" s="236"/>
    </row>
    <row r="255" ht="81" spans="1:23">
      <c r="A255" s="221">
        <v>251</v>
      </c>
      <c r="B255" s="227" t="s">
        <v>290</v>
      </c>
      <c r="C255" s="228" t="s">
        <v>693</v>
      </c>
      <c r="D255" s="228" t="s">
        <v>1741</v>
      </c>
      <c r="E255" s="228" t="s">
        <v>1742</v>
      </c>
      <c r="F255" s="229"/>
      <c r="G255" s="229"/>
      <c r="H255" s="229"/>
      <c r="I255" s="229"/>
      <c r="J255" s="229">
        <f t="shared" si="98"/>
        <v>100</v>
      </c>
      <c r="K255" s="229">
        <v>100</v>
      </c>
      <c r="L255" s="229"/>
      <c r="M255" s="229"/>
      <c r="N255" s="229">
        <f t="shared" si="99"/>
        <v>100</v>
      </c>
      <c r="O255" s="229">
        <f t="shared" si="100"/>
        <v>100</v>
      </c>
      <c r="P255" s="229">
        <f t="shared" si="101"/>
        <v>0</v>
      </c>
      <c r="Q255" s="229">
        <f t="shared" si="102"/>
        <v>0</v>
      </c>
      <c r="R255" s="229"/>
      <c r="S255" s="229"/>
      <c r="T255" s="228" t="s">
        <v>1740</v>
      </c>
      <c r="U255" s="228"/>
      <c r="V255" s="235"/>
      <c r="W255" s="236"/>
    </row>
    <row r="256" ht="40.5" spans="1:23">
      <c r="A256" s="221">
        <v>252</v>
      </c>
      <c r="B256" s="227" t="s">
        <v>290</v>
      </c>
      <c r="C256" s="228" t="s">
        <v>693</v>
      </c>
      <c r="D256" s="228" t="s">
        <v>1741</v>
      </c>
      <c r="E256" s="228" t="s">
        <v>1743</v>
      </c>
      <c r="F256" s="229">
        <v>1250</v>
      </c>
      <c r="G256" s="229">
        <v>1250</v>
      </c>
      <c r="H256" s="229"/>
      <c r="I256" s="229"/>
      <c r="J256" s="229">
        <f t="shared" si="98"/>
        <v>-500</v>
      </c>
      <c r="K256" s="229">
        <v>-500</v>
      </c>
      <c r="L256" s="229"/>
      <c r="M256" s="229"/>
      <c r="N256" s="229">
        <f t="shared" si="99"/>
        <v>750</v>
      </c>
      <c r="O256" s="229">
        <f t="shared" si="100"/>
        <v>750</v>
      </c>
      <c r="P256" s="229">
        <f t="shared" si="101"/>
        <v>0</v>
      </c>
      <c r="Q256" s="229">
        <f t="shared" si="102"/>
        <v>0</v>
      </c>
      <c r="R256" s="229"/>
      <c r="S256" s="229">
        <v>82.665</v>
      </c>
      <c r="T256" s="228"/>
      <c r="U256" s="228" t="s">
        <v>1744</v>
      </c>
      <c r="V256" s="235">
        <v>-500</v>
      </c>
      <c r="W256" s="236"/>
    </row>
    <row r="257" ht="40.5" spans="1:23">
      <c r="A257" s="221">
        <v>253</v>
      </c>
      <c r="B257" s="227" t="s">
        <v>290</v>
      </c>
      <c r="C257" s="228" t="s">
        <v>693</v>
      </c>
      <c r="D257" s="228" t="s">
        <v>703</v>
      </c>
      <c r="E257" s="228" t="s">
        <v>1745</v>
      </c>
      <c r="F257" s="229">
        <v>16</v>
      </c>
      <c r="G257" s="229">
        <v>16</v>
      </c>
      <c r="H257" s="229"/>
      <c r="I257" s="229"/>
      <c r="J257" s="229">
        <f t="shared" si="98"/>
        <v>0</v>
      </c>
      <c r="K257" s="229"/>
      <c r="L257" s="229"/>
      <c r="M257" s="229"/>
      <c r="N257" s="229">
        <f t="shared" si="99"/>
        <v>16</v>
      </c>
      <c r="O257" s="229">
        <f t="shared" si="100"/>
        <v>16</v>
      </c>
      <c r="P257" s="229">
        <f t="shared" si="101"/>
        <v>0</v>
      </c>
      <c r="Q257" s="229">
        <f t="shared" si="102"/>
        <v>0</v>
      </c>
      <c r="R257" s="229"/>
      <c r="S257" s="229"/>
      <c r="T257" s="228"/>
      <c r="U257" s="228" t="s">
        <v>1746</v>
      </c>
      <c r="V257" s="235"/>
      <c r="W257" s="236"/>
    </row>
    <row r="258" ht="40.5" spans="1:23">
      <c r="A258" s="221">
        <v>254</v>
      </c>
      <c r="B258" s="227" t="s">
        <v>290</v>
      </c>
      <c r="C258" s="228" t="s">
        <v>693</v>
      </c>
      <c r="D258" s="228" t="s">
        <v>703</v>
      </c>
      <c r="E258" s="246" t="s">
        <v>1747</v>
      </c>
      <c r="F258" s="229"/>
      <c r="G258" s="229"/>
      <c r="H258" s="229"/>
      <c r="I258" s="229"/>
      <c r="J258" s="229">
        <f t="shared" si="98"/>
        <v>60</v>
      </c>
      <c r="K258" s="229">
        <v>60</v>
      </c>
      <c r="L258" s="229"/>
      <c r="M258" s="229"/>
      <c r="N258" s="229">
        <f t="shared" si="99"/>
        <v>60</v>
      </c>
      <c r="O258" s="229">
        <f t="shared" si="100"/>
        <v>60</v>
      </c>
      <c r="P258" s="229">
        <f t="shared" si="101"/>
        <v>0</v>
      </c>
      <c r="Q258" s="229">
        <f t="shared" si="102"/>
        <v>0</v>
      </c>
      <c r="R258" s="229"/>
      <c r="S258" s="229"/>
      <c r="T258" s="228" t="s">
        <v>1748</v>
      </c>
      <c r="U258" s="228"/>
      <c r="V258" s="235"/>
      <c r="W258" s="236"/>
    </row>
    <row r="259" ht="27" spans="1:23">
      <c r="A259" s="221">
        <v>255</v>
      </c>
      <c r="B259" s="227" t="s">
        <v>290</v>
      </c>
      <c r="C259" s="228" t="s">
        <v>693</v>
      </c>
      <c r="D259" s="228" t="s">
        <v>703</v>
      </c>
      <c r="E259" s="247" t="s">
        <v>1749</v>
      </c>
      <c r="F259" s="229"/>
      <c r="G259" s="229"/>
      <c r="H259" s="229"/>
      <c r="I259" s="229"/>
      <c r="J259" s="229">
        <f t="shared" si="98"/>
        <v>189.78</v>
      </c>
      <c r="K259" s="229">
        <v>189.78</v>
      </c>
      <c r="L259" s="229"/>
      <c r="M259" s="229"/>
      <c r="N259" s="229">
        <f t="shared" si="99"/>
        <v>189.78</v>
      </c>
      <c r="O259" s="229">
        <f t="shared" si="100"/>
        <v>189.78</v>
      </c>
      <c r="P259" s="229">
        <f t="shared" si="101"/>
        <v>0</v>
      </c>
      <c r="Q259" s="229">
        <f t="shared" si="102"/>
        <v>0</v>
      </c>
      <c r="R259" s="229"/>
      <c r="S259" s="229">
        <v>189.78</v>
      </c>
      <c r="T259" s="228" t="s">
        <v>1750</v>
      </c>
      <c r="U259" s="228"/>
      <c r="V259" s="235"/>
      <c r="W259" s="236"/>
    </row>
    <row r="260" ht="29.15" customHeight="1" spans="1:23">
      <c r="A260" s="221">
        <v>256</v>
      </c>
      <c r="B260" s="227" t="s">
        <v>1712</v>
      </c>
      <c r="C260" s="228" t="s">
        <v>1751</v>
      </c>
      <c r="D260" s="228" t="s">
        <v>1752</v>
      </c>
      <c r="E260" s="228" t="s">
        <v>1753</v>
      </c>
      <c r="F260" s="229">
        <v>300</v>
      </c>
      <c r="G260" s="229">
        <v>300</v>
      </c>
      <c r="H260" s="229"/>
      <c r="I260" s="229"/>
      <c r="J260" s="229">
        <f t="shared" si="98"/>
        <v>0</v>
      </c>
      <c r="K260" s="229"/>
      <c r="L260" s="229"/>
      <c r="M260" s="229"/>
      <c r="N260" s="229">
        <f t="shared" si="99"/>
        <v>300</v>
      </c>
      <c r="O260" s="229">
        <f t="shared" si="100"/>
        <v>300</v>
      </c>
      <c r="P260" s="229">
        <f t="shared" si="101"/>
        <v>0</v>
      </c>
      <c r="Q260" s="229">
        <f t="shared" si="102"/>
        <v>0</v>
      </c>
      <c r="R260" s="229"/>
      <c r="S260" s="229">
        <v>179.8225</v>
      </c>
      <c r="T260" s="228"/>
      <c r="U260" s="228"/>
      <c r="V260" s="235"/>
      <c r="W260" s="236">
        <v>179.82</v>
      </c>
    </row>
    <row r="261" ht="27" customHeight="1" spans="1:23">
      <c r="A261" s="221">
        <v>257</v>
      </c>
      <c r="B261" s="222"/>
      <c r="C261" s="223"/>
      <c r="D261" s="224" t="s">
        <v>1754</v>
      </c>
      <c r="E261" s="225"/>
      <c r="F261" s="226">
        <f>SUM(F262:F269)</f>
        <v>6701</v>
      </c>
      <c r="G261" s="226">
        <f t="shared" ref="G261:R261" si="103">SUM(G262:G269)</f>
        <v>6701</v>
      </c>
      <c r="H261" s="226">
        <f t="shared" si="103"/>
        <v>0</v>
      </c>
      <c r="I261" s="226">
        <f t="shared" si="103"/>
        <v>0</v>
      </c>
      <c r="J261" s="226">
        <f t="shared" si="103"/>
        <v>-6701</v>
      </c>
      <c r="K261" s="226">
        <f t="shared" si="103"/>
        <v>-6701</v>
      </c>
      <c r="L261" s="226">
        <f t="shared" si="103"/>
        <v>0</v>
      </c>
      <c r="M261" s="226">
        <f t="shared" si="103"/>
        <v>0</v>
      </c>
      <c r="N261" s="226">
        <f t="shared" si="103"/>
        <v>0</v>
      </c>
      <c r="O261" s="226">
        <f t="shared" si="103"/>
        <v>0</v>
      </c>
      <c r="P261" s="226">
        <f t="shared" si="103"/>
        <v>0</v>
      </c>
      <c r="Q261" s="226">
        <f t="shared" si="103"/>
        <v>0</v>
      </c>
      <c r="R261" s="226">
        <f t="shared" si="103"/>
        <v>1145.01</v>
      </c>
      <c r="S261" s="226"/>
      <c r="T261" s="239"/>
      <c r="U261" s="228"/>
      <c r="V261" s="235"/>
      <c r="W261" s="236"/>
    </row>
    <row r="262" ht="40.5" spans="1:23">
      <c r="A262" s="221">
        <v>258</v>
      </c>
      <c r="B262" s="227" t="s">
        <v>1606</v>
      </c>
      <c r="C262" s="228" t="s">
        <v>1354</v>
      </c>
      <c r="D262" s="248" t="s">
        <v>1755</v>
      </c>
      <c r="E262" s="228" t="s">
        <v>1756</v>
      </c>
      <c r="F262" s="229">
        <v>6701</v>
      </c>
      <c r="G262" s="229">
        <v>6701</v>
      </c>
      <c r="H262" s="229"/>
      <c r="I262" s="229"/>
      <c r="J262" s="229">
        <f t="shared" ref="J262:J269" si="104">SUM(K262:M262)</f>
        <v>-6701</v>
      </c>
      <c r="K262" s="229">
        <v>-6701</v>
      </c>
      <c r="L262" s="229"/>
      <c r="M262" s="229"/>
      <c r="N262" s="229">
        <f t="shared" ref="N262:N269" si="105">SUM(O262:Q262)</f>
        <v>0</v>
      </c>
      <c r="O262" s="229">
        <f t="shared" ref="O262:O269" si="106">G262+K262</f>
        <v>0</v>
      </c>
      <c r="P262" s="229">
        <f t="shared" ref="P262:P269" si="107">H262+L262</f>
        <v>0</v>
      </c>
      <c r="Q262" s="229">
        <f t="shared" ref="Q262:Q269" si="108">I262+M262</f>
        <v>0</v>
      </c>
      <c r="R262" s="229"/>
      <c r="S262" s="229"/>
      <c r="T262" s="228"/>
      <c r="U262" s="228" t="s">
        <v>1757</v>
      </c>
      <c r="V262" s="235">
        <v>-6701</v>
      </c>
      <c r="W262" s="236"/>
    </row>
    <row r="263" ht="94.5" spans="1:24">
      <c r="A263" s="221">
        <v>259</v>
      </c>
      <c r="B263" s="227" t="s">
        <v>1606</v>
      </c>
      <c r="C263" s="228" t="s">
        <v>1354</v>
      </c>
      <c r="D263" s="248" t="s">
        <v>1758</v>
      </c>
      <c r="E263" s="228" t="s">
        <v>1759</v>
      </c>
      <c r="F263" s="229"/>
      <c r="G263" s="229"/>
      <c r="H263" s="229"/>
      <c r="I263" s="229"/>
      <c r="J263" s="229">
        <f t="shared" si="104"/>
        <v>0</v>
      </c>
      <c r="K263" s="229"/>
      <c r="L263" s="229"/>
      <c r="M263" s="229"/>
      <c r="N263" s="229">
        <f t="shared" si="105"/>
        <v>0</v>
      </c>
      <c r="O263" s="229">
        <f t="shared" si="106"/>
        <v>0</v>
      </c>
      <c r="P263" s="229">
        <f t="shared" si="107"/>
        <v>0</v>
      </c>
      <c r="Q263" s="229">
        <f t="shared" si="108"/>
        <v>0</v>
      </c>
      <c r="R263" s="229">
        <v>35</v>
      </c>
      <c r="S263" s="229">
        <v>35</v>
      </c>
      <c r="T263" s="228" t="s">
        <v>1760</v>
      </c>
      <c r="U263" s="228"/>
      <c r="V263" s="235"/>
      <c r="W263" s="236"/>
      <c r="X263" s="210">
        <v>35</v>
      </c>
    </row>
    <row r="264" ht="108" spans="1:23">
      <c r="A264" s="221">
        <v>260</v>
      </c>
      <c r="B264" s="227" t="s">
        <v>1606</v>
      </c>
      <c r="C264" s="228" t="s">
        <v>1354</v>
      </c>
      <c r="D264" s="248" t="s">
        <v>1758</v>
      </c>
      <c r="E264" s="228" t="s">
        <v>1761</v>
      </c>
      <c r="F264" s="229"/>
      <c r="G264" s="229"/>
      <c r="H264" s="229"/>
      <c r="I264" s="229"/>
      <c r="J264" s="229">
        <f t="shared" si="104"/>
        <v>0</v>
      </c>
      <c r="K264" s="229"/>
      <c r="L264" s="229"/>
      <c r="M264" s="229"/>
      <c r="N264" s="229">
        <f t="shared" si="105"/>
        <v>0</v>
      </c>
      <c r="O264" s="229">
        <f t="shared" si="106"/>
        <v>0</v>
      </c>
      <c r="P264" s="229">
        <f t="shared" si="107"/>
        <v>0</v>
      </c>
      <c r="Q264" s="229">
        <f t="shared" si="108"/>
        <v>0</v>
      </c>
      <c r="R264" s="229">
        <v>180</v>
      </c>
      <c r="S264" s="229"/>
      <c r="T264" s="228" t="s">
        <v>1762</v>
      </c>
      <c r="U264" s="228"/>
      <c r="V264" s="235"/>
      <c r="W264" s="236"/>
    </row>
    <row r="265" ht="108" spans="1:23">
      <c r="A265" s="221">
        <v>261</v>
      </c>
      <c r="B265" s="227" t="s">
        <v>1606</v>
      </c>
      <c r="C265" s="228" t="s">
        <v>1354</v>
      </c>
      <c r="D265" s="248" t="s">
        <v>1758</v>
      </c>
      <c r="E265" s="228" t="s">
        <v>1763</v>
      </c>
      <c r="F265" s="229"/>
      <c r="G265" s="229"/>
      <c r="H265" s="229"/>
      <c r="I265" s="229"/>
      <c r="J265" s="229">
        <f t="shared" si="104"/>
        <v>0</v>
      </c>
      <c r="K265" s="229"/>
      <c r="L265" s="229"/>
      <c r="M265" s="229"/>
      <c r="N265" s="229">
        <f t="shared" si="105"/>
        <v>0</v>
      </c>
      <c r="O265" s="229">
        <f t="shared" si="106"/>
        <v>0</v>
      </c>
      <c r="P265" s="229">
        <f t="shared" si="107"/>
        <v>0</v>
      </c>
      <c r="Q265" s="229">
        <f t="shared" si="108"/>
        <v>0</v>
      </c>
      <c r="R265" s="229">
        <v>210</v>
      </c>
      <c r="S265" s="229"/>
      <c r="T265" s="228" t="s">
        <v>1764</v>
      </c>
      <c r="U265" s="228"/>
      <c r="V265" s="235"/>
      <c r="W265" s="236"/>
    </row>
    <row r="266" ht="94.5" spans="1:23">
      <c r="A266" s="221">
        <v>262</v>
      </c>
      <c r="B266" s="227" t="s">
        <v>1606</v>
      </c>
      <c r="C266" s="228" t="s">
        <v>1354</v>
      </c>
      <c r="D266" s="248" t="s">
        <v>1755</v>
      </c>
      <c r="E266" s="228" t="s">
        <v>1765</v>
      </c>
      <c r="F266" s="229"/>
      <c r="G266" s="229"/>
      <c r="H266" s="229"/>
      <c r="I266" s="229"/>
      <c r="J266" s="229">
        <f t="shared" si="104"/>
        <v>0</v>
      </c>
      <c r="K266" s="229"/>
      <c r="L266" s="229"/>
      <c r="M266" s="229"/>
      <c r="N266" s="229">
        <f t="shared" si="105"/>
        <v>0</v>
      </c>
      <c r="O266" s="229">
        <f t="shared" si="106"/>
        <v>0</v>
      </c>
      <c r="P266" s="229">
        <f t="shared" si="107"/>
        <v>0</v>
      </c>
      <c r="Q266" s="229">
        <f t="shared" si="108"/>
        <v>0</v>
      </c>
      <c r="R266" s="229">
        <v>190</v>
      </c>
      <c r="S266" s="229"/>
      <c r="T266" s="228" t="s">
        <v>1766</v>
      </c>
      <c r="U266" s="228"/>
      <c r="V266" s="235"/>
      <c r="W266" s="236"/>
    </row>
    <row r="267" ht="50" customHeight="1" spans="1:23">
      <c r="A267" s="221">
        <v>263</v>
      </c>
      <c r="B267" s="227" t="s">
        <v>1606</v>
      </c>
      <c r="C267" s="228" t="s">
        <v>1354</v>
      </c>
      <c r="D267" s="248" t="s">
        <v>1755</v>
      </c>
      <c r="E267" s="228" t="s">
        <v>1767</v>
      </c>
      <c r="F267" s="229"/>
      <c r="G267" s="229"/>
      <c r="H267" s="229"/>
      <c r="I267" s="229"/>
      <c r="J267" s="229">
        <f t="shared" si="104"/>
        <v>0</v>
      </c>
      <c r="K267" s="229"/>
      <c r="L267" s="229"/>
      <c r="M267" s="229"/>
      <c r="N267" s="229">
        <f t="shared" si="105"/>
        <v>0</v>
      </c>
      <c r="O267" s="229">
        <f t="shared" si="106"/>
        <v>0</v>
      </c>
      <c r="P267" s="229">
        <f t="shared" si="107"/>
        <v>0</v>
      </c>
      <c r="Q267" s="229">
        <f t="shared" si="108"/>
        <v>0</v>
      </c>
      <c r="R267" s="229">
        <v>207.36</v>
      </c>
      <c r="S267" s="229"/>
      <c r="T267" s="228" t="s">
        <v>1768</v>
      </c>
      <c r="U267" s="228"/>
      <c r="V267" s="235"/>
      <c r="W267" s="236"/>
    </row>
    <row r="268" ht="108" spans="1:23">
      <c r="A268" s="221">
        <v>264</v>
      </c>
      <c r="B268" s="227" t="s">
        <v>1606</v>
      </c>
      <c r="C268" s="228" t="s">
        <v>1354</v>
      </c>
      <c r="D268" s="248" t="s">
        <v>1755</v>
      </c>
      <c r="E268" s="228" t="s">
        <v>1769</v>
      </c>
      <c r="F268" s="229"/>
      <c r="G268" s="229"/>
      <c r="H268" s="229"/>
      <c r="I268" s="229"/>
      <c r="J268" s="229">
        <f t="shared" si="104"/>
        <v>0</v>
      </c>
      <c r="K268" s="229"/>
      <c r="L268" s="229"/>
      <c r="M268" s="229"/>
      <c r="N268" s="229">
        <f t="shared" si="105"/>
        <v>0</v>
      </c>
      <c r="O268" s="229">
        <f t="shared" si="106"/>
        <v>0</v>
      </c>
      <c r="P268" s="229">
        <f t="shared" si="107"/>
        <v>0</v>
      </c>
      <c r="Q268" s="229">
        <f t="shared" si="108"/>
        <v>0</v>
      </c>
      <c r="R268" s="229">
        <v>42.65</v>
      </c>
      <c r="S268" s="229"/>
      <c r="T268" s="228" t="s">
        <v>1770</v>
      </c>
      <c r="U268" s="228"/>
      <c r="V268" s="235"/>
      <c r="W268" s="236"/>
    </row>
    <row r="269" ht="52" customHeight="1" spans="1:23">
      <c r="A269" s="221">
        <v>265</v>
      </c>
      <c r="B269" s="227" t="s">
        <v>1606</v>
      </c>
      <c r="C269" s="228" t="s">
        <v>1357</v>
      </c>
      <c r="D269" s="248" t="s">
        <v>1755</v>
      </c>
      <c r="E269" s="228" t="s">
        <v>1756</v>
      </c>
      <c r="F269" s="229"/>
      <c r="G269" s="229"/>
      <c r="H269" s="229"/>
      <c r="I269" s="229"/>
      <c r="J269" s="229">
        <f t="shared" si="104"/>
        <v>0</v>
      </c>
      <c r="K269" s="229"/>
      <c r="L269" s="229"/>
      <c r="M269" s="229"/>
      <c r="N269" s="229">
        <f t="shared" si="105"/>
        <v>0</v>
      </c>
      <c r="O269" s="229">
        <f t="shared" si="106"/>
        <v>0</v>
      </c>
      <c r="P269" s="229">
        <f t="shared" si="107"/>
        <v>0</v>
      </c>
      <c r="Q269" s="229">
        <f t="shared" si="108"/>
        <v>0</v>
      </c>
      <c r="R269" s="229">
        <v>280</v>
      </c>
      <c r="S269" s="229"/>
      <c r="T269" s="228" t="s">
        <v>1771</v>
      </c>
      <c r="U269" s="228"/>
      <c r="V269" s="235"/>
      <c r="W269" s="236"/>
    </row>
    <row r="270" ht="21" customHeight="1" spans="1:23">
      <c r="A270" s="221">
        <v>266</v>
      </c>
      <c r="B270" s="222"/>
      <c r="C270" s="223"/>
      <c r="D270" s="224" t="s">
        <v>1772</v>
      </c>
      <c r="E270" s="225"/>
      <c r="F270" s="226">
        <f>SUM(F271)</f>
        <v>20</v>
      </c>
      <c r="G270" s="226">
        <f>SUM(G271)</f>
        <v>0</v>
      </c>
      <c r="H270" s="226">
        <f>SUM(H271)</f>
        <v>20</v>
      </c>
      <c r="I270" s="226">
        <f>SUM(I271)</f>
        <v>0</v>
      </c>
      <c r="J270" s="226">
        <f t="shared" ref="J270:R270" si="109">SUM(J271)</f>
        <v>0</v>
      </c>
      <c r="K270" s="226">
        <f t="shared" si="109"/>
        <v>0</v>
      </c>
      <c r="L270" s="226">
        <f t="shared" si="109"/>
        <v>0</v>
      </c>
      <c r="M270" s="226">
        <f t="shared" si="109"/>
        <v>0</v>
      </c>
      <c r="N270" s="226">
        <f t="shared" si="109"/>
        <v>20</v>
      </c>
      <c r="O270" s="226">
        <f t="shared" si="109"/>
        <v>0</v>
      </c>
      <c r="P270" s="226">
        <f t="shared" si="109"/>
        <v>20</v>
      </c>
      <c r="Q270" s="226">
        <f t="shared" si="109"/>
        <v>0</v>
      </c>
      <c r="R270" s="226">
        <f t="shared" si="109"/>
        <v>0</v>
      </c>
      <c r="S270" s="226"/>
      <c r="T270" s="239"/>
      <c r="U270" s="228"/>
      <c r="V270" s="235"/>
      <c r="W270" s="236"/>
    </row>
    <row r="271" ht="32.15" customHeight="1" spans="1:23">
      <c r="A271" s="221">
        <v>267</v>
      </c>
      <c r="B271" s="227" t="s">
        <v>290</v>
      </c>
      <c r="C271" s="228" t="s">
        <v>705</v>
      </c>
      <c r="D271" s="228" t="s">
        <v>706</v>
      </c>
      <c r="E271" s="228" t="s">
        <v>1773</v>
      </c>
      <c r="F271" s="229">
        <v>20</v>
      </c>
      <c r="G271" s="229"/>
      <c r="H271" s="229">
        <v>20</v>
      </c>
      <c r="I271" s="229"/>
      <c r="J271" s="229">
        <f>SUM(K271:M271)</f>
        <v>0</v>
      </c>
      <c r="K271" s="229"/>
      <c r="L271" s="229"/>
      <c r="M271" s="229"/>
      <c r="N271" s="229">
        <f>SUM(O271:Q271)</f>
        <v>20</v>
      </c>
      <c r="O271" s="229">
        <f t="shared" ref="O271:Q271" si="110">G271+K271</f>
        <v>0</v>
      </c>
      <c r="P271" s="229">
        <f t="shared" si="110"/>
        <v>20</v>
      </c>
      <c r="Q271" s="229">
        <f t="shared" si="110"/>
        <v>0</v>
      </c>
      <c r="R271" s="229"/>
      <c r="S271" s="229">
        <v>20</v>
      </c>
      <c r="T271" s="228"/>
      <c r="U271" s="228" t="s">
        <v>1774</v>
      </c>
      <c r="V271" s="235"/>
      <c r="W271" s="236"/>
    </row>
    <row r="272" ht="21" customHeight="1" spans="1:23">
      <c r="A272" s="221">
        <v>268</v>
      </c>
      <c r="B272" s="222"/>
      <c r="C272" s="223"/>
      <c r="D272" s="224" t="s">
        <v>1775</v>
      </c>
      <c r="E272" s="225"/>
      <c r="F272" s="226">
        <f>SUM(F273:F273)</f>
        <v>50</v>
      </c>
      <c r="G272" s="226">
        <f t="shared" ref="G272:R272" si="111">SUM(G273:G273)</f>
        <v>0</v>
      </c>
      <c r="H272" s="226">
        <f t="shared" si="111"/>
        <v>50</v>
      </c>
      <c r="I272" s="226">
        <f t="shared" si="111"/>
        <v>0</v>
      </c>
      <c r="J272" s="226">
        <f t="shared" si="111"/>
        <v>-50</v>
      </c>
      <c r="K272" s="226">
        <f t="shared" si="111"/>
        <v>0</v>
      </c>
      <c r="L272" s="226">
        <f t="shared" si="111"/>
        <v>-50</v>
      </c>
      <c r="M272" s="226">
        <f t="shared" si="111"/>
        <v>0</v>
      </c>
      <c r="N272" s="226">
        <f t="shared" si="111"/>
        <v>0</v>
      </c>
      <c r="O272" s="226">
        <f t="shared" si="111"/>
        <v>0</v>
      </c>
      <c r="P272" s="226">
        <f t="shared" si="111"/>
        <v>0</v>
      </c>
      <c r="Q272" s="226">
        <f t="shared" si="111"/>
        <v>0</v>
      </c>
      <c r="R272" s="226">
        <f t="shared" si="111"/>
        <v>0</v>
      </c>
      <c r="S272" s="226"/>
      <c r="T272" s="239"/>
      <c r="U272" s="228"/>
      <c r="V272" s="235"/>
      <c r="W272" s="236"/>
    </row>
    <row r="273" ht="32.15" customHeight="1" spans="1:23">
      <c r="A273" s="221">
        <v>269</v>
      </c>
      <c r="B273" s="227" t="s">
        <v>221</v>
      </c>
      <c r="C273" s="228" t="s">
        <v>313</v>
      </c>
      <c r="D273" s="228" t="s">
        <v>1202</v>
      </c>
      <c r="E273" s="228" t="s">
        <v>1776</v>
      </c>
      <c r="F273" s="229">
        <v>50</v>
      </c>
      <c r="G273" s="229"/>
      <c r="H273" s="229">
        <v>50</v>
      </c>
      <c r="I273" s="229"/>
      <c r="J273" s="229">
        <f>SUM(K273:M273)</f>
        <v>-50</v>
      </c>
      <c r="K273" s="229"/>
      <c r="L273" s="229">
        <v>-50</v>
      </c>
      <c r="M273" s="229"/>
      <c r="N273" s="229">
        <f>SUM(O273:Q273)</f>
        <v>0</v>
      </c>
      <c r="O273" s="229">
        <f t="shared" ref="O273:Q273" si="112">G273+K273</f>
        <v>0</v>
      </c>
      <c r="P273" s="229">
        <f t="shared" si="112"/>
        <v>0</v>
      </c>
      <c r="Q273" s="229">
        <f t="shared" si="112"/>
        <v>0</v>
      </c>
      <c r="R273" s="229"/>
      <c r="S273" s="229"/>
      <c r="T273" s="228" t="s">
        <v>1777</v>
      </c>
      <c r="U273" s="228" t="s">
        <v>1778</v>
      </c>
      <c r="V273" s="235"/>
      <c r="W273" s="236"/>
    </row>
    <row r="274" ht="21" customHeight="1" spans="1:23">
      <c r="A274" s="221">
        <v>270</v>
      </c>
      <c r="B274" s="222"/>
      <c r="C274" s="223"/>
      <c r="D274" s="224" t="s">
        <v>1779</v>
      </c>
      <c r="E274" s="225"/>
      <c r="F274" s="226">
        <f>SUM(F275:F280)</f>
        <v>59.37</v>
      </c>
      <c r="G274" s="226">
        <f t="shared" ref="G274:R274" si="113">SUM(G275:G280)</f>
        <v>14.37</v>
      </c>
      <c r="H274" s="226">
        <f t="shared" si="113"/>
        <v>0</v>
      </c>
      <c r="I274" s="226">
        <f t="shared" si="113"/>
        <v>45</v>
      </c>
      <c r="J274" s="226">
        <f t="shared" si="113"/>
        <v>6.88</v>
      </c>
      <c r="K274" s="226">
        <f t="shared" si="113"/>
        <v>6.88</v>
      </c>
      <c r="L274" s="226">
        <f t="shared" si="113"/>
        <v>0</v>
      </c>
      <c r="M274" s="226">
        <f t="shared" si="113"/>
        <v>0</v>
      </c>
      <c r="N274" s="226">
        <f t="shared" si="113"/>
        <v>66.25</v>
      </c>
      <c r="O274" s="226">
        <f t="shared" si="113"/>
        <v>21.25</v>
      </c>
      <c r="P274" s="226">
        <f t="shared" si="113"/>
        <v>0</v>
      </c>
      <c r="Q274" s="226">
        <f t="shared" si="113"/>
        <v>45</v>
      </c>
      <c r="R274" s="226">
        <f t="shared" si="113"/>
        <v>0</v>
      </c>
      <c r="S274" s="226"/>
      <c r="T274" s="239"/>
      <c r="U274" s="228"/>
      <c r="V274" s="235"/>
      <c r="W274" s="236"/>
    </row>
    <row r="275" ht="27" spans="1:23">
      <c r="A275" s="221">
        <v>271</v>
      </c>
      <c r="B275" s="227" t="s">
        <v>665</v>
      </c>
      <c r="C275" s="228" t="s">
        <v>709</v>
      </c>
      <c r="D275" s="228" t="s">
        <v>1780</v>
      </c>
      <c r="E275" s="228" t="s">
        <v>1781</v>
      </c>
      <c r="F275" s="229">
        <v>5</v>
      </c>
      <c r="G275" s="229"/>
      <c r="H275" s="229"/>
      <c r="I275" s="229">
        <v>5</v>
      </c>
      <c r="J275" s="229">
        <f t="shared" ref="J274:J280" si="114">SUM(K275:M275)</f>
        <v>0</v>
      </c>
      <c r="K275" s="229"/>
      <c r="L275" s="229"/>
      <c r="M275" s="229"/>
      <c r="N275" s="229">
        <f t="shared" ref="N275:N280" si="115">SUM(O275:Q275)</f>
        <v>5</v>
      </c>
      <c r="O275" s="229">
        <f t="shared" ref="O275:Q275" si="116">G275+K275</f>
        <v>0</v>
      </c>
      <c r="P275" s="229">
        <f t="shared" si="116"/>
        <v>0</v>
      </c>
      <c r="Q275" s="229">
        <f t="shared" si="116"/>
        <v>5</v>
      </c>
      <c r="R275" s="229"/>
      <c r="S275" s="229"/>
      <c r="T275" s="228"/>
      <c r="U275" s="228" t="s">
        <v>1782</v>
      </c>
      <c r="V275" s="235"/>
      <c r="W275" s="236"/>
    </row>
    <row r="276" ht="31" customHeight="1" spans="1:23">
      <c r="A276" s="221">
        <v>272</v>
      </c>
      <c r="B276" s="227" t="s">
        <v>665</v>
      </c>
      <c r="C276" s="228" t="s">
        <v>709</v>
      </c>
      <c r="D276" s="228" t="s">
        <v>1783</v>
      </c>
      <c r="E276" s="228" t="s">
        <v>1784</v>
      </c>
      <c r="F276" s="229">
        <v>40</v>
      </c>
      <c r="G276" s="229"/>
      <c r="H276" s="229"/>
      <c r="I276" s="229">
        <v>40</v>
      </c>
      <c r="J276" s="229">
        <f t="shared" si="114"/>
        <v>0</v>
      </c>
      <c r="K276" s="229"/>
      <c r="L276" s="229"/>
      <c r="M276" s="229"/>
      <c r="N276" s="229">
        <f t="shared" si="115"/>
        <v>40</v>
      </c>
      <c r="O276" s="229">
        <f t="shared" ref="O276:Q276" si="117">G276+K276</f>
        <v>0</v>
      </c>
      <c r="P276" s="229">
        <f t="shared" si="117"/>
        <v>0</v>
      </c>
      <c r="Q276" s="229">
        <f t="shared" si="117"/>
        <v>40</v>
      </c>
      <c r="R276" s="229"/>
      <c r="S276" s="229"/>
      <c r="T276" s="228"/>
      <c r="U276" s="228" t="s">
        <v>1785</v>
      </c>
      <c r="V276" s="235"/>
      <c r="W276" s="236"/>
    </row>
    <row r="277" ht="31" customHeight="1" spans="1:23">
      <c r="A277" s="221">
        <v>273</v>
      </c>
      <c r="B277" s="227" t="s">
        <v>665</v>
      </c>
      <c r="C277" s="228" t="s">
        <v>709</v>
      </c>
      <c r="D277" s="228" t="s">
        <v>721</v>
      </c>
      <c r="E277" s="228" t="s">
        <v>1786</v>
      </c>
      <c r="F277" s="229">
        <v>14.37</v>
      </c>
      <c r="G277" s="229">
        <v>14.37</v>
      </c>
      <c r="H277" s="229"/>
      <c r="I277" s="229"/>
      <c r="J277" s="229">
        <f t="shared" si="114"/>
        <v>0</v>
      </c>
      <c r="K277" s="229"/>
      <c r="L277" s="229"/>
      <c r="M277" s="229"/>
      <c r="N277" s="229">
        <f t="shared" si="115"/>
        <v>14.37</v>
      </c>
      <c r="O277" s="229">
        <f t="shared" ref="O277:Q277" si="118">G277+K277</f>
        <v>14.37</v>
      </c>
      <c r="P277" s="229">
        <f t="shared" si="118"/>
        <v>0</v>
      </c>
      <c r="Q277" s="229">
        <f t="shared" si="118"/>
        <v>0</v>
      </c>
      <c r="R277" s="229"/>
      <c r="S277" s="229"/>
      <c r="T277" s="228"/>
      <c r="U277" s="228" t="s">
        <v>1787</v>
      </c>
      <c r="V277" s="235"/>
      <c r="W277" s="236"/>
    </row>
    <row r="278" ht="31" customHeight="1" spans="1:23">
      <c r="A278" s="221">
        <v>274</v>
      </c>
      <c r="B278" s="227" t="s">
        <v>665</v>
      </c>
      <c r="C278" s="228" t="s">
        <v>709</v>
      </c>
      <c r="D278" s="228" t="s">
        <v>721</v>
      </c>
      <c r="E278" s="228" t="s">
        <v>1788</v>
      </c>
      <c r="F278" s="229"/>
      <c r="G278" s="229"/>
      <c r="H278" s="229"/>
      <c r="I278" s="229"/>
      <c r="J278" s="229">
        <f t="shared" si="114"/>
        <v>2</v>
      </c>
      <c r="K278" s="229">
        <v>2</v>
      </c>
      <c r="L278" s="229"/>
      <c r="M278" s="229"/>
      <c r="N278" s="229">
        <f t="shared" si="115"/>
        <v>2</v>
      </c>
      <c r="O278" s="229">
        <f t="shared" ref="O278:Q280" si="119">G278+K278</f>
        <v>2</v>
      </c>
      <c r="P278" s="229">
        <f t="shared" si="119"/>
        <v>0</v>
      </c>
      <c r="Q278" s="229">
        <f t="shared" si="119"/>
        <v>0</v>
      </c>
      <c r="R278" s="229"/>
      <c r="S278" s="229"/>
      <c r="T278" s="228" t="s">
        <v>1789</v>
      </c>
      <c r="U278" s="228"/>
      <c r="V278" s="235"/>
      <c r="W278" s="236"/>
    </row>
    <row r="279" ht="31" customHeight="1" spans="1:23">
      <c r="A279" s="221">
        <v>275</v>
      </c>
      <c r="B279" s="227" t="s">
        <v>665</v>
      </c>
      <c r="C279" s="228" t="s">
        <v>709</v>
      </c>
      <c r="D279" s="228" t="s">
        <v>721</v>
      </c>
      <c r="E279" s="228" t="s">
        <v>1790</v>
      </c>
      <c r="F279" s="229"/>
      <c r="G279" s="229"/>
      <c r="H279" s="229"/>
      <c r="I279" s="229"/>
      <c r="J279" s="229">
        <f t="shared" si="114"/>
        <v>4.88</v>
      </c>
      <c r="K279" s="229">
        <v>4.88</v>
      </c>
      <c r="L279" s="229"/>
      <c r="M279" s="229"/>
      <c r="N279" s="229">
        <f t="shared" si="115"/>
        <v>4.88</v>
      </c>
      <c r="O279" s="229">
        <f t="shared" si="119"/>
        <v>4.88</v>
      </c>
      <c r="P279" s="229">
        <f t="shared" si="119"/>
        <v>0</v>
      </c>
      <c r="Q279" s="229">
        <f t="shared" si="119"/>
        <v>0</v>
      </c>
      <c r="R279" s="229"/>
      <c r="S279" s="229"/>
      <c r="T279" s="228" t="s">
        <v>1789</v>
      </c>
      <c r="U279" s="228"/>
      <c r="V279" s="235"/>
      <c r="W279" s="236"/>
    </row>
    <row r="280" ht="31" customHeight="1" spans="1:23">
      <c r="A280" s="221">
        <v>276</v>
      </c>
      <c r="B280" s="227" t="s">
        <v>665</v>
      </c>
      <c r="C280" s="228" t="s">
        <v>709</v>
      </c>
      <c r="D280" s="228" t="s">
        <v>1791</v>
      </c>
      <c r="E280" s="228" t="s">
        <v>1792</v>
      </c>
      <c r="F280" s="229"/>
      <c r="G280" s="229"/>
      <c r="H280" s="229"/>
      <c r="I280" s="229"/>
      <c r="J280" s="229">
        <f t="shared" si="114"/>
        <v>0</v>
      </c>
      <c r="K280" s="229"/>
      <c r="L280" s="229"/>
      <c r="M280" s="229"/>
      <c r="N280" s="229">
        <f t="shared" si="115"/>
        <v>0</v>
      </c>
      <c r="O280" s="229">
        <f t="shared" si="119"/>
        <v>0</v>
      </c>
      <c r="P280" s="229">
        <f t="shared" si="119"/>
        <v>0</v>
      </c>
      <c r="Q280" s="229">
        <f t="shared" si="119"/>
        <v>0</v>
      </c>
      <c r="R280" s="229"/>
      <c r="S280" s="229">
        <v>26.17</v>
      </c>
      <c r="T280" s="228"/>
      <c r="U280" s="228"/>
      <c r="V280" s="235"/>
      <c r="W280" s="236">
        <v>26.17</v>
      </c>
    </row>
    <row r="281" ht="24" customHeight="1" spans="1:23">
      <c r="A281" s="221">
        <v>277</v>
      </c>
      <c r="B281" s="222"/>
      <c r="C281" s="223"/>
      <c r="D281" s="224" t="s">
        <v>1793</v>
      </c>
      <c r="E281" s="225"/>
      <c r="F281" s="226">
        <f>SUM(F282:F283)</f>
        <v>275</v>
      </c>
      <c r="G281" s="226">
        <f t="shared" ref="G281:R281" si="120">SUM(G282:G283)</f>
        <v>275</v>
      </c>
      <c r="H281" s="226">
        <f t="shared" si="120"/>
        <v>0</v>
      </c>
      <c r="I281" s="226">
        <f t="shared" si="120"/>
        <v>0</v>
      </c>
      <c r="J281" s="226">
        <f t="shared" si="120"/>
        <v>132</v>
      </c>
      <c r="K281" s="226">
        <f t="shared" si="120"/>
        <v>0</v>
      </c>
      <c r="L281" s="226">
        <f t="shared" si="120"/>
        <v>132</v>
      </c>
      <c r="M281" s="226">
        <f t="shared" si="120"/>
        <v>0</v>
      </c>
      <c r="N281" s="226">
        <f t="shared" si="120"/>
        <v>407</v>
      </c>
      <c r="O281" s="226">
        <f t="shared" si="120"/>
        <v>275</v>
      </c>
      <c r="P281" s="226">
        <f t="shared" si="120"/>
        <v>132</v>
      </c>
      <c r="Q281" s="226">
        <f t="shared" si="120"/>
        <v>0</v>
      </c>
      <c r="R281" s="226">
        <f t="shared" si="120"/>
        <v>0</v>
      </c>
      <c r="S281" s="226"/>
      <c r="T281" s="239"/>
      <c r="U281" s="228"/>
      <c r="V281" s="235"/>
      <c r="W281" s="236"/>
    </row>
    <row r="282" ht="27" customHeight="1" spans="1:23">
      <c r="A282" s="221">
        <v>278</v>
      </c>
      <c r="B282" s="227" t="s">
        <v>290</v>
      </c>
      <c r="C282" s="228" t="s">
        <v>1794</v>
      </c>
      <c r="D282" s="228" t="s">
        <v>1795</v>
      </c>
      <c r="E282" s="228" t="s">
        <v>1796</v>
      </c>
      <c r="F282" s="229">
        <v>275</v>
      </c>
      <c r="G282" s="229">
        <v>275</v>
      </c>
      <c r="H282" s="229"/>
      <c r="I282" s="229"/>
      <c r="J282" s="229">
        <f>SUM(K282:M282)</f>
        <v>0</v>
      </c>
      <c r="K282" s="229"/>
      <c r="L282" s="229"/>
      <c r="M282" s="229"/>
      <c r="N282" s="229">
        <f>SUM(O282:Q282)</f>
        <v>275</v>
      </c>
      <c r="O282" s="229">
        <f t="shared" ref="O282:Q282" si="121">G282+K282</f>
        <v>275</v>
      </c>
      <c r="P282" s="229">
        <f t="shared" si="121"/>
        <v>0</v>
      </c>
      <c r="Q282" s="229">
        <f t="shared" si="121"/>
        <v>0</v>
      </c>
      <c r="R282" s="229"/>
      <c r="S282" s="229">
        <v>275</v>
      </c>
      <c r="T282" s="228"/>
      <c r="U282" s="228"/>
      <c r="V282" s="235"/>
      <c r="W282" s="236"/>
    </row>
    <row r="283" ht="27" customHeight="1" spans="1:23">
      <c r="A283" s="221">
        <v>279</v>
      </c>
      <c r="B283" s="227" t="s">
        <v>290</v>
      </c>
      <c r="C283" s="228" t="s">
        <v>1538</v>
      </c>
      <c r="D283" s="228" t="s">
        <v>1797</v>
      </c>
      <c r="E283" s="228" t="s">
        <v>1798</v>
      </c>
      <c r="F283" s="229"/>
      <c r="G283" s="229"/>
      <c r="H283" s="229"/>
      <c r="I283" s="229"/>
      <c r="J283" s="229">
        <f>SUM(K283:M283)</f>
        <v>132</v>
      </c>
      <c r="K283" s="229"/>
      <c r="L283" s="229">
        <v>132</v>
      </c>
      <c r="M283" s="229"/>
      <c r="N283" s="229">
        <f>SUM(O283:Q283)</f>
        <v>132</v>
      </c>
      <c r="O283" s="229">
        <f>G283+K283</f>
        <v>0</v>
      </c>
      <c r="P283" s="229">
        <f>H283+L283</f>
        <v>132</v>
      </c>
      <c r="Q283" s="229">
        <f>I283+M283</f>
        <v>0</v>
      </c>
      <c r="R283" s="229"/>
      <c r="S283" s="229"/>
      <c r="T283" s="228" t="s">
        <v>1799</v>
      </c>
      <c r="U283" s="228"/>
      <c r="V283" s="235"/>
      <c r="W283" s="236"/>
    </row>
    <row r="284" ht="21" customHeight="1" spans="1:23">
      <c r="A284" s="221">
        <v>280</v>
      </c>
      <c r="B284" s="222"/>
      <c r="C284" s="223"/>
      <c r="D284" s="224" t="s">
        <v>1800</v>
      </c>
      <c r="E284" s="225"/>
      <c r="F284" s="226">
        <f>SUM(F285:F302)</f>
        <v>946.5</v>
      </c>
      <c r="G284" s="226">
        <f t="shared" ref="G284:R284" si="122">SUM(G285:G302)</f>
        <v>700</v>
      </c>
      <c r="H284" s="226">
        <f t="shared" si="122"/>
        <v>10</v>
      </c>
      <c r="I284" s="226">
        <f t="shared" si="122"/>
        <v>236.5</v>
      </c>
      <c r="J284" s="226">
        <f t="shared" si="122"/>
        <v>-157.5905</v>
      </c>
      <c r="K284" s="226">
        <f t="shared" si="122"/>
        <v>39.4295</v>
      </c>
      <c r="L284" s="226">
        <f t="shared" si="122"/>
        <v>0</v>
      </c>
      <c r="M284" s="226">
        <f t="shared" si="122"/>
        <v>-197.02</v>
      </c>
      <c r="N284" s="226">
        <f t="shared" si="122"/>
        <v>788.9095</v>
      </c>
      <c r="O284" s="226">
        <f t="shared" si="122"/>
        <v>739.4295</v>
      </c>
      <c r="P284" s="226">
        <f t="shared" si="122"/>
        <v>10</v>
      </c>
      <c r="Q284" s="226">
        <f t="shared" si="122"/>
        <v>39.48</v>
      </c>
      <c r="R284" s="226">
        <f t="shared" si="122"/>
        <v>342</v>
      </c>
      <c r="S284" s="226"/>
      <c r="T284" s="239"/>
      <c r="U284" s="228"/>
      <c r="V284" s="235"/>
      <c r="W284" s="236"/>
    </row>
    <row r="285" ht="27.95" customHeight="1" spans="1:23">
      <c r="A285" s="221">
        <v>281</v>
      </c>
      <c r="B285" s="227" t="s">
        <v>290</v>
      </c>
      <c r="C285" s="228" t="s">
        <v>724</v>
      </c>
      <c r="D285" s="228" t="s">
        <v>1801</v>
      </c>
      <c r="E285" s="228" t="s">
        <v>1802</v>
      </c>
      <c r="F285" s="229">
        <v>350</v>
      </c>
      <c r="G285" s="229">
        <v>350</v>
      </c>
      <c r="H285" s="229"/>
      <c r="I285" s="229"/>
      <c r="J285" s="229">
        <f t="shared" ref="J285:J290" si="123">SUM(K285:M285)</f>
        <v>-350</v>
      </c>
      <c r="K285" s="229">
        <v>-350</v>
      </c>
      <c r="L285" s="229"/>
      <c r="M285" s="229"/>
      <c r="N285" s="229">
        <f t="shared" ref="N285:N290" si="124">SUM(O285:Q285)</f>
        <v>0</v>
      </c>
      <c r="O285" s="229">
        <f t="shared" ref="O285:O290" si="125">G285+K285</f>
        <v>0</v>
      </c>
      <c r="P285" s="229">
        <f t="shared" ref="P285:P290" si="126">H285+L285</f>
        <v>0</v>
      </c>
      <c r="Q285" s="229">
        <f t="shared" ref="Q285:Q290" si="127">I285+M285</f>
        <v>0</v>
      </c>
      <c r="R285" s="229">
        <v>50</v>
      </c>
      <c r="S285" s="229">
        <v>45.46444</v>
      </c>
      <c r="T285" s="228"/>
      <c r="U285" s="228" t="s">
        <v>1803</v>
      </c>
      <c r="V285" s="235">
        <v>-300</v>
      </c>
      <c r="W285" s="236"/>
    </row>
    <row r="286" ht="27" spans="1:23">
      <c r="A286" s="221">
        <v>282</v>
      </c>
      <c r="B286" s="227" t="s">
        <v>290</v>
      </c>
      <c r="C286" s="228" t="s">
        <v>724</v>
      </c>
      <c r="D286" s="228" t="s">
        <v>1804</v>
      </c>
      <c r="E286" s="228" t="s">
        <v>1805</v>
      </c>
      <c r="F286" s="229">
        <v>10</v>
      </c>
      <c r="G286" s="229">
        <v>10</v>
      </c>
      <c r="H286" s="229"/>
      <c r="I286" s="229"/>
      <c r="J286" s="229">
        <f t="shared" si="123"/>
        <v>0</v>
      </c>
      <c r="K286" s="229"/>
      <c r="L286" s="229"/>
      <c r="M286" s="229"/>
      <c r="N286" s="229">
        <f t="shared" si="124"/>
        <v>10</v>
      </c>
      <c r="O286" s="229">
        <f t="shared" si="125"/>
        <v>10</v>
      </c>
      <c r="P286" s="229">
        <f t="shared" si="126"/>
        <v>0</v>
      </c>
      <c r="Q286" s="229">
        <f t="shared" si="127"/>
        <v>0</v>
      </c>
      <c r="R286" s="229"/>
      <c r="S286" s="229"/>
      <c r="T286" s="228"/>
      <c r="U286" s="228" t="s">
        <v>1806</v>
      </c>
      <c r="V286" s="235"/>
      <c r="W286" s="236"/>
    </row>
    <row r="287" ht="40.5" spans="1:23">
      <c r="A287" s="221">
        <v>283</v>
      </c>
      <c r="B287" s="227" t="s">
        <v>290</v>
      </c>
      <c r="C287" s="228" t="s">
        <v>724</v>
      </c>
      <c r="D287" s="228" t="s">
        <v>1804</v>
      </c>
      <c r="E287" s="228" t="s">
        <v>1807</v>
      </c>
      <c r="F287" s="229">
        <v>300</v>
      </c>
      <c r="G287" s="229">
        <v>300</v>
      </c>
      <c r="H287" s="229"/>
      <c r="I287" s="229"/>
      <c r="J287" s="229">
        <f t="shared" si="123"/>
        <v>0</v>
      </c>
      <c r="K287" s="229"/>
      <c r="L287" s="229"/>
      <c r="M287" s="229"/>
      <c r="N287" s="229">
        <f t="shared" si="124"/>
        <v>300</v>
      </c>
      <c r="O287" s="229">
        <f t="shared" si="125"/>
        <v>300</v>
      </c>
      <c r="P287" s="229">
        <f t="shared" si="126"/>
        <v>0</v>
      </c>
      <c r="Q287" s="229">
        <f t="shared" si="127"/>
        <v>0</v>
      </c>
      <c r="R287" s="229"/>
      <c r="S287" s="229"/>
      <c r="T287" s="228"/>
      <c r="U287" s="228" t="s">
        <v>1808</v>
      </c>
      <c r="V287" s="235"/>
      <c r="W287" s="236"/>
    </row>
    <row r="288" ht="34" customHeight="1" spans="1:23">
      <c r="A288" s="221">
        <v>284</v>
      </c>
      <c r="B288" s="227" t="s">
        <v>290</v>
      </c>
      <c r="C288" s="228" t="s">
        <v>724</v>
      </c>
      <c r="D288" s="228" t="s">
        <v>1809</v>
      </c>
      <c r="E288" s="228" t="s">
        <v>1810</v>
      </c>
      <c r="F288" s="229"/>
      <c r="G288" s="229"/>
      <c r="H288" s="229"/>
      <c r="I288" s="229"/>
      <c r="J288" s="229">
        <f t="shared" si="123"/>
        <v>22</v>
      </c>
      <c r="K288" s="229">
        <v>22</v>
      </c>
      <c r="L288" s="229"/>
      <c r="M288" s="229"/>
      <c r="N288" s="229">
        <f t="shared" si="124"/>
        <v>22</v>
      </c>
      <c r="O288" s="229">
        <f t="shared" si="125"/>
        <v>22</v>
      </c>
      <c r="P288" s="229">
        <f t="shared" si="126"/>
        <v>0</v>
      </c>
      <c r="Q288" s="229">
        <f t="shared" si="127"/>
        <v>0</v>
      </c>
      <c r="R288" s="229"/>
      <c r="S288" s="229"/>
      <c r="T288" s="228" t="s">
        <v>1811</v>
      </c>
      <c r="U288" s="228"/>
      <c r="V288" s="235"/>
      <c r="W288" s="236"/>
    </row>
    <row r="289" ht="32" customHeight="1" spans="1:23">
      <c r="A289" s="221">
        <v>285</v>
      </c>
      <c r="B289" s="227" t="s">
        <v>195</v>
      </c>
      <c r="C289" s="228" t="s">
        <v>1812</v>
      </c>
      <c r="D289" s="228" t="s">
        <v>1813</v>
      </c>
      <c r="E289" s="228" t="s">
        <v>1814</v>
      </c>
      <c r="F289" s="229"/>
      <c r="G289" s="229"/>
      <c r="H289" s="229"/>
      <c r="I289" s="229"/>
      <c r="J289" s="229">
        <f t="shared" si="123"/>
        <v>0</v>
      </c>
      <c r="K289" s="229"/>
      <c r="L289" s="229"/>
      <c r="M289" s="229"/>
      <c r="N289" s="229">
        <f t="shared" si="124"/>
        <v>0</v>
      </c>
      <c r="O289" s="229">
        <f t="shared" si="125"/>
        <v>0</v>
      </c>
      <c r="P289" s="229">
        <f t="shared" si="126"/>
        <v>0</v>
      </c>
      <c r="Q289" s="229">
        <f t="shared" si="127"/>
        <v>0</v>
      </c>
      <c r="R289" s="229"/>
      <c r="S289" s="229">
        <v>40</v>
      </c>
      <c r="T289" s="228"/>
      <c r="U289" s="228"/>
      <c r="V289" s="235"/>
      <c r="W289" s="236">
        <v>40</v>
      </c>
    </row>
    <row r="290" ht="34" customHeight="1" spans="1:23">
      <c r="A290" s="221">
        <v>286</v>
      </c>
      <c r="B290" s="227" t="s">
        <v>195</v>
      </c>
      <c r="C290" s="228" t="s">
        <v>1812</v>
      </c>
      <c r="D290" s="228" t="s">
        <v>1815</v>
      </c>
      <c r="E290" s="228" t="s">
        <v>1816</v>
      </c>
      <c r="F290" s="229"/>
      <c r="G290" s="229"/>
      <c r="H290" s="229"/>
      <c r="I290" s="229"/>
      <c r="J290" s="229">
        <f t="shared" si="123"/>
        <v>0</v>
      </c>
      <c r="K290" s="229"/>
      <c r="L290" s="229"/>
      <c r="M290" s="229"/>
      <c r="N290" s="229">
        <f t="shared" si="124"/>
        <v>0</v>
      </c>
      <c r="O290" s="229">
        <f t="shared" si="125"/>
        <v>0</v>
      </c>
      <c r="P290" s="229">
        <f t="shared" si="126"/>
        <v>0</v>
      </c>
      <c r="Q290" s="229">
        <f t="shared" si="127"/>
        <v>0</v>
      </c>
      <c r="R290" s="229">
        <v>59</v>
      </c>
      <c r="S290" s="229"/>
      <c r="T290" s="228" t="s">
        <v>1817</v>
      </c>
      <c r="U290" s="228"/>
      <c r="V290" s="235"/>
      <c r="W290" s="236"/>
    </row>
    <row r="291" ht="42" customHeight="1" spans="1:23">
      <c r="A291" s="221">
        <v>287</v>
      </c>
      <c r="B291" s="227" t="s">
        <v>290</v>
      </c>
      <c r="C291" s="228" t="s">
        <v>724</v>
      </c>
      <c r="D291" s="228" t="s">
        <v>1818</v>
      </c>
      <c r="E291" s="228" t="s">
        <v>1819</v>
      </c>
      <c r="F291" s="229">
        <v>30</v>
      </c>
      <c r="G291" s="229">
        <v>30</v>
      </c>
      <c r="H291" s="229"/>
      <c r="I291" s="229"/>
      <c r="J291" s="229">
        <f t="shared" ref="J291:J302" si="128">SUM(K291:M291)</f>
        <v>-30</v>
      </c>
      <c r="K291" s="229">
        <v>-30</v>
      </c>
      <c r="L291" s="229"/>
      <c r="M291" s="229"/>
      <c r="N291" s="229">
        <f t="shared" ref="N291:N302" si="129">SUM(O291:Q291)</f>
        <v>0</v>
      </c>
      <c r="O291" s="229">
        <f t="shared" ref="O291:O302" si="130">G291+K291</f>
        <v>0</v>
      </c>
      <c r="P291" s="229">
        <f t="shared" ref="P291:P302" si="131">H291+L291</f>
        <v>0</v>
      </c>
      <c r="Q291" s="229">
        <f t="shared" ref="Q291:Q302" si="132">I291+M291</f>
        <v>0</v>
      </c>
      <c r="R291" s="229">
        <v>30</v>
      </c>
      <c r="S291" s="229"/>
      <c r="T291" s="228"/>
      <c r="U291" s="228" t="s">
        <v>1820</v>
      </c>
      <c r="V291" s="235"/>
      <c r="W291" s="236"/>
    </row>
    <row r="292" ht="27" spans="1:23">
      <c r="A292" s="221">
        <v>288</v>
      </c>
      <c r="B292" s="227" t="s">
        <v>290</v>
      </c>
      <c r="C292" s="228" t="s">
        <v>724</v>
      </c>
      <c r="D292" s="228" t="s">
        <v>1818</v>
      </c>
      <c r="E292" s="228" t="s">
        <v>1821</v>
      </c>
      <c r="F292" s="229">
        <v>10</v>
      </c>
      <c r="G292" s="229">
        <v>10</v>
      </c>
      <c r="H292" s="229"/>
      <c r="I292" s="229"/>
      <c r="J292" s="229">
        <f t="shared" si="128"/>
        <v>-10</v>
      </c>
      <c r="K292" s="229">
        <v>-10</v>
      </c>
      <c r="L292" s="229"/>
      <c r="M292" s="229"/>
      <c r="N292" s="229">
        <f t="shared" si="129"/>
        <v>0</v>
      </c>
      <c r="O292" s="229">
        <f t="shared" si="130"/>
        <v>0</v>
      </c>
      <c r="P292" s="229">
        <f t="shared" si="131"/>
        <v>0</v>
      </c>
      <c r="Q292" s="229">
        <f t="shared" si="132"/>
        <v>0</v>
      </c>
      <c r="R292" s="229">
        <v>10</v>
      </c>
      <c r="S292" s="229"/>
      <c r="T292" s="228"/>
      <c r="U292" s="228" t="s">
        <v>1822</v>
      </c>
      <c r="V292" s="235"/>
      <c r="W292" s="236"/>
    </row>
    <row r="293" ht="37" customHeight="1" spans="1:23">
      <c r="A293" s="221">
        <v>289</v>
      </c>
      <c r="B293" s="227" t="s">
        <v>290</v>
      </c>
      <c r="C293" s="228" t="s">
        <v>724</v>
      </c>
      <c r="D293" s="228" t="s">
        <v>1818</v>
      </c>
      <c r="E293" s="228" t="s">
        <v>1823</v>
      </c>
      <c r="F293" s="229">
        <v>60</v>
      </c>
      <c r="G293" s="229"/>
      <c r="H293" s="229"/>
      <c r="I293" s="229">
        <v>60</v>
      </c>
      <c r="J293" s="229">
        <f t="shared" si="128"/>
        <v>-60</v>
      </c>
      <c r="K293" s="229"/>
      <c r="L293" s="229"/>
      <c r="M293" s="229">
        <v>-60</v>
      </c>
      <c r="N293" s="229">
        <f t="shared" si="129"/>
        <v>0</v>
      </c>
      <c r="O293" s="229">
        <f t="shared" si="130"/>
        <v>0</v>
      </c>
      <c r="P293" s="229">
        <f t="shared" si="131"/>
        <v>0</v>
      </c>
      <c r="Q293" s="229">
        <f t="shared" si="132"/>
        <v>0</v>
      </c>
      <c r="R293" s="229">
        <v>60</v>
      </c>
      <c r="S293" s="229">
        <v>14.79948</v>
      </c>
      <c r="T293" s="228"/>
      <c r="U293" s="228" t="s">
        <v>1824</v>
      </c>
      <c r="V293" s="235"/>
      <c r="W293" s="236"/>
    </row>
    <row r="294" ht="27" spans="1:23">
      <c r="A294" s="221">
        <v>290</v>
      </c>
      <c r="B294" s="227" t="s">
        <v>290</v>
      </c>
      <c r="C294" s="228" t="s">
        <v>724</v>
      </c>
      <c r="D294" s="228" t="s">
        <v>1818</v>
      </c>
      <c r="E294" s="228" t="s">
        <v>1825</v>
      </c>
      <c r="F294" s="229">
        <v>70</v>
      </c>
      <c r="G294" s="229"/>
      <c r="H294" s="229"/>
      <c r="I294" s="229">
        <v>70</v>
      </c>
      <c r="J294" s="229">
        <f t="shared" si="128"/>
        <v>-70</v>
      </c>
      <c r="K294" s="229"/>
      <c r="L294" s="229"/>
      <c r="M294" s="229">
        <v>-70</v>
      </c>
      <c r="N294" s="229">
        <f t="shared" si="129"/>
        <v>0</v>
      </c>
      <c r="O294" s="229">
        <f t="shared" si="130"/>
        <v>0</v>
      </c>
      <c r="P294" s="229">
        <f t="shared" si="131"/>
        <v>0</v>
      </c>
      <c r="Q294" s="229">
        <f t="shared" si="132"/>
        <v>0</v>
      </c>
      <c r="R294" s="229">
        <v>70</v>
      </c>
      <c r="S294" s="229">
        <v>16.41</v>
      </c>
      <c r="T294" s="228"/>
      <c r="U294" s="228" t="s">
        <v>1826</v>
      </c>
      <c r="V294" s="235"/>
      <c r="W294" s="236"/>
    </row>
    <row r="295" ht="54" customHeight="1" spans="1:23">
      <c r="A295" s="221">
        <v>291</v>
      </c>
      <c r="B295" s="227" t="s">
        <v>290</v>
      </c>
      <c r="C295" s="228" t="s">
        <v>724</v>
      </c>
      <c r="D295" s="228" t="s">
        <v>1827</v>
      </c>
      <c r="E295" s="228" t="s">
        <v>1828</v>
      </c>
      <c r="F295" s="229">
        <v>63</v>
      </c>
      <c r="G295" s="229"/>
      <c r="H295" s="229"/>
      <c r="I295" s="229">
        <v>63</v>
      </c>
      <c r="J295" s="229">
        <f t="shared" si="128"/>
        <v>-63</v>
      </c>
      <c r="K295" s="229"/>
      <c r="L295" s="229"/>
      <c r="M295" s="229">
        <v>-63</v>
      </c>
      <c r="N295" s="229">
        <f t="shared" si="129"/>
        <v>0</v>
      </c>
      <c r="O295" s="229">
        <f t="shared" si="130"/>
        <v>0</v>
      </c>
      <c r="P295" s="229">
        <f t="shared" si="131"/>
        <v>0</v>
      </c>
      <c r="Q295" s="229">
        <f t="shared" si="132"/>
        <v>0</v>
      </c>
      <c r="R295" s="229">
        <v>63</v>
      </c>
      <c r="S295" s="229"/>
      <c r="T295" s="228"/>
      <c r="U295" s="228" t="s">
        <v>1829</v>
      </c>
      <c r="V295" s="235"/>
      <c r="W295" s="236"/>
    </row>
    <row r="296" ht="54" spans="1:23">
      <c r="A296" s="221">
        <v>292</v>
      </c>
      <c r="B296" s="227" t="s">
        <v>290</v>
      </c>
      <c r="C296" s="228" t="s">
        <v>724</v>
      </c>
      <c r="D296" s="228" t="s">
        <v>1827</v>
      </c>
      <c r="E296" s="228" t="s">
        <v>1830</v>
      </c>
      <c r="F296" s="229">
        <v>43.5</v>
      </c>
      <c r="G296" s="229"/>
      <c r="H296" s="229"/>
      <c r="I296" s="229">
        <v>43.5</v>
      </c>
      <c r="J296" s="229">
        <f t="shared" si="128"/>
        <v>-4.02</v>
      </c>
      <c r="K296" s="229"/>
      <c r="L296" s="229"/>
      <c r="M296" s="229">
        <v>-4.02</v>
      </c>
      <c r="N296" s="229">
        <f t="shared" si="129"/>
        <v>39.48</v>
      </c>
      <c r="O296" s="229">
        <f t="shared" si="130"/>
        <v>0</v>
      </c>
      <c r="P296" s="229">
        <f t="shared" si="131"/>
        <v>0</v>
      </c>
      <c r="Q296" s="229">
        <f t="shared" si="132"/>
        <v>39.48</v>
      </c>
      <c r="R296" s="229"/>
      <c r="S296" s="229">
        <v>39.47924</v>
      </c>
      <c r="T296" s="228"/>
      <c r="U296" s="228" t="s">
        <v>1831</v>
      </c>
      <c r="V296" s="235"/>
      <c r="W296" s="236"/>
    </row>
    <row r="297" ht="30" customHeight="1" spans="1:23">
      <c r="A297" s="221">
        <v>293</v>
      </c>
      <c r="B297" s="227" t="s">
        <v>290</v>
      </c>
      <c r="C297" s="228" t="s">
        <v>724</v>
      </c>
      <c r="D297" s="228" t="s">
        <v>1832</v>
      </c>
      <c r="E297" s="228" t="s">
        <v>1833</v>
      </c>
      <c r="F297" s="229">
        <v>10</v>
      </c>
      <c r="G297" s="229"/>
      <c r="H297" s="229">
        <v>10</v>
      </c>
      <c r="I297" s="229"/>
      <c r="J297" s="229">
        <f t="shared" si="128"/>
        <v>0</v>
      </c>
      <c r="K297" s="229"/>
      <c r="L297" s="229"/>
      <c r="M297" s="229"/>
      <c r="N297" s="229">
        <f t="shared" si="129"/>
        <v>10</v>
      </c>
      <c r="O297" s="229">
        <f t="shared" si="130"/>
        <v>0</v>
      </c>
      <c r="P297" s="229">
        <f t="shared" si="131"/>
        <v>10</v>
      </c>
      <c r="Q297" s="229">
        <f t="shared" si="132"/>
        <v>0</v>
      </c>
      <c r="R297" s="229"/>
      <c r="S297" s="229"/>
      <c r="T297" s="228"/>
      <c r="U297" s="228"/>
      <c r="V297" s="235"/>
      <c r="W297" s="236"/>
    </row>
    <row r="298" ht="40.5" spans="1:23">
      <c r="A298" s="221">
        <v>294</v>
      </c>
      <c r="B298" s="227" t="s">
        <v>290</v>
      </c>
      <c r="C298" s="228" t="s">
        <v>724</v>
      </c>
      <c r="D298" s="228" t="s">
        <v>1832</v>
      </c>
      <c r="E298" s="228" t="s">
        <v>1834</v>
      </c>
      <c r="F298" s="229"/>
      <c r="G298" s="229"/>
      <c r="H298" s="229"/>
      <c r="I298" s="229"/>
      <c r="J298" s="229">
        <f t="shared" si="128"/>
        <v>200</v>
      </c>
      <c r="K298" s="229">
        <v>200</v>
      </c>
      <c r="L298" s="229"/>
      <c r="M298" s="229"/>
      <c r="N298" s="229">
        <f t="shared" si="129"/>
        <v>200</v>
      </c>
      <c r="O298" s="229">
        <f t="shared" si="130"/>
        <v>200</v>
      </c>
      <c r="P298" s="229">
        <f t="shared" si="131"/>
        <v>0</v>
      </c>
      <c r="Q298" s="229">
        <f t="shared" si="132"/>
        <v>0</v>
      </c>
      <c r="R298" s="229"/>
      <c r="S298" s="229"/>
      <c r="T298" s="228" t="s">
        <v>1835</v>
      </c>
      <c r="U298" s="228"/>
      <c r="V298" s="235"/>
      <c r="W298" s="236"/>
    </row>
    <row r="299" ht="40.5" spans="1:23">
      <c r="A299" s="221">
        <v>295</v>
      </c>
      <c r="B299" s="227" t="s">
        <v>1712</v>
      </c>
      <c r="C299" s="228" t="s">
        <v>1836</v>
      </c>
      <c r="D299" s="228" t="s">
        <v>1837</v>
      </c>
      <c r="E299" s="228" t="s">
        <v>1838</v>
      </c>
      <c r="F299" s="229"/>
      <c r="G299" s="229"/>
      <c r="H299" s="229"/>
      <c r="I299" s="229"/>
      <c r="J299" s="229">
        <f t="shared" si="128"/>
        <v>100</v>
      </c>
      <c r="K299" s="229">
        <v>100</v>
      </c>
      <c r="L299" s="229"/>
      <c r="M299" s="229"/>
      <c r="N299" s="229">
        <f t="shared" si="129"/>
        <v>100</v>
      </c>
      <c r="O299" s="229">
        <f t="shared" si="130"/>
        <v>100</v>
      </c>
      <c r="P299" s="229">
        <f t="shared" si="131"/>
        <v>0</v>
      </c>
      <c r="Q299" s="229">
        <f t="shared" si="132"/>
        <v>0</v>
      </c>
      <c r="R299" s="229"/>
      <c r="S299" s="229">
        <v>37.23229</v>
      </c>
      <c r="T299" s="228" t="s">
        <v>1839</v>
      </c>
      <c r="U299" s="228" t="s">
        <v>1840</v>
      </c>
      <c r="V299" s="235"/>
      <c r="W299" s="236"/>
    </row>
    <row r="300" ht="40.5" spans="1:23">
      <c r="A300" s="221">
        <v>296</v>
      </c>
      <c r="B300" s="227" t="s">
        <v>1606</v>
      </c>
      <c r="C300" s="228" t="s">
        <v>1354</v>
      </c>
      <c r="D300" s="228" t="s">
        <v>1837</v>
      </c>
      <c r="E300" s="228" t="s">
        <v>1841</v>
      </c>
      <c r="F300" s="229"/>
      <c r="G300" s="229"/>
      <c r="H300" s="229"/>
      <c r="I300" s="229"/>
      <c r="J300" s="229">
        <f t="shared" si="128"/>
        <v>50</v>
      </c>
      <c r="K300" s="229">
        <v>50</v>
      </c>
      <c r="L300" s="229"/>
      <c r="M300" s="229"/>
      <c r="N300" s="229">
        <f t="shared" si="129"/>
        <v>50</v>
      </c>
      <c r="O300" s="229">
        <f t="shared" si="130"/>
        <v>50</v>
      </c>
      <c r="P300" s="229">
        <f t="shared" si="131"/>
        <v>0</v>
      </c>
      <c r="Q300" s="229">
        <f t="shared" si="132"/>
        <v>0</v>
      </c>
      <c r="R300" s="229"/>
      <c r="S300" s="229">
        <v>50</v>
      </c>
      <c r="T300" s="228" t="s">
        <v>1842</v>
      </c>
      <c r="U300" s="228"/>
      <c r="V300" s="235"/>
      <c r="W300" s="236"/>
    </row>
    <row r="301" ht="45" customHeight="1" spans="1:23">
      <c r="A301" s="221">
        <v>297</v>
      </c>
      <c r="B301" s="227" t="s">
        <v>290</v>
      </c>
      <c r="C301" s="228" t="s">
        <v>238</v>
      </c>
      <c r="D301" s="228" t="s">
        <v>1837</v>
      </c>
      <c r="E301" s="228" t="s">
        <v>1843</v>
      </c>
      <c r="F301" s="229"/>
      <c r="G301" s="229"/>
      <c r="H301" s="229"/>
      <c r="I301" s="229"/>
      <c r="J301" s="229">
        <f t="shared" si="128"/>
        <v>7.4295</v>
      </c>
      <c r="K301" s="229">
        <v>7.4295</v>
      </c>
      <c r="L301" s="229"/>
      <c r="M301" s="229"/>
      <c r="N301" s="229">
        <f t="shared" si="129"/>
        <v>7.4295</v>
      </c>
      <c r="O301" s="229">
        <f t="shared" si="130"/>
        <v>7.4295</v>
      </c>
      <c r="P301" s="229">
        <f t="shared" si="131"/>
        <v>0</v>
      </c>
      <c r="Q301" s="229">
        <f t="shared" si="132"/>
        <v>0</v>
      </c>
      <c r="R301" s="229"/>
      <c r="S301" s="229">
        <v>7.4295</v>
      </c>
      <c r="T301" s="228" t="s">
        <v>1844</v>
      </c>
      <c r="U301" s="228"/>
      <c r="V301" s="254"/>
      <c r="W301" s="236"/>
    </row>
    <row r="302" ht="59" customHeight="1" spans="1:23">
      <c r="A302" s="221">
        <v>298</v>
      </c>
      <c r="B302" s="227" t="s">
        <v>290</v>
      </c>
      <c r="C302" s="228" t="s">
        <v>266</v>
      </c>
      <c r="D302" s="228" t="s">
        <v>1837</v>
      </c>
      <c r="E302" s="228" t="s">
        <v>1845</v>
      </c>
      <c r="F302" s="229"/>
      <c r="G302" s="229"/>
      <c r="H302" s="229"/>
      <c r="I302" s="229"/>
      <c r="J302" s="229">
        <f t="shared" si="128"/>
        <v>50</v>
      </c>
      <c r="K302" s="229">
        <v>50</v>
      </c>
      <c r="L302" s="229"/>
      <c r="M302" s="229"/>
      <c r="N302" s="229">
        <f t="shared" si="129"/>
        <v>50</v>
      </c>
      <c r="O302" s="229">
        <f t="shared" si="130"/>
        <v>50</v>
      </c>
      <c r="P302" s="229">
        <f t="shared" si="131"/>
        <v>0</v>
      </c>
      <c r="Q302" s="229">
        <f t="shared" si="132"/>
        <v>0</v>
      </c>
      <c r="R302" s="229"/>
      <c r="S302" s="229">
        <v>50</v>
      </c>
      <c r="T302" s="228" t="s">
        <v>1846</v>
      </c>
      <c r="U302" s="228"/>
      <c r="V302" s="254"/>
      <c r="W302" s="236"/>
    </row>
    <row r="303" s="204" customFormat="1" ht="24" customHeight="1" spans="1:23">
      <c r="A303" s="221">
        <v>299</v>
      </c>
      <c r="B303" s="249"/>
      <c r="C303" s="225"/>
      <c r="D303" s="250" t="s">
        <v>1847</v>
      </c>
      <c r="E303" s="225"/>
      <c r="F303" s="226">
        <f>SUM(F304)</f>
        <v>3200</v>
      </c>
      <c r="G303" s="226">
        <f>SUM(G304)</f>
        <v>3200</v>
      </c>
      <c r="H303" s="226">
        <f>SUM(H304)</f>
        <v>0</v>
      </c>
      <c r="I303" s="226">
        <f>SUM(I304)</f>
        <v>0</v>
      </c>
      <c r="J303" s="226">
        <f t="shared" ref="J303:R303" si="133">SUM(J304)</f>
        <v>-3200</v>
      </c>
      <c r="K303" s="226">
        <f t="shared" si="133"/>
        <v>-3200</v>
      </c>
      <c r="L303" s="226">
        <f t="shared" si="133"/>
        <v>0</v>
      </c>
      <c r="M303" s="226">
        <f t="shared" si="133"/>
        <v>0</v>
      </c>
      <c r="N303" s="226">
        <f t="shared" si="133"/>
        <v>0</v>
      </c>
      <c r="O303" s="226">
        <f t="shared" si="133"/>
        <v>0</v>
      </c>
      <c r="P303" s="226">
        <f t="shared" si="133"/>
        <v>0</v>
      </c>
      <c r="Q303" s="226">
        <f t="shared" si="133"/>
        <v>0</v>
      </c>
      <c r="R303" s="226">
        <f t="shared" si="133"/>
        <v>0</v>
      </c>
      <c r="S303" s="226"/>
      <c r="T303" s="239"/>
      <c r="U303" s="225"/>
      <c r="V303" s="255"/>
      <c r="W303" s="236"/>
    </row>
    <row r="304" ht="54" spans="1:23">
      <c r="A304" s="221">
        <v>300</v>
      </c>
      <c r="B304" s="227" t="s">
        <v>221</v>
      </c>
      <c r="C304" s="228" t="s">
        <v>1848</v>
      </c>
      <c r="D304" s="228" t="s">
        <v>1849</v>
      </c>
      <c r="E304" s="228" t="s">
        <v>149</v>
      </c>
      <c r="F304" s="229">
        <v>3200</v>
      </c>
      <c r="G304" s="229">
        <v>3200</v>
      </c>
      <c r="H304" s="229"/>
      <c r="I304" s="229"/>
      <c r="J304" s="229">
        <f t="shared" ref="J304:J307" si="134">SUM(K304:M304)</f>
        <v>-3200</v>
      </c>
      <c r="K304" s="229">
        <v>-3200</v>
      </c>
      <c r="L304" s="229"/>
      <c r="M304" s="229"/>
      <c r="N304" s="229">
        <f t="shared" ref="N304:N307" si="135">SUM(O304:Q304)</f>
        <v>0</v>
      </c>
      <c r="O304" s="229">
        <f t="shared" ref="O304:Q304" si="136">G304+K304</f>
        <v>0</v>
      </c>
      <c r="P304" s="229">
        <f t="shared" si="136"/>
        <v>0</v>
      </c>
      <c r="Q304" s="229">
        <f t="shared" si="136"/>
        <v>0</v>
      </c>
      <c r="R304" s="229"/>
      <c r="S304" s="229"/>
      <c r="T304" s="228" t="s">
        <v>1850</v>
      </c>
      <c r="U304" s="228" t="s">
        <v>1851</v>
      </c>
      <c r="V304" s="235"/>
      <c r="W304" s="236"/>
    </row>
    <row r="305" s="204" customFormat="1" ht="24" customHeight="1" spans="1:23">
      <c r="A305" s="221">
        <v>301</v>
      </c>
      <c r="B305" s="249"/>
      <c r="C305" s="225"/>
      <c r="D305" s="250" t="s">
        <v>1852</v>
      </c>
      <c r="E305" s="225"/>
      <c r="F305" s="226">
        <f>SUM(F306:F307)</f>
        <v>178</v>
      </c>
      <c r="G305" s="226">
        <f>SUM(G306:G307)</f>
        <v>50</v>
      </c>
      <c r="H305" s="226">
        <f>SUM(H306:H307)</f>
        <v>0</v>
      </c>
      <c r="I305" s="226">
        <f>SUM(I306:I307)</f>
        <v>128</v>
      </c>
      <c r="J305" s="226">
        <f t="shared" ref="J305:R305" si="137">SUM(J306:J307)</f>
        <v>0</v>
      </c>
      <c r="K305" s="226">
        <f t="shared" si="137"/>
        <v>0</v>
      </c>
      <c r="L305" s="226">
        <f t="shared" si="137"/>
        <v>0</v>
      </c>
      <c r="M305" s="226">
        <f t="shared" si="137"/>
        <v>0</v>
      </c>
      <c r="N305" s="226">
        <f t="shared" si="137"/>
        <v>178</v>
      </c>
      <c r="O305" s="226">
        <f t="shared" si="137"/>
        <v>50</v>
      </c>
      <c r="P305" s="226">
        <f t="shared" si="137"/>
        <v>0</v>
      </c>
      <c r="Q305" s="226">
        <f t="shared" si="137"/>
        <v>128</v>
      </c>
      <c r="R305" s="226">
        <f t="shared" si="137"/>
        <v>0</v>
      </c>
      <c r="S305" s="226"/>
      <c r="T305" s="239"/>
      <c r="U305" s="225"/>
      <c r="V305" s="255"/>
      <c r="W305" s="236"/>
    </row>
    <row r="306" ht="27" spans="1:23">
      <c r="A306" s="221">
        <v>302</v>
      </c>
      <c r="B306" s="227" t="s">
        <v>221</v>
      </c>
      <c r="C306" s="228" t="s">
        <v>1848</v>
      </c>
      <c r="D306" s="248" t="s">
        <v>1223</v>
      </c>
      <c r="E306" s="228" t="s">
        <v>1853</v>
      </c>
      <c r="F306" s="229">
        <v>50</v>
      </c>
      <c r="G306" s="229">
        <v>50</v>
      </c>
      <c r="H306" s="229"/>
      <c r="I306" s="229"/>
      <c r="J306" s="229">
        <f t="shared" si="134"/>
        <v>0</v>
      </c>
      <c r="K306" s="229"/>
      <c r="L306" s="229"/>
      <c r="M306" s="229"/>
      <c r="N306" s="229">
        <f t="shared" si="135"/>
        <v>50</v>
      </c>
      <c r="O306" s="229">
        <f t="shared" ref="O306:Q306" si="138">G306+K306</f>
        <v>50</v>
      </c>
      <c r="P306" s="229">
        <f t="shared" si="138"/>
        <v>0</v>
      </c>
      <c r="Q306" s="229">
        <f t="shared" si="138"/>
        <v>0</v>
      </c>
      <c r="R306" s="229"/>
      <c r="S306" s="229"/>
      <c r="T306" s="228"/>
      <c r="U306" s="228"/>
      <c r="V306" s="235"/>
      <c r="W306" s="236"/>
    </row>
    <row r="307" ht="27" spans="1:23">
      <c r="A307" s="221">
        <v>303</v>
      </c>
      <c r="B307" s="227" t="s">
        <v>208</v>
      </c>
      <c r="C307" s="251" t="s">
        <v>1751</v>
      </c>
      <c r="D307" s="248" t="s">
        <v>1223</v>
      </c>
      <c r="E307" s="35" t="s">
        <v>1854</v>
      </c>
      <c r="F307" s="229">
        <v>128</v>
      </c>
      <c r="G307" s="229"/>
      <c r="H307" s="229"/>
      <c r="I307" s="229">
        <v>128</v>
      </c>
      <c r="J307" s="229">
        <f t="shared" si="134"/>
        <v>0</v>
      </c>
      <c r="K307" s="229"/>
      <c r="L307" s="229"/>
      <c r="M307" s="229"/>
      <c r="N307" s="229">
        <f t="shared" si="135"/>
        <v>128</v>
      </c>
      <c r="O307" s="229">
        <f t="shared" ref="O307:Q307" si="139">G307+K307</f>
        <v>0</v>
      </c>
      <c r="P307" s="229">
        <f t="shared" si="139"/>
        <v>0</v>
      </c>
      <c r="Q307" s="229">
        <f t="shared" si="139"/>
        <v>128</v>
      </c>
      <c r="R307" s="229"/>
      <c r="S307" s="229">
        <v>128</v>
      </c>
      <c r="T307" s="228"/>
      <c r="U307" s="228" t="s">
        <v>1855</v>
      </c>
      <c r="V307" s="235"/>
      <c r="W307" s="236"/>
    </row>
    <row r="308" s="204" customFormat="1" ht="24" customHeight="1" spans="1:23">
      <c r="A308" s="221">
        <v>304</v>
      </c>
      <c r="B308" s="249"/>
      <c r="C308" s="225"/>
      <c r="D308" s="250" t="s">
        <v>1856</v>
      </c>
      <c r="E308" s="225"/>
      <c r="F308" s="226">
        <f>SUM(F309:F310)</f>
        <v>11772.48</v>
      </c>
      <c r="G308" s="226">
        <f>SUM(G309:G310)</f>
        <v>11772.48</v>
      </c>
      <c r="H308" s="226">
        <f>SUM(H309:H310)</f>
        <v>0</v>
      </c>
      <c r="I308" s="226">
        <f>SUM(I309:I310)</f>
        <v>0</v>
      </c>
      <c r="J308" s="226">
        <f t="shared" ref="J308:R308" si="140">SUM(J309:J310)</f>
        <v>-1745.6732</v>
      </c>
      <c r="K308" s="226">
        <f t="shared" si="140"/>
        <v>-1745.6732</v>
      </c>
      <c r="L308" s="226">
        <f t="shared" si="140"/>
        <v>0</v>
      </c>
      <c r="M308" s="226">
        <f t="shared" si="140"/>
        <v>0</v>
      </c>
      <c r="N308" s="226">
        <f t="shared" si="140"/>
        <v>10026.8068</v>
      </c>
      <c r="O308" s="226">
        <f t="shared" si="140"/>
        <v>10026.8068</v>
      </c>
      <c r="P308" s="226">
        <f t="shared" si="140"/>
        <v>0</v>
      </c>
      <c r="Q308" s="226">
        <f t="shared" si="140"/>
        <v>0</v>
      </c>
      <c r="R308" s="226">
        <f t="shared" si="140"/>
        <v>0</v>
      </c>
      <c r="S308" s="226"/>
      <c r="T308" s="239"/>
      <c r="U308" s="225"/>
      <c r="V308" s="255"/>
      <c r="W308" s="256"/>
    </row>
    <row r="309" ht="67.5" spans="1:23">
      <c r="A309" s="221">
        <v>305</v>
      </c>
      <c r="B309" s="227" t="s">
        <v>1334</v>
      </c>
      <c r="C309" s="251" t="s">
        <v>1751</v>
      </c>
      <c r="D309" s="248" t="s">
        <v>1857</v>
      </c>
      <c r="E309" s="228" t="s">
        <v>1858</v>
      </c>
      <c r="F309" s="229">
        <v>11665.93</v>
      </c>
      <c r="G309" s="229">
        <v>11665.93</v>
      </c>
      <c r="H309" s="229"/>
      <c r="I309" s="229"/>
      <c r="J309" s="229">
        <f t="shared" ref="J309:J312" si="141">SUM(K309:M309)</f>
        <v>-1662.0232</v>
      </c>
      <c r="K309" s="229">
        <v>-1662.0232</v>
      </c>
      <c r="L309" s="229"/>
      <c r="M309" s="229"/>
      <c r="N309" s="229">
        <f t="shared" ref="N309:N312" si="142">SUM(O309:Q309)</f>
        <v>10003.9068</v>
      </c>
      <c r="O309" s="229">
        <f t="shared" ref="O309:Q309" si="143">G309+K309</f>
        <v>10003.9068</v>
      </c>
      <c r="P309" s="229">
        <f t="shared" si="143"/>
        <v>0</v>
      </c>
      <c r="Q309" s="229">
        <f t="shared" si="143"/>
        <v>0</v>
      </c>
      <c r="R309" s="229"/>
      <c r="S309" s="229">
        <f>8905.04115</f>
        <v>8905.04115</v>
      </c>
      <c r="T309" s="228" t="s">
        <v>1859</v>
      </c>
      <c r="U309" s="228" t="s">
        <v>1860</v>
      </c>
      <c r="V309" s="235"/>
      <c r="W309" s="236"/>
    </row>
    <row r="310" ht="40.5" spans="1:23">
      <c r="A310" s="221">
        <v>306</v>
      </c>
      <c r="B310" s="227" t="s">
        <v>1334</v>
      </c>
      <c r="C310" s="251" t="s">
        <v>1751</v>
      </c>
      <c r="D310" s="248" t="s">
        <v>1861</v>
      </c>
      <c r="E310" s="228" t="s">
        <v>1862</v>
      </c>
      <c r="F310" s="229">
        <v>106.55</v>
      </c>
      <c r="G310" s="229">
        <v>106.55</v>
      </c>
      <c r="H310" s="229"/>
      <c r="I310" s="229"/>
      <c r="J310" s="229">
        <f t="shared" si="141"/>
        <v>-83.65</v>
      </c>
      <c r="K310" s="229">
        <v>-83.65</v>
      </c>
      <c r="L310" s="229"/>
      <c r="M310" s="229"/>
      <c r="N310" s="229">
        <f t="shared" si="142"/>
        <v>22.9</v>
      </c>
      <c r="O310" s="229">
        <f t="shared" ref="O310:Q310" si="144">G310+K310</f>
        <v>22.9</v>
      </c>
      <c r="P310" s="229">
        <f t="shared" si="144"/>
        <v>0</v>
      </c>
      <c r="Q310" s="229">
        <f t="shared" si="144"/>
        <v>0</v>
      </c>
      <c r="R310" s="229"/>
      <c r="S310" s="229"/>
      <c r="T310" s="228"/>
      <c r="U310" s="228"/>
      <c r="V310" s="235"/>
      <c r="W310" s="236"/>
    </row>
    <row r="311" s="204" customFormat="1" ht="24" customHeight="1" spans="1:23">
      <c r="A311" s="221">
        <v>307</v>
      </c>
      <c r="B311" s="249"/>
      <c r="C311" s="225"/>
      <c r="D311" s="252" t="s">
        <v>1863</v>
      </c>
      <c r="E311" s="225"/>
      <c r="F311" s="226">
        <f>SUM(F312)</f>
        <v>50</v>
      </c>
      <c r="G311" s="226">
        <f>SUM(G312)</f>
        <v>50</v>
      </c>
      <c r="H311" s="226">
        <f>SUM(H312)</f>
        <v>0</v>
      </c>
      <c r="I311" s="226">
        <f>SUM(I312)</f>
        <v>0</v>
      </c>
      <c r="J311" s="226">
        <f t="shared" ref="J311:R311" si="145">SUM(J312)</f>
        <v>-30.369048</v>
      </c>
      <c r="K311" s="226">
        <f t="shared" si="145"/>
        <v>-30.369048</v>
      </c>
      <c r="L311" s="226">
        <f t="shared" si="145"/>
        <v>0</v>
      </c>
      <c r="M311" s="226">
        <f t="shared" si="145"/>
        <v>0</v>
      </c>
      <c r="N311" s="226">
        <f t="shared" si="145"/>
        <v>19.630952</v>
      </c>
      <c r="O311" s="226">
        <f t="shared" si="145"/>
        <v>19.630952</v>
      </c>
      <c r="P311" s="226">
        <f t="shared" si="145"/>
        <v>0</v>
      </c>
      <c r="Q311" s="226">
        <f t="shared" si="145"/>
        <v>0</v>
      </c>
      <c r="R311" s="226">
        <f t="shared" si="145"/>
        <v>0</v>
      </c>
      <c r="S311" s="226"/>
      <c r="T311" s="239"/>
      <c r="U311" s="225"/>
      <c r="V311" s="255"/>
      <c r="W311" s="236"/>
    </row>
    <row r="312" ht="40.5" spans="1:23">
      <c r="A312" s="221">
        <v>308</v>
      </c>
      <c r="B312" s="227" t="s">
        <v>1334</v>
      </c>
      <c r="C312" s="251" t="s">
        <v>1751</v>
      </c>
      <c r="D312" s="248" t="s">
        <v>1864</v>
      </c>
      <c r="E312" s="228" t="s">
        <v>1865</v>
      </c>
      <c r="F312" s="229">
        <v>50</v>
      </c>
      <c r="G312" s="229">
        <f>F312</f>
        <v>50</v>
      </c>
      <c r="H312" s="229"/>
      <c r="I312" s="229"/>
      <c r="J312" s="229">
        <f t="shared" si="141"/>
        <v>-30.369048</v>
      </c>
      <c r="K312" s="229">
        <v>-30.369048</v>
      </c>
      <c r="L312" s="229"/>
      <c r="M312" s="229"/>
      <c r="N312" s="229">
        <f t="shared" si="142"/>
        <v>19.630952</v>
      </c>
      <c r="O312" s="229">
        <f t="shared" ref="O312:Q312" si="146">G312+K312</f>
        <v>19.630952</v>
      </c>
      <c r="P312" s="229">
        <f t="shared" si="146"/>
        <v>0</v>
      </c>
      <c r="Q312" s="229">
        <f t="shared" si="146"/>
        <v>0</v>
      </c>
      <c r="R312" s="229"/>
      <c r="S312" s="229">
        <v>48.29225</v>
      </c>
      <c r="T312" s="228" t="s">
        <v>1866</v>
      </c>
      <c r="U312" s="228"/>
      <c r="V312" s="235"/>
      <c r="W312" s="236"/>
    </row>
    <row r="313" s="204" customFormat="1" ht="24" customHeight="1" spans="1:23">
      <c r="A313" s="221">
        <v>309</v>
      </c>
      <c r="B313" s="249"/>
      <c r="C313" s="225"/>
      <c r="D313" s="249" t="s">
        <v>124</v>
      </c>
      <c r="E313" s="225"/>
      <c r="F313" s="226">
        <f>SUM(F5,F35,F39,F63,F73,F89,F121,F141,F155,F181,F250,F261,F272,F270,F274,F281,F284,F303,F305,F308,F311)</f>
        <v>70780.445</v>
      </c>
      <c r="G313" s="226">
        <f>SUM(G5,G35,G39,G63,G73,G89,G121,G141,G155,G181,G250,G261,G272,G270,G274,G281,G284,G303,G305,G308,G311)</f>
        <v>51099.47</v>
      </c>
      <c r="H313" s="226">
        <f>SUM(H5,H35,H39,H63,H73,H89,H121,H141,H155,H181,H250,H261,H272,H270,H274,H281,H284,H303,H305,H308,H311)</f>
        <v>16728.475</v>
      </c>
      <c r="I313" s="226">
        <f>SUM(I5,I35,I39,I63,I73,I89,I121,I141,I155,I181,I250,I261,I272,I270,I274,I281,I284,I303,I305,I308,I311)</f>
        <v>2952.5</v>
      </c>
      <c r="J313" s="226">
        <f t="shared" ref="J313:R313" si="147">SUM(J5,J35,J39,J63,J73,J89,J121,J141,J155,J181,J250,J261,J272,J270,J274,J281,J284,J303,J305,J308,J311)</f>
        <v>-7565.733664</v>
      </c>
      <c r="K313" s="226">
        <f t="shared" si="147"/>
        <v>-5858.509748</v>
      </c>
      <c r="L313" s="226">
        <f t="shared" si="147"/>
        <v>-1510.203916</v>
      </c>
      <c r="M313" s="226">
        <f t="shared" si="147"/>
        <v>-197.02</v>
      </c>
      <c r="N313" s="226">
        <f t="shared" si="147"/>
        <v>63214.711336</v>
      </c>
      <c r="O313" s="226">
        <f t="shared" si="147"/>
        <v>45240.960252</v>
      </c>
      <c r="P313" s="226">
        <f t="shared" si="147"/>
        <v>15218.271084</v>
      </c>
      <c r="Q313" s="226">
        <f t="shared" si="147"/>
        <v>2755.48</v>
      </c>
      <c r="R313" s="226">
        <f t="shared" si="147"/>
        <v>7461.78684</v>
      </c>
      <c r="S313" s="226"/>
      <c r="T313" s="239"/>
      <c r="U313" s="225"/>
      <c r="V313" s="255"/>
      <c r="W313" s="236"/>
    </row>
    <row r="314" ht="26.15" customHeight="1" spans="1:23">
      <c r="A314" s="221">
        <v>310</v>
      </c>
      <c r="B314" s="227"/>
      <c r="C314" s="228"/>
      <c r="D314" s="252" t="s">
        <v>1867</v>
      </c>
      <c r="E314" s="228"/>
      <c r="F314" s="229"/>
      <c r="G314" s="229"/>
      <c r="H314" s="229"/>
      <c r="I314" s="229"/>
      <c r="J314" s="229"/>
      <c r="K314" s="229"/>
      <c r="L314" s="229"/>
      <c r="M314" s="229"/>
      <c r="N314" s="229"/>
      <c r="O314" s="229"/>
      <c r="P314" s="229"/>
      <c r="Q314" s="229"/>
      <c r="R314" s="229"/>
      <c r="S314" s="229"/>
      <c r="T314" s="228"/>
      <c r="U314" s="228"/>
      <c r="V314" s="235"/>
      <c r="W314" s="236"/>
    </row>
    <row r="315" ht="40.5" spans="1:23">
      <c r="A315" s="221">
        <v>311</v>
      </c>
      <c r="B315" s="227" t="s">
        <v>1334</v>
      </c>
      <c r="C315" s="251" t="s">
        <v>1751</v>
      </c>
      <c r="D315" s="248" t="s">
        <v>1868</v>
      </c>
      <c r="E315" s="35" t="s">
        <v>1869</v>
      </c>
      <c r="F315" s="229">
        <v>22231</v>
      </c>
      <c r="G315" s="229">
        <v>22231</v>
      </c>
      <c r="H315" s="229"/>
      <c r="I315" s="229"/>
      <c r="J315" s="229">
        <f>SUM(K315:M315)</f>
        <v>22231</v>
      </c>
      <c r="K315" s="229">
        <f>-10296+32527</f>
        <v>22231</v>
      </c>
      <c r="L315" s="229"/>
      <c r="M315" s="229"/>
      <c r="N315" s="229">
        <f t="shared" ref="N315:N317" si="148">SUM(O315:Q315)</f>
        <v>44462</v>
      </c>
      <c r="O315" s="229">
        <f t="shared" ref="O315:Q315" si="149">G315+K315</f>
        <v>44462</v>
      </c>
      <c r="P315" s="229">
        <f t="shared" si="149"/>
        <v>0</v>
      </c>
      <c r="Q315" s="229">
        <f t="shared" si="149"/>
        <v>0</v>
      </c>
      <c r="R315" s="229"/>
      <c r="S315" s="229">
        <f>13091</f>
        <v>13091</v>
      </c>
      <c r="T315" s="228" t="s">
        <v>1870</v>
      </c>
      <c r="U315" s="228"/>
      <c r="V315" s="235"/>
      <c r="W315" s="236"/>
    </row>
    <row r="316" ht="40.5" spans="1:23">
      <c r="A316" s="221">
        <v>312</v>
      </c>
      <c r="B316" s="227" t="s">
        <v>1334</v>
      </c>
      <c r="C316" s="251" t="s">
        <v>1751</v>
      </c>
      <c r="D316" s="248" t="s">
        <v>1871</v>
      </c>
      <c r="E316" s="35" t="s">
        <v>1872</v>
      </c>
      <c r="F316" s="229"/>
      <c r="G316" s="229"/>
      <c r="H316" s="229"/>
      <c r="I316" s="229"/>
      <c r="J316" s="229">
        <f>SUM(K316:M316)</f>
        <v>83.65</v>
      </c>
      <c r="K316" s="229">
        <v>83.65</v>
      </c>
      <c r="L316" s="229"/>
      <c r="M316" s="229"/>
      <c r="N316" s="229">
        <f t="shared" si="148"/>
        <v>83.65</v>
      </c>
      <c r="O316" s="229">
        <f t="shared" ref="O316:Q316" si="150">G316+K316</f>
        <v>83.65</v>
      </c>
      <c r="P316" s="229">
        <f t="shared" si="150"/>
        <v>0</v>
      </c>
      <c r="Q316" s="229">
        <f t="shared" si="150"/>
        <v>0</v>
      </c>
      <c r="R316" s="229"/>
      <c r="S316" s="229">
        <v>37.284371</v>
      </c>
      <c r="T316" s="228" t="s">
        <v>1873</v>
      </c>
      <c r="U316" s="228"/>
      <c r="V316" s="235"/>
      <c r="W316" s="236"/>
    </row>
    <row r="317" ht="26.15" customHeight="1" spans="1:23">
      <c r="A317" s="221">
        <v>313</v>
      </c>
      <c r="B317" s="227"/>
      <c r="C317" s="251"/>
      <c r="D317" s="253" t="s">
        <v>154</v>
      </c>
      <c r="E317" s="35" t="s">
        <v>1874</v>
      </c>
      <c r="F317" s="229">
        <v>8900</v>
      </c>
      <c r="G317" s="229">
        <v>8900</v>
      </c>
      <c r="H317" s="229"/>
      <c r="I317" s="229"/>
      <c r="J317" s="229">
        <f>SUM(K317:M317)</f>
        <v>0</v>
      </c>
      <c r="K317" s="229"/>
      <c r="L317" s="229"/>
      <c r="M317" s="229"/>
      <c r="N317" s="229">
        <f t="shared" si="148"/>
        <v>8900</v>
      </c>
      <c r="O317" s="229">
        <f t="shared" ref="O317:Q317" si="151">G317+K317</f>
        <v>8900</v>
      </c>
      <c r="P317" s="229">
        <f t="shared" si="151"/>
        <v>0</v>
      </c>
      <c r="Q317" s="229">
        <f t="shared" si="151"/>
        <v>0</v>
      </c>
      <c r="R317" s="229"/>
      <c r="S317" s="229"/>
      <c r="T317" s="228"/>
      <c r="U317" s="228"/>
      <c r="V317" s="235"/>
      <c r="W317" s="236"/>
    </row>
    <row r="318" s="204" customFormat="1" ht="24" customHeight="1" spans="1:23">
      <c r="A318" s="221">
        <v>314</v>
      </c>
      <c r="B318" s="249"/>
      <c r="C318" s="225"/>
      <c r="D318" s="249" t="s">
        <v>155</v>
      </c>
      <c r="E318" s="225"/>
      <c r="F318" s="226">
        <f>F313+F316+F315+F317</f>
        <v>101911.445</v>
      </c>
      <c r="G318" s="226">
        <f t="shared" ref="G318:R318" si="152">G313+G316+G315+G317</f>
        <v>82230.47</v>
      </c>
      <c r="H318" s="226">
        <f t="shared" si="152"/>
        <v>16728.475</v>
      </c>
      <c r="I318" s="226">
        <f t="shared" si="152"/>
        <v>2952.5</v>
      </c>
      <c r="J318" s="226">
        <f t="shared" si="152"/>
        <v>14748.916336</v>
      </c>
      <c r="K318" s="226">
        <f t="shared" si="152"/>
        <v>16456.140252</v>
      </c>
      <c r="L318" s="226">
        <f t="shared" si="152"/>
        <v>-1510.203916</v>
      </c>
      <c r="M318" s="226">
        <f t="shared" si="152"/>
        <v>-197.02</v>
      </c>
      <c r="N318" s="226">
        <f t="shared" si="152"/>
        <v>116660.361336</v>
      </c>
      <c r="O318" s="226">
        <f t="shared" si="152"/>
        <v>98686.610252</v>
      </c>
      <c r="P318" s="226">
        <f t="shared" si="152"/>
        <v>15218.271084</v>
      </c>
      <c r="Q318" s="226">
        <f t="shared" si="152"/>
        <v>2755.48</v>
      </c>
      <c r="R318" s="226">
        <f t="shared" si="152"/>
        <v>7461.78684</v>
      </c>
      <c r="S318" s="226"/>
      <c r="T318" s="239"/>
      <c r="U318" s="225"/>
      <c r="V318" s="255"/>
      <c r="W318" s="236"/>
    </row>
    <row r="319" spans="6:18">
      <c r="F319" s="207">
        <v>101911.445</v>
      </c>
      <c r="G319" s="207">
        <v>82230.47</v>
      </c>
      <c r="H319" s="207">
        <v>16728.475</v>
      </c>
      <c r="I319" s="208">
        <v>2952.5</v>
      </c>
      <c r="R319" s="208">
        <f>商品和服务支出!AY7</f>
        <v>2130.33</v>
      </c>
    </row>
  </sheetData>
  <autoFilter ref="A4:W319">
    <extLst/>
  </autoFilter>
  <mergeCells count="17">
    <mergeCell ref="C1:T1"/>
    <mergeCell ref="F3:I3"/>
    <mergeCell ref="J3:M3"/>
    <mergeCell ref="N3:Q3"/>
    <mergeCell ref="A3:A4"/>
    <mergeCell ref="B3:B4"/>
    <mergeCell ref="C3:C4"/>
    <mergeCell ref="D3:D4"/>
    <mergeCell ref="E3:E4"/>
    <mergeCell ref="R3:R4"/>
    <mergeCell ref="S3:S4"/>
    <mergeCell ref="T3:T4"/>
    <mergeCell ref="U3:U4"/>
    <mergeCell ref="U227:U229"/>
    <mergeCell ref="U230:U245"/>
    <mergeCell ref="V3:V4"/>
    <mergeCell ref="W3:W4"/>
  </mergeCells>
  <printOptions horizontalCentered="1"/>
  <pageMargins left="0.471527777777778" right="0.511805555555556" top="0.75" bottom="0.788888888888889" header="0.349305555555556" footer="0.509027777777778"/>
  <pageSetup paperSize="8" scale="58" fitToHeight="0" orientation="landscape"/>
  <headerFooter>
    <oddFooter>&amp;C第 &amp;P 页，共 &amp;N 页</oddFooter>
  </headerFooter>
  <rowBreaks count="3" manualBreakCount="3">
    <brk id="233" max="22" man="1"/>
    <brk id="318" max="16383" man="1"/>
    <brk id="318"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16"/>
  <sheetViews>
    <sheetView workbookViewId="0">
      <selection activeCell="H12" sqref="H12"/>
    </sheetView>
  </sheetViews>
  <sheetFormatPr defaultColWidth="9" defaultRowHeight="13.5"/>
  <cols>
    <col min="1" max="1" width="32.725" style="189" customWidth="1"/>
    <col min="2" max="4" width="15.8666666666667" style="190" customWidth="1"/>
    <col min="5" max="5" width="15.8666666666667" style="189" hidden="1" customWidth="1"/>
    <col min="6" max="6" width="14.5" style="189" hidden="1" customWidth="1"/>
    <col min="7" max="16384" width="9" style="189"/>
  </cols>
  <sheetData>
    <row r="1" ht="27" customHeight="1" spans="1:1">
      <c r="A1" s="191" t="s">
        <v>1875</v>
      </c>
    </row>
    <row r="2" s="187" customFormat="1" ht="33" customHeight="1" spans="1:6">
      <c r="A2" s="161" t="s">
        <v>1876</v>
      </c>
      <c r="B2" s="161"/>
      <c r="C2" s="161"/>
      <c r="D2" s="161"/>
      <c r="E2" s="161"/>
      <c r="F2" s="161"/>
    </row>
    <row r="3" ht="21.95" customHeight="1" spans="1:4">
      <c r="A3" s="163"/>
      <c r="B3" s="164"/>
      <c r="C3" s="164"/>
      <c r="D3" s="190" t="s">
        <v>2</v>
      </c>
    </row>
    <row r="4" ht="30.75" customHeight="1" spans="1:6">
      <c r="A4" s="166" t="s">
        <v>3</v>
      </c>
      <c r="B4" s="192" t="s">
        <v>4</v>
      </c>
      <c r="C4" s="192" t="s">
        <v>5</v>
      </c>
      <c r="D4" s="192" t="s">
        <v>6</v>
      </c>
      <c r="E4" s="192" t="s">
        <v>1877</v>
      </c>
      <c r="F4" s="193" t="s">
        <v>1878</v>
      </c>
    </row>
    <row r="5" s="188" customFormat="1" ht="30.75" customHeight="1" spans="1:6">
      <c r="A5" s="194" t="s">
        <v>1879</v>
      </c>
      <c r="B5" s="195">
        <f>SUM(B6:B9)</f>
        <v>101021</v>
      </c>
      <c r="C5" s="195">
        <f>SUM(C6:C9)</f>
        <v>59395.42</v>
      </c>
      <c r="D5" s="195">
        <f>SUM(D6:D9)</f>
        <v>160416.42</v>
      </c>
      <c r="E5" s="195">
        <f>SUM(E6:E9)</f>
        <v>66588</v>
      </c>
      <c r="F5" s="195">
        <f t="shared" ref="F5:F14" si="0">B5-E5</f>
        <v>34433</v>
      </c>
    </row>
    <row r="6" s="153" customFormat="1" ht="26.15" customHeight="1" spans="1:6">
      <c r="A6" s="173" t="s">
        <v>1880</v>
      </c>
      <c r="B6" s="196">
        <f>'6.基金收入（17）'!B6</f>
        <v>101021</v>
      </c>
      <c r="C6" s="196">
        <f t="shared" ref="C6:C13" si="1">D6-B6</f>
        <v>-48020</v>
      </c>
      <c r="D6" s="196">
        <f>'6.基金收入（17）'!D6</f>
        <v>53001</v>
      </c>
      <c r="E6" s="197">
        <v>66588</v>
      </c>
      <c r="F6" s="198">
        <f t="shared" si="0"/>
        <v>34433</v>
      </c>
    </row>
    <row r="7" s="154" customFormat="1" ht="26.15" customHeight="1" spans="1:6">
      <c r="A7" s="183" t="s">
        <v>1881</v>
      </c>
      <c r="B7" s="198">
        <v>0</v>
      </c>
      <c r="C7" s="196">
        <f t="shared" si="1"/>
        <v>83883</v>
      </c>
      <c r="D7" s="196">
        <f>'6.基金收入（17）'!D16</f>
        <v>83883</v>
      </c>
      <c r="E7" s="197"/>
      <c r="F7" s="198">
        <f t="shared" si="0"/>
        <v>0</v>
      </c>
    </row>
    <row r="8" s="154" customFormat="1" ht="26.15" customHeight="1" spans="1:6">
      <c r="A8" s="183" t="s">
        <v>1882</v>
      </c>
      <c r="B8" s="198">
        <v>0</v>
      </c>
      <c r="C8" s="196">
        <f t="shared" si="1"/>
        <v>0</v>
      </c>
      <c r="D8" s="196"/>
      <c r="E8" s="197"/>
      <c r="F8" s="198">
        <f t="shared" si="0"/>
        <v>0</v>
      </c>
    </row>
    <row r="9" s="154" customFormat="1" ht="26.15" customHeight="1" spans="1:6">
      <c r="A9" s="183" t="s">
        <v>1883</v>
      </c>
      <c r="B9" s="198">
        <v>0</v>
      </c>
      <c r="C9" s="196">
        <f t="shared" si="1"/>
        <v>23532.42</v>
      </c>
      <c r="D9" s="196">
        <f>21619+436.92+1465.32+11.18</f>
        <v>23532.42</v>
      </c>
      <c r="E9" s="197"/>
      <c r="F9" s="198">
        <f t="shared" si="0"/>
        <v>0</v>
      </c>
    </row>
    <row r="10" s="153" customFormat="1" ht="26.15" customHeight="1" spans="1:251">
      <c r="A10" s="181" t="s">
        <v>1884</v>
      </c>
      <c r="B10" s="195">
        <f>SUM(B11:B13)</f>
        <v>101020.99</v>
      </c>
      <c r="C10" s="195">
        <f>SUM(C11:C13)</f>
        <v>58495.35287</v>
      </c>
      <c r="D10" s="195">
        <f>SUM(D11:D13)</f>
        <v>159516.34287</v>
      </c>
      <c r="E10" s="195">
        <f>SUM(E11:E13)</f>
        <v>66246.927788</v>
      </c>
      <c r="F10" s="195">
        <f t="shared" si="0"/>
        <v>34774.062212</v>
      </c>
      <c r="G10" s="188"/>
      <c r="H10" s="188"/>
      <c r="I10" s="188"/>
      <c r="J10" s="188"/>
      <c r="K10" s="188"/>
      <c r="L10" s="188"/>
      <c r="M10" s="188"/>
      <c r="N10" s="188"/>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188"/>
      <c r="CI10" s="188"/>
      <c r="CJ10" s="188"/>
      <c r="CK10" s="188"/>
      <c r="CL10" s="188"/>
      <c r="CM10" s="188"/>
      <c r="CN10" s="188"/>
      <c r="CO10" s="188"/>
      <c r="CP10" s="188"/>
      <c r="CQ10" s="188"/>
      <c r="CR10" s="188"/>
      <c r="CS10" s="188"/>
      <c r="CT10" s="188"/>
      <c r="CU10" s="188"/>
      <c r="CV10" s="188"/>
      <c r="CW10" s="188"/>
      <c r="CX10" s="188"/>
      <c r="CY10" s="188"/>
      <c r="CZ10" s="188"/>
      <c r="DA10" s="188"/>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88"/>
      <c r="DX10" s="188"/>
      <c r="DY10" s="188"/>
      <c r="DZ10" s="188"/>
      <c r="EA10" s="188"/>
      <c r="EB10" s="188"/>
      <c r="EC10" s="188"/>
      <c r="ED10" s="188"/>
      <c r="EE10" s="188"/>
      <c r="EF10" s="188"/>
      <c r="EG10" s="188"/>
      <c r="EH10" s="188"/>
      <c r="EI10" s="188"/>
      <c r="EJ10" s="188"/>
      <c r="EK10" s="188"/>
      <c r="EL10" s="188"/>
      <c r="EM10" s="188"/>
      <c r="EN10" s="188"/>
      <c r="EO10" s="188"/>
      <c r="EP10" s="188"/>
      <c r="EQ10" s="188"/>
      <c r="ER10" s="188"/>
      <c r="ES10" s="188"/>
      <c r="ET10" s="188"/>
      <c r="EU10" s="188"/>
      <c r="EV10" s="188"/>
      <c r="EW10" s="188"/>
      <c r="EX10" s="188"/>
      <c r="EY10" s="188"/>
      <c r="EZ10" s="188"/>
      <c r="FA10" s="188"/>
      <c r="FB10" s="188"/>
      <c r="FC10" s="188"/>
      <c r="FD10" s="188"/>
      <c r="FE10" s="188"/>
      <c r="FF10" s="188"/>
      <c r="FG10" s="188"/>
      <c r="FH10" s="188"/>
      <c r="FI10" s="188"/>
      <c r="FJ10" s="188"/>
      <c r="FK10" s="188"/>
      <c r="FL10" s="188"/>
      <c r="FM10" s="188"/>
      <c r="FN10" s="188"/>
      <c r="FO10" s="188"/>
      <c r="FP10" s="188"/>
      <c r="FQ10" s="188"/>
      <c r="FR10" s="188"/>
      <c r="FS10" s="188"/>
      <c r="FT10" s="188"/>
      <c r="FU10" s="188"/>
      <c r="FV10" s="188"/>
      <c r="FW10" s="188"/>
      <c r="FX10" s="188"/>
      <c r="FY10" s="188"/>
      <c r="FZ10" s="188"/>
      <c r="GA10" s="188"/>
      <c r="GB10" s="188"/>
      <c r="GC10" s="188"/>
      <c r="GD10" s="188"/>
      <c r="GE10" s="188"/>
      <c r="GF10" s="188"/>
      <c r="GG10" s="188"/>
      <c r="GH10" s="188"/>
      <c r="GI10" s="188"/>
      <c r="GJ10" s="188"/>
      <c r="GK10" s="188"/>
      <c r="GL10" s="188"/>
      <c r="GM10" s="188"/>
      <c r="GN10" s="188"/>
      <c r="GO10" s="188"/>
      <c r="GP10" s="188"/>
      <c r="GQ10" s="188"/>
      <c r="GR10" s="188"/>
      <c r="GS10" s="188"/>
      <c r="GT10" s="188"/>
      <c r="GU10" s="188"/>
      <c r="GV10" s="188"/>
      <c r="GW10" s="188"/>
      <c r="GX10" s="188"/>
      <c r="GY10" s="188"/>
      <c r="GZ10" s="188"/>
      <c r="HA10" s="188"/>
      <c r="HB10" s="188"/>
      <c r="HC10" s="188"/>
      <c r="HD10" s="188"/>
      <c r="HE10" s="188"/>
      <c r="HF10" s="188"/>
      <c r="HG10" s="188"/>
      <c r="HH10" s="188"/>
      <c r="HI10" s="188"/>
      <c r="HJ10" s="188"/>
      <c r="HK10" s="188"/>
      <c r="HL10" s="188"/>
      <c r="HM10" s="188"/>
      <c r="HN10" s="188"/>
      <c r="HO10" s="188"/>
      <c r="HP10" s="188"/>
      <c r="HQ10" s="188"/>
      <c r="HR10" s="188"/>
      <c r="HS10" s="188"/>
      <c r="HT10" s="188"/>
      <c r="HU10" s="188"/>
      <c r="HV10" s="188"/>
      <c r="HW10" s="188"/>
      <c r="HX10" s="188"/>
      <c r="HY10" s="188"/>
      <c r="HZ10" s="188"/>
      <c r="IA10" s="188"/>
      <c r="IB10" s="188"/>
      <c r="IC10" s="188"/>
      <c r="ID10" s="188"/>
      <c r="IE10" s="188"/>
      <c r="IF10" s="188"/>
      <c r="IG10" s="188"/>
      <c r="IH10" s="188"/>
      <c r="II10" s="188"/>
      <c r="IJ10" s="188"/>
      <c r="IK10" s="188"/>
      <c r="IL10" s="188"/>
      <c r="IM10" s="188"/>
      <c r="IN10" s="188"/>
      <c r="IO10" s="188"/>
      <c r="IP10" s="188"/>
      <c r="IQ10" s="188"/>
    </row>
    <row r="11" s="154" customFormat="1" ht="26.15" customHeight="1" spans="1:6">
      <c r="A11" s="183" t="s">
        <v>1885</v>
      </c>
      <c r="B11" s="198">
        <f>'基金支出（县本级）'!F108</f>
        <v>27499.99</v>
      </c>
      <c r="C11" s="196">
        <f t="shared" si="1"/>
        <v>83880.35287</v>
      </c>
      <c r="D11" s="196">
        <f>'基金支出（县本级）'!H108</f>
        <v>111380.34287</v>
      </c>
      <c r="E11" s="199">
        <f>70688.927788-34933-11073</f>
        <v>24682.927788</v>
      </c>
      <c r="F11" s="198">
        <f t="shared" si="0"/>
        <v>2817.062212</v>
      </c>
    </row>
    <row r="12" s="154" customFormat="1" ht="26.15" customHeight="1" spans="1:6">
      <c r="A12" s="183" t="s">
        <v>1886</v>
      </c>
      <c r="B12" s="198">
        <f>'基金支出（县本级）'!F109</f>
        <v>1003</v>
      </c>
      <c r="C12" s="196">
        <f t="shared" si="1"/>
        <v>1003</v>
      </c>
      <c r="D12" s="196">
        <f>'基金支出（县本级）'!H109</f>
        <v>2006</v>
      </c>
      <c r="E12" s="199">
        <v>14668</v>
      </c>
      <c r="F12" s="198">
        <f t="shared" si="0"/>
        <v>-13665</v>
      </c>
    </row>
    <row r="13" s="154" customFormat="1" ht="26.15" customHeight="1" spans="1:6">
      <c r="A13" s="183" t="s">
        <v>1887</v>
      </c>
      <c r="B13" s="198">
        <v>72518</v>
      </c>
      <c r="C13" s="196">
        <f t="shared" si="1"/>
        <v>-26388</v>
      </c>
      <c r="D13" s="196">
        <f>'基金支出（县本级）'!H110</f>
        <v>46130</v>
      </c>
      <c r="E13" s="199">
        <v>26896</v>
      </c>
      <c r="F13" s="198">
        <f t="shared" si="0"/>
        <v>45622</v>
      </c>
    </row>
    <row r="14" s="153" customFormat="1" ht="26.15" customHeight="1" spans="1:6">
      <c r="A14" s="200" t="s">
        <v>1888</v>
      </c>
      <c r="B14" s="201">
        <f>B5-B10</f>
        <v>0.0100000000093132</v>
      </c>
      <c r="C14" s="201">
        <f>C5-C10</f>
        <v>900.067129999996</v>
      </c>
      <c r="D14" s="201">
        <f>D5-D10</f>
        <v>900.07713000002</v>
      </c>
      <c r="E14" s="201">
        <f>E5-E10</f>
        <v>341.072211999999</v>
      </c>
      <c r="F14" s="195">
        <f t="shared" si="0"/>
        <v>-341.06221199999</v>
      </c>
    </row>
    <row r="16" spans="2:4">
      <c r="B16" s="202"/>
      <c r="C16" s="202"/>
      <c r="D16" s="202"/>
    </row>
  </sheetData>
  <mergeCells count="1">
    <mergeCell ref="A2:F2"/>
  </mergeCells>
  <printOptions horizontalCentered="1"/>
  <pageMargins left="0.751388888888889" right="0.751388888888889" top="1" bottom="1" header="0.507638888888889" footer="0.507638888888889"/>
  <pageSetup paperSize="9" orientation="portrait" horizontalDpi="600"/>
  <headerFooter>
    <oddFooter>&amp;C-16-</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8"/>
  <sheetViews>
    <sheetView workbookViewId="0">
      <selection activeCell="L16" sqref="L16"/>
    </sheetView>
  </sheetViews>
  <sheetFormatPr defaultColWidth="9" defaultRowHeight="13.5"/>
  <cols>
    <col min="1" max="1" width="32.725" style="156" customWidth="1"/>
    <col min="2" max="5" width="12.5" style="157" customWidth="1"/>
    <col min="6" max="6" width="12.5" style="158" customWidth="1"/>
    <col min="7" max="7" width="9" style="159" hidden="1" customWidth="1"/>
    <col min="8" max="16384" width="9" style="159"/>
  </cols>
  <sheetData>
    <row r="1" ht="24" customHeight="1" spans="1:1">
      <c r="A1" s="160" t="s">
        <v>1889</v>
      </c>
    </row>
    <row r="2" s="150" customFormat="1" ht="30" customHeight="1" spans="1:7">
      <c r="A2" s="161" t="s">
        <v>1890</v>
      </c>
      <c r="B2" s="161"/>
      <c r="C2" s="161"/>
      <c r="D2" s="161"/>
      <c r="E2" s="161"/>
      <c r="F2" s="161"/>
      <c r="G2" s="162"/>
    </row>
    <row r="3" ht="21.95" customHeight="1" spans="1:6">
      <c r="A3" s="163"/>
      <c r="B3" s="164"/>
      <c r="C3" s="164"/>
      <c r="D3" s="165"/>
      <c r="E3" s="164"/>
      <c r="F3" s="165" t="s">
        <v>2</v>
      </c>
    </row>
    <row r="4" s="151" customFormat="1" ht="30.75" customHeight="1" spans="1:6">
      <c r="A4" s="166" t="s">
        <v>79</v>
      </c>
      <c r="B4" s="167" t="s">
        <v>4</v>
      </c>
      <c r="C4" s="168" t="s">
        <v>5</v>
      </c>
      <c r="D4" s="168" t="s">
        <v>6</v>
      </c>
      <c r="E4" s="168" t="s">
        <v>80</v>
      </c>
      <c r="F4" s="168" t="s">
        <v>81</v>
      </c>
    </row>
    <row r="5" s="152" customFormat="1" ht="33" customHeight="1" spans="1:7">
      <c r="A5" s="166"/>
      <c r="B5" s="167"/>
      <c r="C5" s="168"/>
      <c r="D5" s="168"/>
      <c r="E5" s="168"/>
      <c r="F5" s="168"/>
      <c r="G5" s="152" t="s">
        <v>82</v>
      </c>
    </row>
    <row r="6" s="153" customFormat="1" ht="27" customHeight="1" spans="1:7">
      <c r="A6" s="169" t="s">
        <v>1891</v>
      </c>
      <c r="B6" s="170">
        <f>SUM(B7:B9,B12:B14)</f>
        <v>101021</v>
      </c>
      <c r="C6" s="170">
        <f>SUM(C7:C9,C12:C14)</f>
        <v>-48020</v>
      </c>
      <c r="D6" s="170">
        <f>SUM(D7:D9,D12:D14)</f>
        <v>53001</v>
      </c>
      <c r="E6" s="171">
        <f>D6/B6*100</f>
        <v>52.4653289910019</v>
      </c>
      <c r="F6" s="171">
        <f>(D6-G6)/G6*100</f>
        <v>-39.8139946855624</v>
      </c>
      <c r="G6" s="172">
        <v>88062</v>
      </c>
    </row>
    <row r="7" s="154" customFormat="1" ht="27" customHeight="1" spans="1:7">
      <c r="A7" s="173" t="s">
        <v>1892</v>
      </c>
      <c r="B7" s="174">
        <v>500</v>
      </c>
      <c r="C7" s="174"/>
      <c r="D7" s="174">
        <f>B7+C7</f>
        <v>500</v>
      </c>
      <c r="E7" s="175">
        <f t="shared" ref="E7:E18" si="0">D7/B7*100</f>
        <v>100</v>
      </c>
      <c r="F7" s="175">
        <f t="shared" ref="F7:F18" si="1">(D7-G7)/G7*100</f>
        <v>-69.8976520168573</v>
      </c>
      <c r="G7" s="154">
        <v>1661</v>
      </c>
    </row>
    <row r="8" s="154" customFormat="1" ht="27" customHeight="1" spans="1:7">
      <c r="A8" s="176" t="s">
        <v>1893</v>
      </c>
      <c r="B8" s="174">
        <v>20</v>
      </c>
      <c r="C8" s="174"/>
      <c r="D8" s="174">
        <f t="shared" ref="D8:D14" si="2">B8+C8</f>
        <v>20</v>
      </c>
      <c r="E8" s="175">
        <f t="shared" si="0"/>
        <v>100</v>
      </c>
      <c r="F8" s="175">
        <f t="shared" si="1"/>
        <v>-76.4705882352941</v>
      </c>
      <c r="G8" s="154">
        <v>85</v>
      </c>
    </row>
    <row r="9" s="154" customFormat="1" ht="27" customHeight="1" spans="1:7">
      <c r="A9" s="177" t="s">
        <v>1894</v>
      </c>
      <c r="B9" s="174">
        <f>B10+B11</f>
        <v>97721</v>
      </c>
      <c r="C9" s="174">
        <f>C10+C11</f>
        <v>-48020</v>
      </c>
      <c r="D9" s="174">
        <f t="shared" si="2"/>
        <v>49701</v>
      </c>
      <c r="E9" s="175">
        <f t="shared" si="0"/>
        <v>50.8601017181568</v>
      </c>
      <c r="F9" s="175">
        <f t="shared" si="1"/>
        <v>-39.7928528164749</v>
      </c>
      <c r="G9" s="154">
        <v>82550</v>
      </c>
    </row>
    <row r="10" s="154" customFormat="1" ht="27" customHeight="1" spans="1:7">
      <c r="A10" s="177" t="s">
        <v>1895</v>
      </c>
      <c r="B10" s="174">
        <f>40000-520-1440+38000+1200+10000+300-5000+181</f>
        <v>82721</v>
      </c>
      <c r="C10" s="174">
        <f>-52721+3000+16763+820-452-7942-384+1000+900+3996</f>
        <v>-35020</v>
      </c>
      <c r="D10" s="174">
        <f t="shared" si="2"/>
        <v>47701</v>
      </c>
      <c r="E10" s="175">
        <f t="shared" si="0"/>
        <v>57.6649218457224</v>
      </c>
      <c r="F10" s="175">
        <f t="shared" si="1"/>
        <v>-12.8271198830409</v>
      </c>
      <c r="G10" s="154">
        <v>54720</v>
      </c>
    </row>
    <row r="11" s="155" customFormat="1" ht="48" customHeight="1" spans="1:7">
      <c r="A11" s="178" t="s">
        <v>1896</v>
      </c>
      <c r="B11" s="174">
        <v>15000</v>
      </c>
      <c r="C11" s="174">
        <f>-13000</f>
        <v>-13000</v>
      </c>
      <c r="D11" s="174">
        <f t="shared" si="2"/>
        <v>2000</v>
      </c>
      <c r="E11" s="175">
        <f t="shared" si="0"/>
        <v>13.3333333333333</v>
      </c>
      <c r="F11" s="175">
        <f t="shared" si="1"/>
        <v>-92.8135106000719</v>
      </c>
      <c r="G11" s="155">
        <v>27830</v>
      </c>
    </row>
    <row r="12" s="154" customFormat="1" ht="27" customHeight="1" spans="1:7">
      <c r="A12" s="179" t="s">
        <v>1897</v>
      </c>
      <c r="B12" s="180">
        <v>1600</v>
      </c>
      <c r="C12" s="180"/>
      <c r="D12" s="174">
        <f t="shared" si="2"/>
        <v>1600</v>
      </c>
      <c r="E12" s="175">
        <f t="shared" si="0"/>
        <v>100</v>
      </c>
      <c r="F12" s="175">
        <f t="shared" si="1"/>
        <v>-43.6818021823302</v>
      </c>
      <c r="G12" s="154">
        <v>2841</v>
      </c>
    </row>
    <row r="13" s="154" customFormat="1" ht="27" customHeight="1" spans="1:7">
      <c r="A13" s="179" t="s">
        <v>1898</v>
      </c>
      <c r="B13" s="180">
        <v>700</v>
      </c>
      <c r="C13" s="180"/>
      <c r="D13" s="174">
        <f t="shared" si="2"/>
        <v>700</v>
      </c>
      <c r="E13" s="175">
        <f t="shared" si="0"/>
        <v>100</v>
      </c>
      <c r="F13" s="175">
        <f t="shared" si="1"/>
        <v>17.6470588235294</v>
      </c>
      <c r="G13" s="154">
        <v>595</v>
      </c>
    </row>
    <row r="14" s="154" customFormat="1" ht="27" customHeight="1" spans="1:7">
      <c r="A14" s="179" t="s">
        <v>1899</v>
      </c>
      <c r="B14" s="180">
        <v>480</v>
      </c>
      <c r="C14" s="180"/>
      <c r="D14" s="174">
        <f t="shared" si="2"/>
        <v>480</v>
      </c>
      <c r="E14" s="175">
        <f t="shared" si="0"/>
        <v>100</v>
      </c>
      <c r="F14" s="175">
        <f t="shared" si="1"/>
        <v>45.4545454545455</v>
      </c>
      <c r="G14" s="154">
        <v>330</v>
      </c>
    </row>
    <row r="15" s="154" customFormat="1" ht="27" customHeight="1" spans="1:7">
      <c r="A15" s="181" t="s">
        <v>1900</v>
      </c>
      <c r="B15" s="182">
        <f>B16+B17</f>
        <v>0</v>
      </c>
      <c r="C15" s="182">
        <f>C16+C17</f>
        <v>107415</v>
      </c>
      <c r="D15" s="182">
        <f>D16+D17</f>
        <v>107415</v>
      </c>
      <c r="E15" s="175"/>
      <c r="F15" s="175">
        <f t="shared" si="1"/>
        <v>132.258692267774</v>
      </c>
      <c r="G15" s="154">
        <f>G16+G17</f>
        <v>46248</v>
      </c>
    </row>
    <row r="16" s="154" customFormat="1" ht="27" customHeight="1" spans="1:7">
      <c r="A16" s="183" t="s">
        <v>1901</v>
      </c>
      <c r="B16" s="180">
        <v>0</v>
      </c>
      <c r="C16" s="180">
        <v>83883</v>
      </c>
      <c r="D16" s="174">
        <f>B16+C16</f>
        <v>83883</v>
      </c>
      <c r="E16" s="175"/>
      <c r="F16" s="175">
        <f t="shared" si="1"/>
        <v>140.125382875791</v>
      </c>
      <c r="G16" s="154">
        <v>34933</v>
      </c>
    </row>
    <row r="17" s="154" customFormat="1" ht="27" customHeight="1" spans="1:11">
      <c r="A17" s="183" t="s">
        <v>1902</v>
      </c>
      <c r="B17" s="180">
        <v>0</v>
      </c>
      <c r="C17" s="180">
        <v>23532</v>
      </c>
      <c r="D17" s="174">
        <f>B17+C17</f>
        <v>23532</v>
      </c>
      <c r="E17" s="175"/>
      <c r="F17" s="175">
        <f t="shared" si="1"/>
        <v>107.971718957137</v>
      </c>
      <c r="G17" s="154">
        <v>11315</v>
      </c>
      <c r="K17" s="186"/>
    </row>
    <row r="18" s="153" customFormat="1" ht="27" customHeight="1" spans="1:7">
      <c r="A18" s="184" t="s">
        <v>1903</v>
      </c>
      <c r="B18" s="185">
        <f t="shared" ref="B18:G18" si="3">B6+B15</f>
        <v>101021</v>
      </c>
      <c r="C18" s="185">
        <f t="shared" si="3"/>
        <v>59395</v>
      </c>
      <c r="D18" s="185">
        <f t="shared" si="3"/>
        <v>160416</v>
      </c>
      <c r="E18" s="171">
        <f t="shared" si="0"/>
        <v>158.794706051217</v>
      </c>
      <c r="F18" s="175">
        <f t="shared" si="1"/>
        <v>19.4371230734867</v>
      </c>
      <c r="G18" s="172">
        <f t="shared" si="3"/>
        <v>134310</v>
      </c>
    </row>
    <row r="19" ht="21" customHeight="1"/>
    <row r="179" spans="6:6">
      <c r="F179" s="158">
        <v>-237.19</v>
      </c>
    </row>
    <row r="186" spans="6:6">
      <c r="F186" s="158">
        <v>89.04</v>
      </c>
    </row>
    <row r="187" spans="6:6">
      <c r="F187" s="158">
        <v>100</v>
      </c>
    </row>
    <row r="191" spans="6:6">
      <c r="F191" s="158">
        <v>-181</v>
      </c>
    </row>
    <row r="192" spans="6:6">
      <c r="F192" s="158">
        <v>-120</v>
      </c>
    </row>
    <row r="194" spans="6:6">
      <c r="F194" s="158">
        <v>203</v>
      </c>
    </row>
    <row r="199" spans="6:6">
      <c r="F199" s="158">
        <v>20.2</v>
      </c>
    </row>
    <row r="204" spans="6:6">
      <c r="F204" s="158">
        <v>-40</v>
      </c>
    </row>
    <row r="207" spans="6:6">
      <c r="F207" s="158">
        <v>118.11</v>
      </c>
    </row>
    <row r="208" spans="6:6">
      <c r="F208" s="158">
        <v>70</v>
      </c>
    </row>
  </sheetData>
  <mergeCells count="7">
    <mergeCell ref="A2:F2"/>
    <mergeCell ref="A4:A5"/>
    <mergeCell ref="B4:B5"/>
    <mergeCell ref="C4:C5"/>
    <mergeCell ref="D4:D5"/>
    <mergeCell ref="E4:E5"/>
    <mergeCell ref="F4:F5"/>
  </mergeCells>
  <printOptions horizontalCentered="1"/>
  <pageMargins left="0.668055555555556" right="0.507638888888889" top="0.786805555555556" bottom="0.468055555555556" header="0.30625" footer="0.15625"/>
  <pageSetup paperSize="9" scale="96" firstPageNumber="23" orientation="portrait" useFirstPageNumber="1" horizontalDpi="600"/>
  <headerFooter>
    <oddFooter>&amp;C-17-</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B5" sqref="B5"/>
    </sheetView>
  </sheetViews>
  <sheetFormatPr defaultColWidth="9" defaultRowHeight="14.25" outlineLevelCol="3"/>
  <cols>
    <col min="1" max="1" width="27.7583333333333" style="133" customWidth="1"/>
    <col min="2" max="4" width="15.875" style="134" customWidth="1"/>
    <col min="5" max="16384" width="9" style="133"/>
  </cols>
  <sheetData>
    <row r="1" ht="17" customHeight="1" spans="1:1">
      <c r="A1" s="135" t="s">
        <v>1904</v>
      </c>
    </row>
    <row r="2" ht="36" customHeight="1" spans="1:4">
      <c r="A2" s="136" t="s">
        <v>1905</v>
      </c>
      <c r="B2" s="136"/>
      <c r="C2" s="136"/>
      <c r="D2" s="136"/>
    </row>
    <row r="3" customFormat="1" ht="21" customHeight="1" spans="1:4">
      <c r="A3" s="137"/>
      <c r="B3" s="137"/>
      <c r="C3" s="137"/>
      <c r="D3" s="138" t="s">
        <v>2</v>
      </c>
    </row>
    <row r="4" s="133" customFormat="1" ht="36" customHeight="1" spans="1:4">
      <c r="A4" s="139" t="s">
        <v>165</v>
      </c>
      <c r="B4" s="140" t="s">
        <v>122</v>
      </c>
      <c r="C4" s="140" t="s">
        <v>5</v>
      </c>
      <c r="D4" s="140" t="s">
        <v>6</v>
      </c>
    </row>
    <row r="5" s="133" customFormat="1" ht="29" customHeight="1" spans="1:4">
      <c r="A5" s="141" t="s">
        <v>1368</v>
      </c>
      <c r="B5" s="142">
        <v>200</v>
      </c>
      <c r="C5" s="142">
        <f>D5-B5</f>
        <v>-100</v>
      </c>
      <c r="D5" s="142">
        <v>100</v>
      </c>
    </row>
    <row r="6" s="133" customFormat="1" ht="29" customHeight="1" spans="1:4">
      <c r="A6" s="143" t="s">
        <v>1565</v>
      </c>
      <c r="B6" s="144">
        <v>15985.67</v>
      </c>
      <c r="C6" s="142">
        <f t="shared" ref="C6:C13" si="0">D6-B6</f>
        <v>-1013.67</v>
      </c>
      <c r="D6" s="144">
        <v>14972</v>
      </c>
    </row>
    <row r="7" s="133" customFormat="1" ht="29" customHeight="1" spans="1:4">
      <c r="A7" s="143" t="s">
        <v>1731</v>
      </c>
      <c r="B7" s="144">
        <v>0</v>
      </c>
      <c r="C7" s="142">
        <f t="shared" si="0"/>
        <v>20000</v>
      </c>
      <c r="D7" s="144">
        <v>20000</v>
      </c>
    </row>
    <row r="8" s="133" customFormat="1" ht="29" customHeight="1" spans="1:4">
      <c r="A8" s="143" t="s">
        <v>1852</v>
      </c>
      <c r="B8" s="144">
        <v>242</v>
      </c>
      <c r="C8" s="142">
        <f t="shared" si="0"/>
        <v>63856</v>
      </c>
      <c r="D8" s="144">
        <v>64098</v>
      </c>
    </row>
    <row r="9" s="133" customFormat="1" ht="29" customHeight="1" spans="1:4">
      <c r="A9" s="143" t="s">
        <v>1856</v>
      </c>
      <c r="B9" s="144">
        <v>11032.32</v>
      </c>
      <c r="C9" s="142">
        <f t="shared" si="0"/>
        <v>1089.2191</v>
      </c>
      <c r="D9" s="144">
        <v>12121.5391</v>
      </c>
    </row>
    <row r="10" s="133" customFormat="1" ht="29" customHeight="1" spans="1:4">
      <c r="A10" s="143" t="s">
        <v>1863</v>
      </c>
      <c r="B10" s="144">
        <v>40</v>
      </c>
      <c r="C10" s="142">
        <f t="shared" si="0"/>
        <v>48.842984</v>
      </c>
      <c r="D10" s="144">
        <v>88.842984</v>
      </c>
    </row>
    <row r="11" s="133" customFormat="1" ht="29" customHeight="1" spans="1:4">
      <c r="A11" s="145" t="s">
        <v>124</v>
      </c>
      <c r="B11" s="146">
        <f>SUM(B5:B10)</f>
        <v>27499.99</v>
      </c>
      <c r="C11" s="146">
        <f t="shared" si="0"/>
        <v>83880.392084</v>
      </c>
      <c r="D11" s="146">
        <f>SUM(D5:D10)</f>
        <v>111380.382084</v>
      </c>
    </row>
    <row r="12" s="133" customFormat="1" ht="44" customHeight="1" spans="1:4">
      <c r="A12" s="141" t="s">
        <v>1906</v>
      </c>
      <c r="B12" s="142">
        <v>1003</v>
      </c>
      <c r="C12" s="142">
        <f t="shared" si="0"/>
        <v>1003</v>
      </c>
      <c r="D12" s="147">
        <v>2006</v>
      </c>
    </row>
    <row r="13" s="133" customFormat="1" ht="36" customHeight="1" spans="1:4">
      <c r="A13" s="143" t="s">
        <v>1907</v>
      </c>
      <c r="B13" s="144">
        <v>72518</v>
      </c>
      <c r="C13" s="142">
        <f t="shared" si="0"/>
        <v>-26388</v>
      </c>
      <c r="D13" s="144">
        <v>46130</v>
      </c>
    </row>
    <row r="14" s="133" customFormat="1" ht="29" customHeight="1" spans="1:4">
      <c r="A14" s="148" t="s">
        <v>155</v>
      </c>
      <c r="B14" s="149">
        <f>B11+B12+B13</f>
        <v>101020.99</v>
      </c>
      <c r="C14" s="149">
        <f>C11+C12+C13</f>
        <v>58495.392084</v>
      </c>
      <c r="D14" s="149">
        <f>D11+D12+D13</f>
        <v>159516.382084</v>
      </c>
    </row>
    <row r="15" ht="29" customHeight="1"/>
  </sheetData>
  <mergeCells count="1">
    <mergeCell ref="A2:D2"/>
  </mergeCells>
  <printOptions horizontalCentered="1"/>
  <pageMargins left="0.751388888888889" right="0.751388888888889" top="1" bottom="1" header="0.511805555555556" footer="0.511805555555556"/>
  <pageSetup paperSize="9" orientation="portrait" horizontalDpi="600"/>
  <headerFooter>
    <oddFooter>&amp;C-18-</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2"/>
  <sheetViews>
    <sheetView showGridLines="0" workbookViewId="0">
      <pane xSplit="5" ySplit="3" topLeftCell="F61" activePane="bottomRight" state="frozen"/>
      <selection/>
      <selection pane="topRight"/>
      <selection pane="bottomLeft"/>
      <selection pane="bottomRight" activeCell="H67" sqref="H67"/>
    </sheetView>
  </sheetViews>
  <sheetFormatPr defaultColWidth="6.86666666666667" defaultRowHeight="13.5"/>
  <cols>
    <col min="1" max="1" width="5.225" style="72" customWidth="1"/>
    <col min="2" max="2" width="9.40833333333333" style="73" hidden="1" customWidth="1"/>
    <col min="3" max="3" width="19.875" style="74" customWidth="1"/>
    <col min="4" max="4" width="28.875" style="74" customWidth="1"/>
    <col min="5" max="5" width="36.375" style="75" customWidth="1"/>
    <col min="6" max="8" width="13.1833333333333" style="76" customWidth="1"/>
    <col min="9" max="9" width="15" style="76" hidden="1" customWidth="1"/>
    <col min="10" max="10" width="38" style="77" customWidth="1"/>
    <col min="11" max="11" width="45.5916666666667" style="78" hidden="1" customWidth="1"/>
    <col min="12" max="12" width="14.1333333333333" customWidth="1"/>
    <col min="13" max="13" width="9.25833333333333" customWidth="1"/>
  </cols>
  <sheetData>
    <row r="1" ht="27" customHeight="1" spans="1:11">
      <c r="A1" s="79" t="s">
        <v>1908</v>
      </c>
      <c r="B1" s="80"/>
      <c r="C1" s="79"/>
      <c r="D1" s="79"/>
      <c r="E1" s="79"/>
      <c r="F1" s="79"/>
      <c r="G1" s="79"/>
      <c r="H1" s="79"/>
      <c r="I1" s="79"/>
      <c r="J1" s="102"/>
      <c r="K1" s="79"/>
    </row>
    <row r="2" spans="10:11">
      <c r="J2" s="103" t="s">
        <v>2</v>
      </c>
      <c r="K2" s="104"/>
    </row>
    <row r="3" s="67" customFormat="1" ht="27" spans="1:13">
      <c r="A3" s="81" t="s">
        <v>935</v>
      </c>
      <c r="B3" s="31" t="s">
        <v>162</v>
      </c>
      <c r="C3" s="31" t="s">
        <v>164</v>
      </c>
      <c r="D3" s="31" t="s">
        <v>165</v>
      </c>
      <c r="E3" s="31" t="s">
        <v>1227</v>
      </c>
      <c r="F3" s="82" t="s">
        <v>122</v>
      </c>
      <c r="G3" s="82" t="s">
        <v>5</v>
      </c>
      <c r="H3" s="82" t="s">
        <v>6</v>
      </c>
      <c r="I3" s="82" t="s">
        <v>1909</v>
      </c>
      <c r="J3" s="82" t="s">
        <v>760</v>
      </c>
      <c r="K3" s="82" t="s">
        <v>167</v>
      </c>
      <c r="L3" s="81" t="s">
        <v>1910</v>
      </c>
      <c r="M3" s="81" t="s">
        <v>936</v>
      </c>
    </row>
    <row r="4" s="68" customFormat="1" ht="24.95" customHeight="1" spans="1:13">
      <c r="A4" s="83">
        <v>1</v>
      </c>
      <c r="B4" s="84"/>
      <c r="C4" s="85" t="s">
        <v>1911</v>
      </c>
      <c r="D4" s="86" t="s">
        <v>1368</v>
      </c>
      <c r="E4" s="87"/>
      <c r="F4" s="88">
        <f>F5</f>
        <v>200</v>
      </c>
      <c r="G4" s="88">
        <f>G5</f>
        <v>-100</v>
      </c>
      <c r="H4" s="88">
        <f>H5</f>
        <v>100</v>
      </c>
      <c r="I4" s="93"/>
      <c r="J4" s="105"/>
      <c r="K4" s="106"/>
      <c r="L4" s="107"/>
      <c r="M4" s="107"/>
    </row>
    <row r="5" s="68" customFormat="1" ht="26.25" customHeight="1" spans="1:13">
      <c r="A5" s="83">
        <v>2</v>
      </c>
      <c r="B5" s="89"/>
      <c r="C5" s="90" t="s">
        <v>1912</v>
      </c>
      <c r="D5" s="91" t="s">
        <v>1913</v>
      </c>
      <c r="E5" s="92"/>
      <c r="F5" s="93">
        <f>SUM(F6)</f>
        <v>200</v>
      </c>
      <c r="G5" s="93">
        <f>SUM(G6)</f>
        <v>-100</v>
      </c>
      <c r="H5" s="93">
        <f>SUM(H6)</f>
        <v>100</v>
      </c>
      <c r="I5" s="93"/>
      <c r="J5" s="105"/>
      <c r="K5" s="106"/>
      <c r="L5" s="107"/>
      <c r="M5" s="107"/>
    </row>
    <row r="6" s="69" customFormat="1" ht="24.95" customHeight="1" spans="1:13">
      <c r="A6" s="83">
        <v>3</v>
      </c>
      <c r="B6" s="94" t="s">
        <v>195</v>
      </c>
      <c r="C6" s="95" t="s">
        <v>514</v>
      </c>
      <c r="D6" s="96" t="s">
        <v>1914</v>
      </c>
      <c r="E6" s="97" t="s">
        <v>1915</v>
      </c>
      <c r="F6" s="98">
        <v>200</v>
      </c>
      <c r="G6" s="98">
        <v>-100</v>
      </c>
      <c r="H6" s="98">
        <f t="shared" ref="H6:H30" si="0">F6+G6</f>
        <v>100</v>
      </c>
      <c r="I6" s="98">
        <v>15</v>
      </c>
      <c r="J6" s="108"/>
      <c r="K6" s="108" t="s">
        <v>1916</v>
      </c>
      <c r="L6" s="109">
        <v>-100</v>
      </c>
      <c r="M6" s="109"/>
    </row>
    <row r="7" s="68" customFormat="1" ht="24.95" customHeight="1" spans="1:13">
      <c r="A7" s="83">
        <v>4</v>
      </c>
      <c r="B7" s="84"/>
      <c r="C7" s="85" t="s">
        <v>1917</v>
      </c>
      <c r="D7" s="87" t="s">
        <v>1565</v>
      </c>
      <c r="E7" s="87"/>
      <c r="F7" s="88">
        <f>F57+F8+F59+F79</f>
        <v>15985.67</v>
      </c>
      <c r="G7" s="88">
        <f>G57+G8+G59+G79</f>
        <v>-1013.709214</v>
      </c>
      <c r="H7" s="88">
        <f>H57+H8+H59+H79</f>
        <v>14971.960786</v>
      </c>
      <c r="I7" s="93"/>
      <c r="J7" s="105"/>
      <c r="K7" s="106"/>
      <c r="L7" s="107"/>
      <c r="M7" s="107"/>
    </row>
    <row r="8" s="68" customFormat="1" ht="26.25" customHeight="1" spans="1:13">
      <c r="A8" s="83">
        <v>5</v>
      </c>
      <c r="B8" s="89"/>
      <c r="C8" s="90" t="s">
        <v>1912</v>
      </c>
      <c r="D8" s="87" t="s">
        <v>1918</v>
      </c>
      <c r="E8" s="92"/>
      <c r="F8" s="93">
        <f>SUM(F9:F56)</f>
        <v>13655.67</v>
      </c>
      <c r="G8" s="93">
        <f>SUM(G9:G56)</f>
        <v>-1906.924</v>
      </c>
      <c r="H8" s="93">
        <f>SUM(H9:H56)</f>
        <v>11748.746</v>
      </c>
      <c r="I8" s="93"/>
      <c r="J8" s="105"/>
      <c r="K8" s="106"/>
      <c r="L8" s="107"/>
      <c r="M8" s="107"/>
    </row>
    <row r="9" s="69" customFormat="1" ht="24.95" customHeight="1" spans="1:13">
      <c r="A9" s="83">
        <v>6</v>
      </c>
      <c r="B9" s="94" t="s">
        <v>665</v>
      </c>
      <c r="C9" s="95" t="s">
        <v>715</v>
      </c>
      <c r="D9" s="96" t="s">
        <v>1919</v>
      </c>
      <c r="E9" s="97" t="s">
        <v>1920</v>
      </c>
      <c r="F9" s="98">
        <v>300</v>
      </c>
      <c r="G9" s="98">
        <v>-100</v>
      </c>
      <c r="H9" s="98">
        <f t="shared" si="0"/>
        <v>200</v>
      </c>
      <c r="I9" s="98">
        <v>196.819751</v>
      </c>
      <c r="J9" s="108"/>
      <c r="K9" s="108" t="s">
        <v>1921</v>
      </c>
      <c r="L9" s="109">
        <v>-100</v>
      </c>
      <c r="M9" s="109"/>
    </row>
    <row r="10" s="69" customFormat="1" ht="27" customHeight="1" spans="1:13">
      <c r="A10" s="83">
        <v>7</v>
      </c>
      <c r="B10" s="94" t="s">
        <v>665</v>
      </c>
      <c r="C10" s="95" t="s">
        <v>709</v>
      </c>
      <c r="D10" s="96" t="s">
        <v>1922</v>
      </c>
      <c r="E10" s="97" t="s">
        <v>1923</v>
      </c>
      <c r="F10" s="98">
        <v>75</v>
      </c>
      <c r="G10" s="98"/>
      <c r="H10" s="98">
        <f t="shared" si="0"/>
        <v>75</v>
      </c>
      <c r="I10" s="98"/>
      <c r="J10" s="108"/>
      <c r="K10" s="108" t="s">
        <v>1924</v>
      </c>
      <c r="L10" s="109"/>
      <c r="M10" s="109"/>
    </row>
    <row r="11" s="69" customFormat="1" ht="27" customHeight="1" spans="1:13">
      <c r="A11" s="83">
        <v>8</v>
      </c>
      <c r="B11" s="94" t="s">
        <v>290</v>
      </c>
      <c r="C11" s="96" t="s">
        <v>693</v>
      </c>
      <c r="D11" s="96" t="s">
        <v>1922</v>
      </c>
      <c r="E11" s="97" t="s">
        <v>1925</v>
      </c>
      <c r="F11" s="98">
        <v>20</v>
      </c>
      <c r="G11" s="98">
        <v>-20</v>
      </c>
      <c r="H11" s="98">
        <f t="shared" si="0"/>
        <v>0</v>
      </c>
      <c r="I11" s="98"/>
      <c r="J11" s="108"/>
      <c r="K11" s="108" t="s">
        <v>1332</v>
      </c>
      <c r="L11" s="109"/>
      <c r="M11" s="109"/>
    </row>
    <row r="12" s="69" customFormat="1" ht="72" spans="1:13">
      <c r="A12" s="83">
        <v>9</v>
      </c>
      <c r="B12" s="94" t="s">
        <v>1606</v>
      </c>
      <c r="C12" s="96" t="s">
        <v>1291</v>
      </c>
      <c r="D12" s="96" t="s">
        <v>1922</v>
      </c>
      <c r="E12" s="97" t="s">
        <v>1926</v>
      </c>
      <c r="F12" s="98">
        <v>66</v>
      </c>
      <c r="G12" s="98"/>
      <c r="H12" s="98">
        <f t="shared" si="0"/>
        <v>66</v>
      </c>
      <c r="I12" s="98"/>
      <c r="J12" s="108"/>
      <c r="K12" s="108" t="s">
        <v>1927</v>
      </c>
      <c r="L12" s="109"/>
      <c r="M12" s="109"/>
    </row>
    <row r="13" s="69" customFormat="1" ht="48" customHeight="1" spans="1:13">
      <c r="A13" s="83">
        <v>10</v>
      </c>
      <c r="B13" s="94" t="s">
        <v>1606</v>
      </c>
      <c r="C13" s="96" t="s">
        <v>1928</v>
      </c>
      <c r="D13" s="96" t="s">
        <v>1922</v>
      </c>
      <c r="E13" s="97" t="s">
        <v>1929</v>
      </c>
      <c r="F13" s="98">
        <v>108</v>
      </c>
      <c r="G13" s="98"/>
      <c r="H13" s="98">
        <f t="shared" si="0"/>
        <v>108</v>
      </c>
      <c r="I13" s="98"/>
      <c r="J13" s="108"/>
      <c r="K13" s="108" t="s">
        <v>1930</v>
      </c>
      <c r="L13" s="109"/>
      <c r="M13" s="109"/>
    </row>
    <row r="14" s="69" customFormat="1" ht="24.95" customHeight="1" spans="1:13">
      <c r="A14" s="83">
        <v>11</v>
      </c>
      <c r="B14" s="94" t="s">
        <v>1606</v>
      </c>
      <c r="C14" s="96" t="s">
        <v>1357</v>
      </c>
      <c r="D14" s="96" t="s">
        <v>1922</v>
      </c>
      <c r="E14" s="97" t="s">
        <v>1931</v>
      </c>
      <c r="F14" s="98">
        <v>280</v>
      </c>
      <c r="G14" s="98">
        <v>-280</v>
      </c>
      <c r="H14" s="98">
        <f t="shared" si="0"/>
        <v>0</v>
      </c>
      <c r="I14" s="98"/>
      <c r="J14" s="108" t="s">
        <v>1932</v>
      </c>
      <c r="K14" s="108" t="s">
        <v>1933</v>
      </c>
      <c r="L14" s="109"/>
      <c r="M14" s="109"/>
    </row>
    <row r="15" s="69" customFormat="1" ht="26.25" customHeight="1" spans="1:13">
      <c r="A15" s="83">
        <v>12</v>
      </c>
      <c r="B15" s="94" t="s">
        <v>665</v>
      </c>
      <c r="C15" s="95" t="s">
        <v>709</v>
      </c>
      <c r="D15" s="96" t="s">
        <v>1922</v>
      </c>
      <c r="E15" s="97" t="s">
        <v>1934</v>
      </c>
      <c r="F15" s="98">
        <v>50</v>
      </c>
      <c r="G15" s="98"/>
      <c r="H15" s="98">
        <f t="shared" si="0"/>
        <v>50</v>
      </c>
      <c r="I15" s="98"/>
      <c r="J15" s="108"/>
      <c r="K15" s="108" t="s">
        <v>1935</v>
      </c>
      <c r="L15" s="109"/>
      <c r="M15" s="109"/>
    </row>
    <row r="16" s="69" customFormat="1" ht="26.25" customHeight="1" spans="1:13">
      <c r="A16" s="83">
        <v>13</v>
      </c>
      <c r="B16" s="94" t="s">
        <v>665</v>
      </c>
      <c r="C16" s="95" t="s">
        <v>709</v>
      </c>
      <c r="D16" s="96" t="s">
        <v>1922</v>
      </c>
      <c r="E16" s="97" t="s">
        <v>1936</v>
      </c>
      <c r="F16" s="98">
        <v>120</v>
      </c>
      <c r="G16" s="98"/>
      <c r="H16" s="98">
        <f t="shared" si="0"/>
        <v>120</v>
      </c>
      <c r="I16" s="98">
        <v>46.98</v>
      </c>
      <c r="J16" s="108"/>
      <c r="K16" s="108" t="s">
        <v>1937</v>
      </c>
      <c r="L16" s="109"/>
      <c r="M16" s="109"/>
    </row>
    <row r="17" s="69" customFormat="1" ht="32" customHeight="1" spans="1:13">
      <c r="A17" s="83">
        <v>14</v>
      </c>
      <c r="B17" s="99" t="s">
        <v>1236</v>
      </c>
      <c r="C17" s="95" t="s">
        <v>1848</v>
      </c>
      <c r="D17" s="96" t="s">
        <v>1938</v>
      </c>
      <c r="E17" s="97" t="s">
        <v>1939</v>
      </c>
      <c r="F17" s="98">
        <v>1000</v>
      </c>
      <c r="G17" s="98">
        <v>-1000</v>
      </c>
      <c r="H17" s="98">
        <f t="shared" si="0"/>
        <v>0</v>
      </c>
      <c r="I17" s="98"/>
      <c r="J17" s="97"/>
      <c r="K17" s="97" t="s">
        <v>1940</v>
      </c>
      <c r="L17" s="109">
        <v>-1000</v>
      </c>
      <c r="M17" s="109"/>
    </row>
    <row r="18" s="69" customFormat="1" ht="36" spans="1:13">
      <c r="A18" s="83">
        <v>15</v>
      </c>
      <c r="B18" s="94" t="s">
        <v>290</v>
      </c>
      <c r="C18" s="95" t="s">
        <v>632</v>
      </c>
      <c r="D18" s="96" t="s">
        <v>1941</v>
      </c>
      <c r="E18" s="97" t="s">
        <v>1942</v>
      </c>
      <c r="F18" s="98">
        <v>800</v>
      </c>
      <c r="G18" s="98">
        <f>-350-450</f>
        <v>-800</v>
      </c>
      <c r="H18" s="98">
        <f t="shared" si="0"/>
        <v>0</v>
      </c>
      <c r="I18" s="98"/>
      <c r="J18" s="108" t="s">
        <v>1943</v>
      </c>
      <c r="K18" s="108" t="s">
        <v>1944</v>
      </c>
      <c r="L18" s="109">
        <v>-450</v>
      </c>
      <c r="M18" s="109"/>
    </row>
    <row r="19" s="69" customFormat="1" ht="26.25" customHeight="1" spans="1:13">
      <c r="A19" s="83">
        <v>16</v>
      </c>
      <c r="B19" s="94" t="s">
        <v>290</v>
      </c>
      <c r="C19" s="95" t="s">
        <v>693</v>
      </c>
      <c r="D19" s="96" t="s">
        <v>1941</v>
      </c>
      <c r="E19" s="97" t="s">
        <v>1945</v>
      </c>
      <c r="F19" s="98">
        <v>100</v>
      </c>
      <c r="G19" s="98"/>
      <c r="H19" s="98">
        <f t="shared" si="0"/>
        <v>100</v>
      </c>
      <c r="I19" s="98"/>
      <c r="J19" s="108"/>
      <c r="K19" s="108" t="s">
        <v>1946</v>
      </c>
      <c r="L19" s="109"/>
      <c r="M19" s="109"/>
    </row>
    <row r="20" s="69" customFormat="1" ht="26.25" customHeight="1" spans="1:13">
      <c r="A20" s="83">
        <v>17</v>
      </c>
      <c r="B20" s="94" t="s">
        <v>290</v>
      </c>
      <c r="C20" s="95" t="s">
        <v>693</v>
      </c>
      <c r="D20" s="96" t="s">
        <v>1941</v>
      </c>
      <c r="E20" s="97" t="s">
        <v>1947</v>
      </c>
      <c r="F20" s="98">
        <v>150</v>
      </c>
      <c r="G20" s="98"/>
      <c r="H20" s="98">
        <f t="shared" si="0"/>
        <v>150</v>
      </c>
      <c r="I20" s="98"/>
      <c r="J20" s="108"/>
      <c r="K20" s="108" t="s">
        <v>1948</v>
      </c>
      <c r="L20" s="109"/>
      <c r="M20" s="109"/>
    </row>
    <row r="21" s="69" customFormat="1" ht="24.95" customHeight="1" spans="1:13">
      <c r="A21" s="83">
        <v>18</v>
      </c>
      <c r="B21" s="94" t="s">
        <v>540</v>
      </c>
      <c r="C21" s="96" t="s">
        <v>923</v>
      </c>
      <c r="D21" s="96" t="s">
        <v>1949</v>
      </c>
      <c r="E21" s="97" t="s">
        <v>1950</v>
      </c>
      <c r="F21" s="98">
        <v>300</v>
      </c>
      <c r="G21" s="98">
        <v>250</v>
      </c>
      <c r="H21" s="98">
        <f t="shared" si="0"/>
        <v>550</v>
      </c>
      <c r="I21" s="98"/>
      <c r="J21" s="108" t="s">
        <v>1951</v>
      </c>
      <c r="K21" s="108" t="s">
        <v>1952</v>
      </c>
      <c r="L21" s="109"/>
      <c r="M21" s="109"/>
    </row>
    <row r="22" s="69" customFormat="1" ht="72" spans="1:13">
      <c r="A22" s="83">
        <v>19</v>
      </c>
      <c r="B22" s="100" t="s">
        <v>290</v>
      </c>
      <c r="C22" s="95" t="s">
        <v>630</v>
      </c>
      <c r="D22" s="96" t="s">
        <v>1953</v>
      </c>
      <c r="E22" s="97" t="s">
        <v>1954</v>
      </c>
      <c r="F22" s="98">
        <v>150</v>
      </c>
      <c r="G22" s="98">
        <v>10.33</v>
      </c>
      <c r="H22" s="98">
        <f t="shared" si="0"/>
        <v>160.33</v>
      </c>
      <c r="I22" s="98"/>
      <c r="J22" s="108" t="s">
        <v>1955</v>
      </c>
      <c r="K22" s="108" t="s">
        <v>1956</v>
      </c>
      <c r="L22" s="109"/>
      <c r="M22" s="109"/>
    </row>
    <row r="23" s="69" customFormat="1" ht="26.25" customHeight="1" spans="1:13">
      <c r="A23" s="83">
        <v>20</v>
      </c>
      <c r="B23" s="94" t="s">
        <v>665</v>
      </c>
      <c r="C23" s="95" t="s">
        <v>709</v>
      </c>
      <c r="D23" s="96" t="s">
        <v>1953</v>
      </c>
      <c r="E23" s="97" t="s">
        <v>1957</v>
      </c>
      <c r="F23" s="98">
        <v>50</v>
      </c>
      <c r="G23" s="98"/>
      <c r="H23" s="98">
        <f t="shared" si="0"/>
        <v>50</v>
      </c>
      <c r="I23" s="98"/>
      <c r="J23" s="108"/>
      <c r="K23" s="108" t="s">
        <v>1958</v>
      </c>
      <c r="L23" s="109"/>
      <c r="M23" s="109"/>
    </row>
    <row r="24" s="69" customFormat="1" ht="26.25" customHeight="1" spans="1:13">
      <c r="A24" s="83">
        <v>21</v>
      </c>
      <c r="B24" s="94" t="s">
        <v>665</v>
      </c>
      <c r="C24" s="95" t="s">
        <v>715</v>
      </c>
      <c r="D24" s="96" t="s">
        <v>1953</v>
      </c>
      <c r="E24" s="97" t="s">
        <v>1959</v>
      </c>
      <c r="F24" s="98">
        <v>10</v>
      </c>
      <c r="G24" s="98">
        <v>50</v>
      </c>
      <c r="H24" s="98">
        <f t="shared" si="0"/>
        <v>60</v>
      </c>
      <c r="I24" s="98">
        <v>22.786141</v>
      </c>
      <c r="J24" s="97" t="s">
        <v>1960</v>
      </c>
      <c r="K24" s="97" t="s">
        <v>1959</v>
      </c>
      <c r="L24" s="109"/>
      <c r="M24" s="109"/>
    </row>
    <row r="25" s="69" customFormat="1" ht="72" spans="1:13">
      <c r="A25" s="83">
        <v>22</v>
      </c>
      <c r="B25" s="94" t="s">
        <v>665</v>
      </c>
      <c r="C25" s="95" t="s">
        <v>717</v>
      </c>
      <c r="D25" s="96" t="s">
        <v>1953</v>
      </c>
      <c r="E25" s="97" t="s">
        <v>1961</v>
      </c>
      <c r="F25" s="98">
        <v>300</v>
      </c>
      <c r="G25" s="98"/>
      <c r="H25" s="98">
        <f t="shared" si="0"/>
        <v>300</v>
      </c>
      <c r="I25" s="110">
        <v>308.34377</v>
      </c>
      <c r="J25" s="108"/>
      <c r="K25" s="108" t="s">
        <v>1962</v>
      </c>
      <c r="L25" s="109"/>
      <c r="M25" s="109"/>
    </row>
    <row r="26" s="69" customFormat="1" ht="24" spans="1:13">
      <c r="A26" s="83">
        <v>23</v>
      </c>
      <c r="B26" s="94" t="s">
        <v>665</v>
      </c>
      <c r="C26" s="95" t="s">
        <v>717</v>
      </c>
      <c r="D26" s="96" t="s">
        <v>1953</v>
      </c>
      <c r="E26" s="97" t="s">
        <v>1963</v>
      </c>
      <c r="F26" s="98">
        <v>174.31</v>
      </c>
      <c r="G26" s="98"/>
      <c r="H26" s="98">
        <f t="shared" si="0"/>
        <v>174.31</v>
      </c>
      <c r="I26" s="110"/>
      <c r="J26" s="108"/>
      <c r="K26" s="108" t="s">
        <v>1964</v>
      </c>
      <c r="L26" s="109"/>
      <c r="M26" s="109"/>
    </row>
    <row r="27" s="69" customFormat="1" ht="24" spans="1:13">
      <c r="A27" s="83"/>
      <c r="B27" s="94" t="s">
        <v>665</v>
      </c>
      <c r="C27" s="95" t="s">
        <v>717</v>
      </c>
      <c r="D27" s="96" t="s">
        <v>1953</v>
      </c>
      <c r="E27" s="97" t="s">
        <v>1965</v>
      </c>
      <c r="F27" s="98"/>
      <c r="G27" s="98"/>
      <c r="H27" s="98">
        <f t="shared" si="0"/>
        <v>0</v>
      </c>
      <c r="I27" s="98"/>
      <c r="J27" s="108"/>
      <c r="K27" s="108"/>
      <c r="L27" s="109">
        <v>-500</v>
      </c>
      <c r="M27" s="109"/>
    </row>
    <row r="28" s="69" customFormat="1" ht="36" spans="1:13">
      <c r="A28" s="83">
        <v>24</v>
      </c>
      <c r="B28" s="94" t="s">
        <v>665</v>
      </c>
      <c r="C28" s="95" t="s">
        <v>709</v>
      </c>
      <c r="D28" s="96" t="s">
        <v>1922</v>
      </c>
      <c r="E28" s="97" t="s">
        <v>1966</v>
      </c>
      <c r="F28" s="98">
        <v>60</v>
      </c>
      <c r="G28" s="98"/>
      <c r="H28" s="98">
        <f t="shared" si="0"/>
        <v>60</v>
      </c>
      <c r="I28" s="98">
        <v>10</v>
      </c>
      <c r="J28" s="108"/>
      <c r="K28" s="108" t="s">
        <v>1967</v>
      </c>
      <c r="L28" s="109"/>
      <c r="M28" s="109"/>
    </row>
    <row r="29" s="69" customFormat="1" ht="36" spans="1:13">
      <c r="A29" s="83">
        <v>25</v>
      </c>
      <c r="B29" s="94" t="s">
        <v>665</v>
      </c>
      <c r="C29" s="95" t="s">
        <v>709</v>
      </c>
      <c r="D29" s="96" t="s">
        <v>1922</v>
      </c>
      <c r="E29" s="97" t="s">
        <v>1968</v>
      </c>
      <c r="F29" s="98">
        <v>300</v>
      </c>
      <c r="G29" s="98">
        <v>-300</v>
      </c>
      <c r="H29" s="98">
        <f t="shared" si="0"/>
        <v>0</v>
      </c>
      <c r="I29" s="98"/>
      <c r="J29" s="108"/>
      <c r="K29" s="108" t="s">
        <v>1969</v>
      </c>
      <c r="L29" s="109">
        <v>-300</v>
      </c>
      <c r="M29" s="109"/>
    </row>
    <row r="30" s="69" customFormat="1" ht="48" spans="1:13">
      <c r="A30" s="83">
        <v>26</v>
      </c>
      <c r="B30" s="94" t="s">
        <v>665</v>
      </c>
      <c r="C30" s="95" t="s">
        <v>709</v>
      </c>
      <c r="D30" s="96" t="s">
        <v>1922</v>
      </c>
      <c r="E30" s="97" t="s">
        <v>1970</v>
      </c>
      <c r="F30" s="98">
        <v>100</v>
      </c>
      <c r="G30" s="98">
        <v>-100</v>
      </c>
      <c r="H30" s="98">
        <f t="shared" si="0"/>
        <v>0</v>
      </c>
      <c r="I30" s="98"/>
      <c r="J30" s="108"/>
      <c r="K30" s="108" t="s">
        <v>1971</v>
      </c>
      <c r="L30" s="109">
        <v>-100</v>
      </c>
      <c r="M30" s="109"/>
    </row>
    <row r="31" s="69" customFormat="1" ht="24" spans="1:13">
      <c r="A31" s="83"/>
      <c r="B31" s="94" t="s">
        <v>665</v>
      </c>
      <c r="C31" s="95" t="s">
        <v>709</v>
      </c>
      <c r="D31" s="96" t="s">
        <v>1922</v>
      </c>
      <c r="E31" s="97" t="s">
        <v>1972</v>
      </c>
      <c r="F31" s="98">
        <v>0</v>
      </c>
      <c r="G31" s="98"/>
      <c r="H31" s="98">
        <f t="shared" ref="H31:H40" si="1">F31+G31</f>
        <v>0</v>
      </c>
      <c r="I31" s="98"/>
      <c r="J31" s="108" t="s">
        <v>1973</v>
      </c>
      <c r="K31" s="108"/>
      <c r="L31" s="109">
        <v>-395</v>
      </c>
      <c r="M31" s="109"/>
    </row>
    <row r="32" s="69" customFormat="1" ht="24" spans="1:13">
      <c r="A32" s="83"/>
      <c r="B32" s="94" t="s">
        <v>665</v>
      </c>
      <c r="C32" s="95" t="s">
        <v>709</v>
      </c>
      <c r="D32" s="96" t="s">
        <v>1922</v>
      </c>
      <c r="E32" s="97" t="s">
        <v>1974</v>
      </c>
      <c r="F32" s="98">
        <v>0</v>
      </c>
      <c r="G32" s="98">
        <v>168.026</v>
      </c>
      <c r="H32" s="98">
        <f t="shared" si="1"/>
        <v>168.026</v>
      </c>
      <c r="I32" s="98"/>
      <c r="J32" s="108" t="s">
        <v>1975</v>
      </c>
      <c r="K32" s="108"/>
      <c r="L32" s="109"/>
      <c r="M32" s="109"/>
    </row>
    <row r="33" s="69" customFormat="1" ht="24" spans="1:13">
      <c r="A33" s="83"/>
      <c r="B33" s="94" t="s">
        <v>665</v>
      </c>
      <c r="C33" s="95" t="s">
        <v>709</v>
      </c>
      <c r="D33" s="96" t="s">
        <v>1922</v>
      </c>
      <c r="E33" s="97" t="s">
        <v>1976</v>
      </c>
      <c r="F33" s="98">
        <v>0</v>
      </c>
      <c r="G33" s="98">
        <v>150</v>
      </c>
      <c r="H33" s="98">
        <f t="shared" si="1"/>
        <v>150</v>
      </c>
      <c r="I33" s="98"/>
      <c r="J33" s="108" t="s">
        <v>1975</v>
      </c>
      <c r="K33" s="108"/>
      <c r="L33" s="109"/>
      <c r="M33" s="109"/>
    </row>
    <row r="34" s="69" customFormat="1" ht="24" spans="1:13">
      <c r="A34" s="83"/>
      <c r="B34" s="94" t="s">
        <v>665</v>
      </c>
      <c r="C34" s="95" t="s">
        <v>1977</v>
      </c>
      <c r="D34" s="96" t="s">
        <v>1922</v>
      </c>
      <c r="E34" s="97" t="s">
        <v>1978</v>
      </c>
      <c r="F34" s="98">
        <v>0</v>
      </c>
      <c r="G34" s="98">
        <v>446.36</v>
      </c>
      <c r="H34" s="98">
        <f t="shared" si="1"/>
        <v>446.36</v>
      </c>
      <c r="I34" s="98"/>
      <c r="J34" s="108" t="s">
        <v>1979</v>
      </c>
      <c r="K34" s="108"/>
      <c r="L34" s="109"/>
      <c r="M34" s="109"/>
    </row>
    <row r="35" s="69" customFormat="1" ht="24" spans="1:13">
      <c r="A35" s="83"/>
      <c r="B35" s="94" t="s">
        <v>665</v>
      </c>
      <c r="C35" s="95" t="s">
        <v>715</v>
      </c>
      <c r="D35" s="96" t="s">
        <v>1922</v>
      </c>
      <c r="E35" s="97" t="s">
        <v>1980</v>
      </c>
      <c r="F35" s="98">
        <v>0</v>
      </c>
      <c r="G35" s="98"/>
      <c r="H35" s="98">
        <f t="shared" si="1"/>
        <v>0</v>
      </c>
      <c r="I35" s="98"/>
      <c r="J35" s="108" t="s">
        <v>1981</v>
      </c>
      <c r="K35" s="108"/>
      <c r="L35" s="109">
        <v>-3000</v>
      </c>
      <c r="M35" s="109"/>
    </row>
    <row r="36" s="69" customFormat="1" ht="26.25" customHeight="1" spans="1:13">
      <c r="A36" s="83">
        <v>27</v>
      </c>
      <c r="B36" s="100" t="s">
        <v>290</v>
      </c>
      <c r="C36" s="95" t="s">
        <v>626</v>
      </c>
      <c r="D36" s="96" t="s">
        <v>1982</v>
      </c>
      <c r="E36" s="97" t="s">
        <v>1983</v>
      </c>
      <c r="F36" s="98">
        <v>600</v>
      </c>
      <c r="G36" s="98">
        <v>-600</v>
      </c>
      <c r="H36" s="98">
        <f t="shared" si="1"/>
        <v>0</v>
      </c>
      <c r="I36" s="98"/>
      <c r="J36" s="108"/>
      <c r="K36" s="108" t="s">
        <v>1984</v>
      </c>
      <c r="L36" s="109">
        <v>-600</v>
      </c>
      <c r="M36" s="109"/>
    </row>
    <row r="37" s="69" customFormat="1" ht="26.25" customHeight="1" spans="1:13">
      <c r="A37" s="83">
        <v>28</v>
      </c>
      <c r="B37" s="94" t="s">
        <v>665</v>
      </c>
      <c r="C37" s="95" t="s">
        <v>709</v>
      </c>
      <c r="D37" s="96" t="s">
        <v>1985</v>
      </c>
      <c r="E37" s="97" t="s">
        <v>1986</v>
      </c>
      <c r="F37" s="98">
        <v>12.36</v>
      </c>
      <c r="G37" s="98"/>
      <c r="H37" s="98">
        <f t="shared" si="1"/>
        <v>12.36</v>
      </c>
      <c r="I37" s="98">
        <v>5.36</v>
      </c>
      <c r="J37" s="108"/>
      <c r="K37" s="108" t="s">
        <v>1987</v>
      </c>
      <c r="L37" s="109"/>
      <c r="M37" s="109"/>
    </row>
    <row r="38" s="69" customFormat="1" ht="26.25" customHeight="1" spans="1:13">
      <c r="A38" s="83">
        <v>29</v>
      </c>
      <c r="B38" s="94" t="s">
        <v>665</v>
      </c>
      <c r="C38" s="95" t="s">
        <v>709</v>
      </c>
      <c r="D38" s="96" t="s">
        <v>1985</v>
      </c>
      <c r="E38" s="97" t="s">
        <v>1988</v>
      </c>
      <c r="F38" s="98">
        <v>10</v>
      </c>
      <c r="G38" s="98"/>
      <c r="H38" s="98">
        <f t="shared" si="1"/>
        <v>10</v>
      </c>
      <c r="I38" s="98"/>
      <c r="J38" s="108"/>
      <c r="K38" s="108" t="s">
        <v>1989</v>
      </c>
      <c r="L38" s="109"/>
      <c r="M38" s="109"/>
    </row>
    <row r="39" s="69" customFormat="1" ht="24" spans="1:13">
      <c r="A39" s="83">
        <v>30</v>
      </c>
      <c r="B39" s="94" t="s">
        <v>665</v>
      </c>
      <c r="C39" s="95" t="s">
        <v>709</v>
      </c>
      <c r="D39" s="96" t="s">
        <v>1985</v>
      </c>
      <c r="E39" s="97" t="s">
        <v>1990</v>
      </c>
      <c r="F39" s="98">
        <v>50</v>
      </c>
      <c r="G39" s="98"/>
      <c r="H39" s="98">
        <f t="shared" si="1"/>
        <v>50</v>
      </c>
      <c r="I39" s="98"/>
      <c r="J39" s="108"/>
      <c r="K39" s="108" t="s">
        <v>1991</v>
      </c>
      <c r="L39" s="109"/>
      <c r="M39" s="109"/>
    </row>
    <row r="40" s="69" customFormat="1" ht="36" spans="1:13">
      <c r="A40" s="83">
        <v>35</v>
      </c>
      <c r="B40" s="94" t="s">
        <v>665</v>
      </c>
      <c r="C40" s="95" t="s">
        <v>709</v>
      </c>
      <c r="D40" s="96" t="s">
        <v>1985</v>
      </c>
      <c r="E40" s="97" t="s">
        <v>1992</v>
      </c>
      <c r="F40" s="98">
        <v>800</v>
      </c>
      <c r="G40" s="98">
        <v>-700</v>
      </c>
      <c r="H40" s="98">
        <f t="shared" si="1"/>
        <v>100</v>
      </c>
      <c r="I40" s="98">
        <v>30</v>
      </c>
      <c r="J40" s="108"/>
      <c r="K40" s="108" t="s">
        <v>1993</v>
      </c>
      <c r="L40" s="109">
        <v>-700</v>
      </c>
      <c r="M40" s="109"/>
    </row>
    <row r="41" s="69" customFormat="1" ht="24" spans="1:13">
      <c r="A41" s="83"/>
      <c r="B41" s="94" t="s">
        <v>665</v>
      </c>
      <c r="C41" s="95" t="s">
        <v>709</v>
      </c>
      <c r="D41" s="96" t="s">
        <v>1985</v>
      </c>
      <c r="E41" s="97" t="s">
        <v>1994</v>
      </c>
      <c r="F41" s="98">
        <v>0</v>
      </c>
      <c r="G41" s="98">
        <f>1179.8-1000</f>
        <v>179.8</v>
      </c>
      <c r="H41" s="98">
        <f t="shared" ref="H41:H56" si="2">F41+G41</f>
        <v>179.8</v>
      </c>
      <c r="I41" s="98"/>
      <c r="J41" s="108" t="s">
        <v>1995</v>
      </c>
      <c r="K41" s="108"/>
      <c r="L41" s="109">
        <v>-1000</v>
      </c>
      <c r="M41" s="109"/>
    </row>
    <row r="42" s="69" customFormat="1" ht="24" spans="1:13">
      <c r="A42" s="83"/>
      <c r="B42" s="94" t="s">
        <v>665</v>
      </c>
      <c r="C42" s="95" t="s">
        <v>709</v>
      </c>
      <c r="D42" s="96" t="s">
        <v>1985</v>
      </c>
      <c r="E42" s="97" t="s">
        <v>1996</v>
      </c>
      <c r="F42" s="98">
        <v>0</v>
      </c>
      <c r="G42" s="98">
        <v>15</v>
      </c>
      <c r="H42" s="98">
        <f t="shared" si="2"/>
        <v>15</v>
      </c>
      <c r="I42" s="98"/>
      <c r="J42" s="108" t="s">
        <v>1997</v>
      </c>
      <c r="K42" s="108"/>
      <c r="L42" s="109"/>
      <c r="M42" s="109"/>
    </row>
    <row r="43" s="69" customFormat="1" ht="24" spans="1:13">
      <c r="A43" s="83"/>
      <c r="B43" s="94" t="s">
        <v>665</v>
      </c>
      <c r="C43" s="95" t="s">
        <v>709</v>
      </c>
      <c r="D43" s="96" t="s">
        <v>1985</v>
      </c>
      <c r="E43" s="97" t="s">
        <v>1998</v>
      </c>
      <c r="F43" s="98">
        <v>0</v>
      </c>
      <c r="G43" s="98">
        <v>50</v>
      </c>
      <c r="H43" s="98">
        <f t="shared" si="2"/>
        <v>50</v>
      </c>
      <c r="I43" s="98"/>
      <c r="J43" s="108" t="s">
        <v>1997</v>
      </c>
      <c r="K43" s="108"/>
      <c r="L43" s="109"/>
      <c r="M43" s="109"/>
    </row>
    <row r="44" s="69" customFormat="1" ht="24" spans="1:13">
      <c r="A44" s="83"/>
      <c r="B44" s="94" t="s">
        <v>665</v>
      </c>
      <c r="C44" s="95" t="s">
        <v>709</v>
      </c>
      <c r="D44" s="96" t="s">
        <v>1985</v>
      </c>
      <c r="E44" s="97" t="s">
        <v>1999</v>
      </c>
      <c r="F44" s="98">
        <v>0</v>
      </c>
      <c r="G44" s="98">
        <v>18.42</v>
      </c>
      <c r="H44" s="98">
        <f t="shared" si="2"/>
        <v>18.42</v>
      </c>
      <c r="I44" s="98">
        <v>8.42</v>
      </c>
      <c r="J44" s="108" t="s">
        <v>2000</v>
      </c>
      <c r="K44" s="108"/>
      <c r="L44" s="109"/>
      <c r="M44" s="109"/>
    </row>
    <row r="45" s="69" customFormat="1" ht="24" spans="1:13">
      <c r="A45" s="83"/>
      <c r="B45" s="94" t="s">
        <v>665</v>
      </c>
      <c r="C45" s="95" t="s">
        <v>709</v>
      </c>
      <c r="D45" s="96" t="s">
        <v>1985</v>
      </c>
      <c r="E45" s="97" t="s">
        <v>2001</v>
      </c>
      <c r="F45" s="98">
        <v>0</v>
      </c>
      <c r="G45" s="98">
        <v>177.5</v>
      </c>
      <c r="H45" s="98">
        <f t="shared" si="2"/>
        <v>177.5</v>
      </c>
      <c r="I45" s="98">
        <v>60</v>
      </c>
      <c r="J45" s="108" t="s">
        <v>2002</v>
      </c>
      <c r="K45" s="108"/>
      <c r="L45" s="109"/>
      <c r="M45" s="109"/>
    </row>
    <row r="46" s="69" customFormat="1" ht="24" spans="1:13">
      <c r="A46" s="83"/>
      <c r="B46" s="94" t="s">
        <v>665</v>
      </c>
      <c r="C46" s="95" t="s">
        <v>709</v>
      </c>
      <c r="D46" s="96" t="s">
        <v>1985</v>
      </c>
      <c r="E46" s="97" t="s">
        <v>2003</v>
      </c>
      <c r="F46" s="98">
        <v>0</v>
      </c>
      <c r="G46" s="98">
        <f>1244.16+145.8-1000</f>
        <v>389.96</v>
      </c>
      <c r="H46" s="98">
        <f t="shared" si="2"/>
        <v>389.96</v>
      </c>
      <c r="I46" s="98"/>
      <c r="J46" s="108" t="s">
        <v>1975</v>
      </c>
      <c r="K46" s="108"/>
      <c r="L46" s="109">
        <v>-1000</v>
      </c>
      <c r="M46" s="109"/>
    </row>
    <row r="47" s="69" customFormat="1" ht="24" spans="1:13">
      <c r="A47" s="83"/>
      <c r="B47" s="94" t="s">
        <v>665</v>
      </c>
      <c r="C47" s="95" t="s">
        <v>709</v>
      </c>
      <c r="D47" s="96" t="s">
        <v>1985</v>
      </c>
      <c r="E47" s="97" t="s">
        <v>2004</v>
      </c>
      <c r="F47" s="98">
        <v>0</v>
      </c>
      <c r="G47" s="98">
        <v>338.55</v>
      </c>
      <c r="H47" s="98">
        <f t="shared" si="2"/>
        <v>338.55</v>
      </c>
      <c r="I47" s="98"/>
      <c r="J47" s="108" t="s">
        <v>1975</v>
      </c>
      <c r="K47" s="108"/>
      <c r="L47" s="109"/>
      <c r="M47" s="109"/>
    </row>
    <row r="48" s="69" customFormat="1" ht="24" spans="1:13">
      <c r="A48" s="83"/>
      <c r="B48" s="94" t="s">
        <v>665</v>
      </c>
      <c r="C48" s="95" t="s">
        <v>709</v>
      </c>
      <c r="D48" s="96" t="s">
        <v>1985</v>
      </c>
      <c r="E48" s="97" t="s">
        <v>2005</v>
      </c>
      <c r="F48" s="98">
        <v>0</v>
      </c>
      <c r="G48" s="98">
        <v>73.97</v>
      </c>
      <c r="H48" s="98">
        <f t="shared" si="2"/>
        <v>73.97</v>
      </c>
      <c r="I48" s="98"/>
      <c r="J48" s="108" t="s">
        <v>1975</v>
      </c>
      <c r="K48" s="108"/>
      <c r="L48" s="109"/>
      <c r="M48" s="109"/>
    </row>
    <row r="49" s="69" customFormat="1" ht="24" spans="1:13">
      <c r="A49" s="83"/>
      <c r="B49" s="94" t="s">
        <v>665</v>
      </c>
      <c r="C49" s="95" t="s">
        <v>709</v>
      </c>
      <c r="D49" s="96" t="s">
        <v>1985</v>
      </c>
      <c r="E49" s="97" t="s">
        <v>1784</v>
      </c>
      <c r="F49" s="98">
        <v>0</v>
      </c>
      <c r="G49" s="98">
        <v>40</v>
      </c>
      <c r="H49" s="98">
        <f t="shared" si="2"/>
        <v>40</v>
      </c>
      <c r="I49" s="98"/>
      <c r="J49" s="108" t="s">
        <v>1975</v>
      </c>
      <c r="K49" s="108"/>
      <c r="L49" s="109"/>
      <c r="M49" s="109"/>
    </row>
    <row r="50" s="69" customFormat="1" ht="24" spans="1:13">
      <c r="A50" s="83"/>
      <c r="B50" s="94" t="s">
        <v>665</v>
      </c>
      <c r="C50" s="95" t="s">
        <v>709</v>
      </c>
      <c r="D50" s="96" t="s">
        <v>1985</v>
      </c>
      <c r="E50" s="97" t="s">
        <v>2006</v>
      </c>
      <c r="F50" s="98">
        <v>0</v>
      </c>
      <c r="G50" s="98">
        <f>107.7+2695.8-2000</f>
        <v>803.5</v>
      </c>
      <c r="H50" s="98">
        <f t="shared" si="2"/>
        <v>803.5</v>
      </c>
      <c r="I50" s="98"/>
      <c r="J50" s="108" t="s">
        <v>2007</v>
      </c>
      <c r="K50" s="108"/>
      <c r="L50" s="109">
        <v>-2000</v>
      </c>
      <c r="M50" s="109"/>
    </row>
    <row r="51" s="69" customFormat="1" ht="24" spans="1:13">
      <c r="A51" s="83"/>
      <c r="B51" s="94" t="s">
        <v>665</v>
      </c>
      <c r="C51" s="95" t="s">
        <v>709</v>
      </c>
      <c r="D51" s="96" t="s">
        <v>1985</v>
      </c>
      <c r="E51" s="97" t="s">
        <v>2008</v>
      </c>
      <c r="F51" s="98">
        <v>0</v>
      </c>
      <c r="G51" s="98">
        <f>880-880</f>
        <v>0</v>
      </c>
      <c r="H51" s="98">
        <f t="shared" si="2"/>
        <v>0</v>
      </c>
      <c r="I51" s="98">
        <v>880</v>
      </c>
      <c r="J51" s="108"/>
      <c r="K51" s="108"/>
      <c r="L51" s="109"/>
      <c r="M51" s="109">
        <v>880</v>
      </c>
    </row>
    <row r="52" s="69" customFormat="1" ht="24" spans="1:13">
      <c r="A52" s="83"/>
      <c r="B52" s="94" t="s">
        <v>1334</v>
      </c>
      <c r="C52" s="95" t="s">
        <v>1615</v>
      </c>
      <c r="D52" s="96" t="s">
        <v>1985</v>
      </c>
      <c r="E52" s="97" t="s">
        <v>2009</v>
      </c>
      <c r="F52" s="98">
        <v>0</v>
      </c>
      <c r="G52" s="98">
        <v>350</v>
      </c>
      <c r="H52" s="98">
        <f t="shared" si="2"/>
        <v>350</v>
      </c>
      <c r="I52" s="98">
        <v>350</v>
      </c>
      <c r="J52" s="108" t="s">
        <v>2010</v>
      </c>
      <c r="K52" s="108"/>
      <c r="L52" s="109"/>
      <c r="M52" s="109"/>
    </row>
    <row r="53" s="69" customFormat="1" ht="26.25" customHeight="1" spans="1:13">
      <c r="A53" s="83">
        <v>31</v>
      </c>
      <c r="B53" s="100" t="s">
        <v>290</v>
      </c>
      <c r="C53" s="101" t="s">
        <v>632</v>
      </c>
      <c r="D53" s="96" t="s">
        <v>1985</v>
      </c>
      <c r="E53" s="97" t="s">
        <v>2011</v>
      </c>
      <c r="F53" s="98">
        <v>300</v>
      </c>
      <c r="G53" s="98"/>
      <c r="H53" s="98">
        <f t="shared" si="2"/>
        <v>300</v>
      </c>
      <c r="I53" s="98">
        <v>84.5838</v>
      </c>
      <c r="J53" s="97"/>
      <c r="K53" s="97" t="s">
        <v>2012</v>
      </c>
      <c r="L53" s="109"/>
      <c r="M53" s="109"/>
    </row>
    <row r="54" s="69" customFormat="1" ht="26.25" customHeight="1" spans="1:13">
      <c r="A54" s="83">
        <v>32</v>
      </c>
      <c r="B54" s="100" t="s">
        <v>290</v>
      </c>
      <c r="C54" s="101" t="s">
        <v>632</v>
      </c>
      <c r="D54" s="96" t="s">
        <v>1985</v>
      </c>
      <c r="E54" s="97" t="s">
        <v>2013</v>
      </c>
      <c r="F54" s="98">
        <v>1500</v>
      </c>
      <c r="G54" s="98"/>
      <c r="H54" s="98">
        <f t="shared" si="2"/>
        <v>1500</v>
      </c>
      <c r="I54" s="98">
        <v>1351.4266</v>
      </c>
      <c r="J54" s="97"/>
      <c r="K54" s="97" t="s">
        <v>2012</v>
      </c>
      <c r="L54" s="109"/>
      <c r="M54" s="109"/>
    </row>
    <row r="55" s="69" customFormat="1" ht="26.25" customHeight="1" spans="1:13">
      <c r="A55" s="83">
        <v>33</v>
      </c>
      <c r="B55" s="100" t="s">
        <v>290</v>
      </c>
      <c r="C55" s="101" t="s">
        <v>632</v>
      </c>
      <c r="D55" s="96" t="s">
        <v>1985</v>
      </c>
      <c r="E55" s="97" t="s">
        <v>2014</v>
      </c>
      <c r="F55" s="98">
        <v>800</v>
      </c>
      <c r="G55" s="98"/>
      <c r="H55" s="98">
        <f t="shared" si="2"/>
        <v>800</v>
      </c>
      <c r="I55" s="98"/>
      <c r="J55" s="97"/>
      <c r="K55" s="97" t="s">
        <v>2012</v>
      </c>
      <c r="L55" s="109"/>
      <c r="M55" s="109"/>
    </row>
    <row r="56" s="69" customFormat="1" ht="26.25" customHeight="1" spans="1:13">
      <c r="A56" s="83">
        <v>34</v>
      </c>
      <c r="B56" s="100" t="s">
        <v>290</v>
      </c>
      <c r="C56" s="101" t="s">
        <v>693</v>
      </c>
      <c r="D56" s="96" t="s">
        <v>1985</v>
      </c>
      <c r="E56" s="97" t="s">
        <v>2015</v>
      </c>
      <c r="F56" s="98">
        <v>5070</v>
      </c>
      <c r="G56" s="98">
        <v>-1518.34</v>
      </c>
      <c r="H56" s="98">
        <f t="shared" si="2"/>
        <v>3551.66</v>
      </c>
      <c r="I56" s="98">
        <f>1751.66+1800</f>
        <v>3551.66</v>
      </c>
      <c r="J56" s="108"/>
      <c r="K56" s="108" t="s">
        <v>2012</v>
      </c>
      <c r="L56" s="109">
        <v>-1000</v>
      </c>
      <c r="M56" s="109"/>
    </row>
    <row r="57" s="68" customFormat="1" ht="26.25" customHeight="1" spans="1:13">
      <c r="A57" s="83">
        <v>36</v>
      </c>
      <c r="B57" s="89"/>
      <c r="C57" s="90" t="s">
        <v>2016</v>
      </c>
      <c r="D57" s="87" t="s">
        <v>2017</v>
      </c>
      <c r="E57" s="92"/>
      <c r="F57" s="93">
        <f>SUM(F58:F58)</f>
        <v>30</v>
      </c>
      <c r="G57" s="93">
        <f>SUM(G58:G58)</f>
        <v>0</v>
      </c>
      <c r="H57" s="93">
        <f>SUM(H58:H58)</f>
        <v>30</v>
      </c>
      <c r="I57" s="93"/>
      <c r="J57" s="105"/>
      <c r="K57" s="106"/>
      <c r="L57" s="107"/>
      <c r="M57" s="107"/>
    </row>
    <row r="58" s="69" customFormat="1" ht="26.25" customHeight="1" spans="1:13">
      <c r="A58" s="83">
        <v>37</v>
      </c>
      <c r="B58" s="94" t="s">
        <v>665</v>
      </c>
      <c r="C58" s="95" t="s">
        <v>709</v>
      </c>
      <c r="D58" s="96" t="s">
        <v>2018</v>
      </c>
      <c r="E58" s="97" t="s">
        <v>2019</v>
      </c>
      <c r="F58" s="98">
        <v>30</v>
      </c>
      <c r="G58" s="98"/>
      <c r="H58" s="98">
        <f t="shared" ref="H58:H78" si="3">F58+G58</f>
        <v>30</v>
      </c>
      <c r="I58" s="98"/>
      <c r="J58" s="108"/>
      <c r="K58" s="108" t="s">
        <v>2020</v>
      </c>
      <c r="L58" s="109"/>
      <c r="M58" s="109"/>
    </row>
    <row r="59" s="68" customFormat="1" ht="26.25" customHeight="1" spans="1:13">
      <c r="A59" s="83">
        <v>38</v>
      </c>
      <c r="B59" s="89"/>
      <c r="C59" s="90" t="s">
        <v>2021</v>
      </c>
      <c r="D59" s="87" t="s">
        <v>2022</v>
      </c>
      <c r="E59" s="92"/>
      <c r="F59" s="93">
        <f>SUM(F60:F78)</f>
        <v>1600</v>
      </c>
      <c r="G59" s="93">
        <f>SUM(G60:G78)</f>
        <v>818.214786</v>
      </c>
      <c r="H59" s="93">
        <f>SUM(H60:H78)</f>
        <v>2418.214786</v>
      </c>
      <c r="I59" s="93"/>
      <c r="J59" s="105"/>
      <c r="K59" s="106"/>
      <c r="L59" s="107"/>
      <c r="M59" s="107"/>
    </row>
    <row r="60" s="69" customFormat="1" ht="24" spans="1:13">
      <c r="A60" s="83">
        <v>39</v>
      </c>
      <c r="B60" s="100" t="s">
        <v>290</v>
      </c>
      <c r="C60" s="95" t="s">
        <v>619</v>
      </c>
      <c r="D60" s="96" t="s">
        <v>2023</v>
      </c>
      <c r="E60" s="97" t="s">
        <v>2024</v>
      </c>
      <c r="F60" s="98">
        <v>10</v>
      </c>
      <c r="G60" s="98">
        <v>2.36</v>
      </c>
      <c r="H60" s="98">
        <f t="shared" si="3"/>
        <v>12.36</v>
      </c>
      <c r="I60" s="98">
        <v>12.35753</v>
      </c>
      <c r="J60" s="111" t="s">
        <v>2025</v>
      </c>
      <c r="K60" s="111" t="s">
        <v>2026</v>
      </c>
      <c r="L60" s="109"/>
      <c r="M60" s="109"/>
    </row>
    <row r="61" s="69" customFormat="1" ht="36" customHeight="1" spans="1:13">
      <c r="A61" s="83">
        <v>40</v>
      </c>
      <c r="B61" s="100" t="s">
        <v>290</v>
      </c>
      <c r="C61" s="95" t="s">
        <v>631</v>
      </c>
      <c r="D61" s="96" t="s">
        <v>2023</v>
      </c>
      <c r="E61" s="97" t="s">
        <v>2027</v>
      </c>
      <c r="F61" s="98">
        <v>350</v>
      </c>
      <c r="G61" s="98"/>
      <c r="H61" s="98">
        <f t="shared" si="3"/>
        <v>350</v>
      </c>
      <c r="I61" s="98">
        <v>198.325958</v>
      </c>
      <c r="J61" s="111"/>
      <c r="K61" s="111" t="s">
        <v>2028</v>
      </c>
      <c r="L61" s="109"/>
      <c r="M61" s="109"/>
    </row>
    <row r="62" s="69" customFormat="1" ht="26.25" customHeight="1" spans="1:13">
      <c r="A62" s="83">
        <v>41</v>
      </c>
      <c r="B62" s="100" t="s">
        <v>290</v>
      </c>
      <c r="C62" s="95" t="s">
        <v>636</v>
      </c>
      <c r="D62" s="96" t="s">
        <v>2023</v>
      </c>
      <c r="E62" s="97" t="s">
        <v>2029</v>
      </c>
      <c r="F62" s="98">
        <v>5</v>
      </c>
      <c r="G62" s="98"/>
      <c r="H62" s="98">
        <f t="shared" si="3"/>
        <v>5</v>
      </c>
      <c r="I62" s="98"/>
      <c r="J62" s="111"/>
      <c r="K62" s="111" t="s">
        <v>2030</v>
      </c>
      <c r="L62" s="109"/>
      <c r="M62" s="109"/>
    </row>
    <row r="63" s="69" customFormat="1" ht="26.25" customHeight="1" spans="1:13">
      <c r="A63" s="83">
        <v>42</v>
      </c>
      <c r="B63" s="100" t="s">
        <v>290</v>
      </c>
      <c r="C63" s="95" t="s">
        <v>636</v>
      </c>
      <c r="D63" s="96" t="s">
        <v>2023</v>
      </c>
      <c r="E63" s="97" t="s">
        <v>2031</v>
      </c>
      <c r="F63" s="98">
        <v>997</v>
      </c>
      <c r="G63" s="98">
        <v>195</v>
      </c>
      <c r="H63" s="98">
        <f t="shared" si="3"/>
        <v>1192</v>
      </c>
      <c r="I63" s="98">
        <v>1290.037349</v>
      </c>
      <c r="J63" s="111" t="s">
        <v>2032</v>
      </c>
      <c r="K63" s="111" t="s">
        <v>2033</v>
      </c>
      <c r="L63" s="109"/>
      <c r="M63" s="109"/>
    </row>
    <row r="64" s="69" customFormat="1" ht="26.25" customHeight="1" spans="1:13">
      <c r="A64" s="83">
        <v>43</v>
      </c>
      <c r="B64" s="100" t="s">
        <v>290</v>
      </c>
      <c r="C64" s="95" t="s">
        <v>636</v>
      </c>
      <c r="D64" s="96" t="s">
        <v>2023</v>
      </c>
      <c r="E64" s="97" t="s">
        <v>2034</v>
      </c>
      <c r="F64" s="98">
        <v>5</v>
      </c>
      <c r="G64" s="98"/>
      <c r="H64" s="98">
        <f t="shared" si="3"/>
        <v>5</v>
      </c>
      <c r="I64" s="98"/>
      <c r="J64" s="111"/>
      <c r="K64" s="111" t="s">
        <v>2035</v>
      </c>
      <c r="L64" s="109"/>
      <c r="M64" s="109"/>
    </row>
    <row r="65" s="69" customFormat="1" ht="26.25" customHeight="1" spans="1:13">
      <c r="A65" s="83">
        <v>44</v>
      </c>
      <c r="B65" s="100" t="s">
        <v>290</v>
      </c>
      <c r="C65" s="95" t="s">
        <v>631</v>
      </c>
      <c r="D65" s="96" t="s">
        <v>2023</v>
      </c>
      <c r="E65" s="97" t="s">
        <v>2036</v>
      </c>
      <c r="F65" s="98">
        <v>153</v>
      </c>
      <c r="G65" s="98"/>
      <c r="H65" s="98">
        <f t="shared" si="3"/>
        <v>153</v>
      </c>
      <c r="I65" s="98"/>
      <c r="J65" s="97"/>
      <c r="K65" s="97" t="s">
        <v>2036</v>
      </c>
      <c r="L65" s="109"/>
      <c r="M65" s="109"/>
    </row>
    <row r="66" s="69" customFormat="1" ht="24.95" customHeight="1" spans="1:13">
      <c r="A66" s="83">
        <v>45</v>
      </c>
      <c r="B66" s="100" t="s">
        <v>290</v>
      </c>
      <c r="C66" s="95" t="s">
        <v>617</v>
      </c>
      <c r="D66" s="96" t="s">
        <v>2037</v>
      </c>
      <c r="E66" s="97" t="s">
        <v>2038</v>
      </c>
      <c r="F66" s="98">
        <v>80</v>
      </c>
      <c r="G66" s="98">
        <v>20</v>
      </c>
      <c r="H66" s="98">
        <f t="shared" si="3"/>
        <v>100</v>
      </c>
      <c r="I66" s="98"/>
      <c r="J66" s="108" t="s">
        <v>2039</v>
      </c>
      <c r="K66" s="108" t="s">
        <v>2040</v>
      </c>
      <c r="L66" s="109"/>
      <c r="M66" s="109"/>
    </row>
    <row r="67" s="69" customFormat="1" ht="24.95" customHeight="1" spans="1:13">
      <c r="A67" s="83"/>
      <c r="B67" s="100" t="s">
        <v>290</v>
      </c>
      <c r="C67" s="95" t="s">
        <v>617</v>
      </c>
      <c r="D67" s="96" t="s">
        <v>2037</v>
      </c>
      <c r="E67" s="97" t="s">
        <v>2041</v>
      </c>
      <c r="F67" s="98"/>
      <c r="G67" s="98">
        <f>15+12.5</f>
        <v>27.5</v>
      </c>
      <c r="H67" s="98">
        <f t="shared" si="3"/>
        <v>27.5</v>
      </c>
      <c r="I67" s="98"/>
      <c r="J67" s="108" t="s">
        <v>2042</v>
      </c>
      <c r="K67" s="108"/>
      <c r="L67" s="109"/>
      <c r="M67" s="109"/>
    </row>
    <row r="68" s="69" customFormat="1" ht="24.95" customHeight="1" spans="1:13">
      <c r="A68" s="83"/>
      <c r="B68" s="100" t="s">
        <v>290</v>
      </c>
      <c r="C68" s="95" t="s">
        <v>619</v>
      </c>
      <c r="D68" s="96" t="s">
        <v>2037</v>
      </c>
      <c r="E68" s="97" t="s">
        <v>2043</v>
      </c>
      <c r="F68" s="98"/>
      <c r="G68" s="98">
        <v>3.218886</v>
      </c>
      <c r="H68" s="98">
        <f t="shared" si="3"/>
        <v>3.218886</v>
      </c>
      <c r="I68" s="98"/>
      <c r="J68" s="108" t="s">
        <v>2044</v>
      </c>
      <c r="K68" s="108"/>
      <c r="L68" s="109"/>
      <c r="M68" s="109"/>
    </row>
    <row r="69" s="69" customFormat="1" ht="24.95" customHeight="1" spans="1:13">
      <c r="A69" s="83"/>
      <c r="B69" s="100" t="s">
        <v>290</v>
      </c>
      <c r="C69" s="95" t="s">
        <v>619</v>
      </c>
      <c r="D69" s="96" t="s">
        <v>2037</v>
      </c>
      <c r="E69" s="97" t="s">
        <v>2045</v>
      </c>
      <c r="F69" s="98"/>
      <c r="G69" s="98">
        <f>15+111.99</f>
        <v>126.99</v>
      </c>
      <c r="H69" s="98">
        <f t="shared" si="3"/>
        <v>126.99</v>
      </c>
      <c r="I69" s="98"/>
      <c r="J69" s="108" t="s">
        <v>2046</v>
      </c>
      <c r="K69" s="108"/>
      <c r="L69" s="109"/>
      <c r="M69" s="109"/>
    </row>
    <row r="70" s="69" customFormat="1" ht="24.95" customHeight="1" spans="1:13">
      <c r="A70" s="83"/>
      <c r="B70" s="100" t="s">
        <v>290</v>
      </c>
      <c r="C70" s="95" t="s">
        <v>617</v>
      </c>
      <c r="D70" s="96" t="s">
        <v>2037</v>
      </c>
      <c r="E70" s="97" t="s">
        <v>2047</v>
      </c>
      <c r="F70" s="98"/>
      <c r="G70" s="98">
        <v>1.5059</v>
      </c>
      <c r="H70" s="98">
        <f t="shared" si="3"/>
        <v>1.5059</v>
      </c>
      <c r="I70" s="98"/>
      <c r="J70" s="108" t="s">
        <v>2046</v>
      </c>
      <c r="K70" s="108"/>
      <c r="L70" s="109"/>
      <c r="M70" s="109"/>
    </row>
    <row r="71" s="69" customFormat="1" ht="24.95" customHeight="1" spans="1:13">
      <c r="A71" s="83"/>
      <c r="B71" s="100" t="s">
        <v>290</v>
      </c>
      <c r="C71" s="95" t="s">
        <v>631</v>
      </c>
      <c r="D71" s="96" t="s">
        <v>2037</v>
      </c>
      <c r="E71" s="97" t="s">
        <v>2048</v>
      </c>
      <c r="F71" s="98"/>
      <c r="G71" s="98">
        <v>3.3586</v>
      </c>
      <c r="H71" s="98">
        <f t="shared" si="3"/>
        <v>3.3586</v>
      </c>
      <c r="I71" s="98"/>
      <c r="J71" s="108" t="s">
        <v>2046</v>
      </c>
      <c r="K71" s="108"/>
      <c r="L71" s="109"/>
      <c r="M71" s="109"/>
    </row>
    <row r="72" s="69" customFormat="1" ht="24.95" customHeight="1" spans="1:13">
      <c r="A72" s="83"/>
      <c r="B72" s="100" t="s">
        <v>290</v>
      </c>
      <c r="C72" s="95" t="s">
        <v>631</v>
      </c>
      <c r="D72" s="96" t="s">
        <v>2037</v>
      </c>
      <c r="E72" s="97" t="s">
        <v>2049</v>
      </c>
      <c r="F72" s="98"/>
      <c r="G72" s="98">
        <v>149.2814</v>
      </c>
      <c r="H72" s="98">
        <f t="shared" si="3"/>
        <v>149.2814</v>
      </c>
      <c r="I72" s="98"/>
      <c r="J72" s="108" t="s">
        <v>2046</v>
      </c>
      <c r="K72" s="108"/>
      <c r="L72" s="109"/>
      <c r="M72" s="109"/>
    </row>
    <row r="73" s="69" customFormat="1" ht="24.95" customHeight="1" spans="1:13">
      <c r="A73" s="83"/>
      <c r="B73" s="100" t="s">
        <v>290</v>
      </c>
      <c r="C73" s="95" t="s">
        <v>619</v>
      </c>
      <c r="D73" s="96" t="s">
        <v>2037</v>
      </c>
      <c r="E73" s="97" t="s">
        <v>2050</v>
      </c>
      <c r="F73" s="98"/>
      <c r="G73" s="98">
        <v>10</v>
      </c>
      <c r="H73" s="98">
        <f t="shared" si="3"/>
        <v>10</v>
      </c>
      <c r="I73" s="98"/>
      <c r="J73" s="108" t="s">
        <v>2051</v>
      </c>
      <c r="K73" s="108"/>
      <c r="L73" s="109"/>
      <c r="M73" s="109"/>
    </row>
    <row r="74" s="69" customFormat="1" ht="24.95" customHeight="1" spans="1:13">
      <c r="A74" s="83"/>
      <c r="B74" s="100" t="s">
        <v>290</v>
      </c>
      <c r="C74" s="95" t="s">
        <v>619</v>
      </c>
      <c r="D74" s="96" t="s">
        <v>2037</v>
      </c>
      <c r="E74" s="97" t="s">
        <v>2052</v>
      </c>
      <c r="F74" s="98"/>
      <c r="G74" s="98">
        <v>18</v>
      </c>
      <c r="H74" s="98">
        <f t="shared" si="3"/>
        <v>18</v>
      </c>
      <c r="I74" s="98"/>
      <c r="J74" s="108" t="s">
        <v>2051</v>
      </c>
      <c r="K74" s="108"/>
      <c r="L74" s="109"/>
      <c r="M74" s="109"/>
    </row>
    <row r="75" s="69" customFormat="1" ht="24.95" customHeight="1" spans="1:13">
      <c r="A75" s="83"/>
      <c r="B75" s="100" t="s">
        <v>290</v>
      </c>
      <c r="C75" s="95" t="s">
        <v>631</v>
      </c>
      <c r="D75" s="96" t="s">
        <v>2037</v>
      </c>
      <c r="E75" s="97" t="s">
        <v>2053</v>
      </c>
      <c r="F75" s="98"/>
      <c r="G75" s="98">
        <v>20</v>
      </c>
      <c r="H75" s="98">
        <f t="shared" si="3"/>
        <v>20</v>
      </c>
      <c r="I75" s="98"/>
      <c r="J75" s="108" t="s">
        <v>2054</v>
      </c>
      <c r="K75" s="108"/>
      <c r="L75" s="109"/>
      <c r="M75" s="109"/>
    </row>
    <row r="76" s="69" customFormat="1" ht="24.95" customHeight="1" spans="1:13">
      <c r="A76" s="83"/>
      <c r="B76" s="100" t="s">
        <v>290</v>
      </c>
      <c r="C76" s="95" t="s">
        <v>631</v>
      </c>
      <c r="D76" s="96" t="s">
        <v>2037</v>
      </c>
      <c r="E76" s="97" t="s">
        <v>2055</v>
      </c>
      <c r="F76" s="98"/>
      <c r="G76" s="98">
        <v>30</v>
      </c>
      <c r="H76" s="98">
        <f t="shared" si="3"/>
        <v>30</v>
      </c>
      <c r="I76" s="98"/>
      <c r="J76" s="108" t="s">
        <v>2056</v>
      </c>
      <c r="K76" s="108"/>
      <c r="L76" s="109"/>
      <c r="M76" s="109"/>
    </row>
    <row r="77" s="69" customFormat="1" ht="24.95" customHeight="1" spans="1:13">
      <c r="A77" s="83"/>
      <c r="B77" s="100" t="s">
        <v>290</v>
      </c>
      <c r="C77" s="95" t="s">
        <v>631</v>
      </c>
      <c r="D77" s="96" t="s">
        <v>2037</v>
      </c>
      <c r="E77" s="97" t="s">
        <v>1361</v>
      </c>
      <c r="F77" s="98"/>
      <c r="G77" s="98">
        <v>151</v>
      </c>
      <c r="H77" s="98">
        <f t="shared" si="3"/>
        <v>151</v>
      </c>
      <c r="I77" s="98"/>
      <c r="J77" s="108" t="s">
        <v>2056</v>
      </c>
      <c r="K77" s="108"/>
      <c r="L77" s="109"/>
      <c r="M77" s="109"/>
    </row>
    <row r="78" s="69" customFormat="1" ht="24.95" customHeight="1" spans="1:13">
      <c r="A78" s="83"/>
      <c r="B78" s="100" t="s">
        <v>290</v>
      </c>
      <c r="C78" s="95" t="s">
        <v>636</v>
      </c>
      <c r="D78" s="96" t="s">
        <v>2037</v>
      </c>
      <c r="E78" s="97" t="s">
        <v>1361</v>
      </c>
      <c r="F78" s="98"/>
      <c r="G78" s="98">
        <v>60</v>
      </c>
      <c r="H78" s="98">
        <f t="shared" si="3"/>
        <v>60</v>
      </c>
      <c r="I78" s="98"/>
      <c r="J78" s="108" t="s">
        <v>2056</v>
      </c>
      <c r="K78" s="108"/>
      <c r="L78" s="109"/>
      <c r="M78" s="109"/>
    </row>
    <row r="79" s="68" customFormat="1" ht="26.25" customHeight="1" spans="1:13">
      <c r="A79" s="83">
        <v>46</v>
      </c>
      <c r="B79" s="89"/>
      <c r="C79" s="90" t="s">
        <v>2057</v>
      </c>
      <c r="D79" s="87" t="s">
        <v>2058</v>
      </c>
      <c r="E79" s="92"/>
      <c r="F79" s="93">
        <f>SUM(F80:F81)</f>
        <v>700</v>
      </c>
      <c r="G79" s="93">
        <f>SUM(G80:G81)</f>
        <v>75</v>
      </c>
      <c r="H79" s="93">
        <f>SUM(H80:H81)</f>
        <v>775</v>
      </c>
      <c r="I79" s="93"/>
      <c r="J79" s="105"/>
      <c r="K79" s="106"/>
      <c r="L79" s="107"/>
      <c r="M79" s="107"/>
    </row>
    <row r="80" s="69" customFormat="1" ht="26.25" customHeight="1" spans="1:13">
      <c r="A80" s="83">
        <v>47</v>
      </c>
      <c r="B80" s="100" t="s">
        <v>290</v>
      </c>
      <c r="C80" s="95" t="s">
        <v>619</v>
      </c>
      <c r="D80" s="96" t="s">
        <v>1586</v>
      </c>
      <c r="E80" s="97" t="s">
        <v>2059</v>
      </c>
      <c r="F80" s="98">
        <v>700</v>
      </c>
      <c r="G80" s="98"/>
      <c r="H80" s="98">
        <f t="shared" ref="H80:H83" si="4">F80+G80</f>
        <v>700</v>
      </c>
      <c r="I80" s="98">
        <v>164.424</v>
      </c>
      <c r="J80" s="108"/>
      <c r="K80" s="108" t="s">
        <v>2060</v>
      </c>
      <c r="L80" s="109"/>
      <c r="M80" s="109"/>
    </row>
    <row r="81" s="69" customFormat="1" ht="26.25" customHeight="1" spans="1:13">
      <c r="A81" s="83"/>
      <c r="B81" s="100" t="s">
        <v>290</v>
      </c>
      <c r="C81" s="95" t="s">
        <v>632</v>
      </c>
      <c r="D81" s="96" t="s">
        <v>1586</v>
      </c>
      <c r="E81" s="97" t="s">
        <v>1587</v>
      </c>
      <c r="F81" s="98"/>
      <c r="G81" s="98">
        <v>75</v>
      </c>
      <c r="H81" s="98">
        <f t="shared" si="4"/>
        <v>75</v>
      </c>
      <c r="I81" s="98">
        <v>15</v>
      </c>
      <c r="J81" s="108" t="s">
        <v>2061</v>
      </c>
      <c r="K81" s="108"/>
      <c r="L81" s="109"/>
      <c r="M81" s="109"/>
    </row>
    <row r="82" s="68" customFormat="1" ht="26.25" customHeight="1" spans="1:13">
      <c r="A82" s="83"/>
      <c r="B82" s="89"/>
      <c r="C82" s="85" t="s">
        <v>2062</v>
      </c>
      <c r="D82" s="87" t="s">
        <v>1731</v>
      </c>
      <c r="E82" s="87"/>
      <c r="F82" s="88">
        <f>SUM(F83)</f>
        <v>0</v>
      </c>
      <c r="G82" s="88">
        <f>SUM(G83)</f>
        <v>20000</v>
      </c>
      <c r="H82" s="88">
        <f>SUM(H83)</f>
        <v>20000</v>
      </c>
      <c r="I82" s="93"/>
      <c r="J82" s="105"/>
      <c r="K82" s="106"/>
      <c r="L82" s="107"/>
      <c r="M82" s="107"/>
    </row>
    <row r="83" s="69" customFormat="1" ht="24" spans="1:13">
      <c r="A83" s="83"/>
      <c r="B83" s="100" t="s">
        <v>1334</v>
      </c>
      <c r="C83" s="95" t="s">
        <v>693</v>
      </c>
      <c r="D83" s="96" t="s">
        <v>2063</v>
      </c>
      <c r="E83" s="97" t="s">
        <v>2064</v>
      </c>
      <c r="F83" s="98"/>
      <c r="G83" s="98">
        <v>20000</v>
      </c>
      <c r="H83" s="98">
        <f t="shared" si="4"/>
        <v>20000</v>
      </c>
      <c r="I83" s="98">
        <v>20000</v>
      </c>
      <c r="J83" s="108" t="s">
        <v>2065</v>
      </c>
      <c r="K83" s="108"/>
      <c r="L83" s="109"/>
      <c r="M83" s="109"/>
    </row>
    <row r="84" s="68" customFormat="1" ht="26.25" customHeight="1" spans="1:13">
      <c r="A84" s="83">
        <v>48</v>
      </c>
      <c r="B84" s="84"/>
      <c r="C84" s="85" t="s">
        <v>2066</v>
      </c>
      <c r="D84" s="87" t="s">
        <v>1852</v>
      </c>
      <c r="E84" s="87"/>
      <c r="F84" s="88">
        <f>SUM(F85,F95,F97)</f>
        <v>242</v>
      </c>
      <c r="G84" s="88">
        <f>SUM(G85,G95,G97)</f>
        <v>63856</v>
      </c>
      <c r="H84" s="88">
        <f>SUM(H85,H95,H97)</f>
        <v>64098</v>
      </c>
      <c r="I84" s="93"/>
      <c r="J84" s="105"/>
      <c r="K84" s="106"/>
      <c r="L84" s="107"/>
      <c r="M84" s="107"/>
    </row>
    <row r="85" s="68" customFormat="1" ht="26.25" customHeight="1" spans="1:13">
      <c r="A85" s="83"/>
      <c r="B85" s="84"/>
      <c r="C85" s="90" t="s">
        <v>1912</v>
      </c>
      <c r="D85" s="87" t="s">
        <v>2067</v>
      </c>
      <c r="E85" s="92"/>
      <c r="F85" s="93">
        <f>SUM(F86:F94)</f>
        <v>0</v>
      </c>
      <c r="G85" s="93">
        <f>SUM(G86:G94)</f>
        <v>63883</v>
      </c>
      <c r="H85" s="93">
        <f>SUM(H86:H94)</f>
        <v>63883</v>
      </c>
      <c r="I85" s="93"/>
      <c r="J85" s="105"/>
      <c r="K85" s="106"/>
      <c r="L85" s="107"/>
      <c r="M85" s="107"/>
    </row>
    <row r="86" s="69" customFormat="1" ht="26.25" customHeight="1" spans="1:13">
      <c r="A86" s="83"/>
      <c r="B86" s="94" t="s">
        <v>1334</v>
      </c>
      <c r="C86" s="94" t="s">
        <v>435</v>
      </c>
      <c r="D86" s="97" t="s">
        <v>2068</v>
      </c>
      <c r="E86" s="97" t="s">
        <v>2069</v>
      </c>
      <c r="F86" s="112"/>
      <c r="G86" s="112">
        <v>3000</v>
      </c>
      <c r="H86" s="98">
        <f t="shared" ref="H86:H94" si="5">F86+G86</f>
        <v>3000</v>
      </c>
      <c r="I86" s="98">
        <v>3000</v>
      </c>
      <c r="J86" s="123" t="s">
        <v>1339</v>
      </c>
      <c r="K86" s="123"/>
      <c r="L86" s="109"/>
      <c r="M86" s="109"/>
    </row>
    <row r="87" s="69" customFormat="1" ht="26.25" customHeight="1" spans="1:13">
      <c r="A87" s="83"/>
      <c r="B87" s="94" t="s">
        <v>1334</v>
      </c>
      <c r="C87" s="94" t="s">
        <v>589</v>
      </c>
      <c r="D87" s="97" t="s">
        <v>2068</v>
      </c>
      <c r="E87" s="97" t="s">
        <v>2070</v>
      </c>
      <c r="F87" s="112"/>
      <c r="G87" s="112">
        <v>1500</v>
      </c>
      <c r="H87" s="98">
        <f t="shared" si="5"/>
        <v>1500</v>
      </c>
      <c r="I87" s="98">
        <v>1500</v>
      </c>
      <c r="J87" s="123" t="s">
        <v>1339</v>
      </c>
      <c r="K87" s="123"/>
      <c r="L87" s="109"/>
      <c r="M87" s="109"/>
    </row>
    <row r="88" s="69" customFormat="1" ht="36" spans="1:13">
      <c r="A88" s="83"/>
      <c r="B88" s="94" t="s">
        <v>1334</v>
      </c>
      <c r="C88" s="94" t="s">
        <v>1354</v>
      </c>
      <c r="D88" s="97" t="s">
        <v>2068</v>
      </c>
      <c r="E88" s="97" t="s">
        <v>2071</v>
      </c>
      <c r="F88" s="112"/>
      <c r="G88" s="112">
        <v>21350</v>
      </c>
      <c r="H88" s="98">
        <f t="shared" si="5"/>
        <v>21350</v>
      </c>
      <c r="I88" s="98">
        <v>16350</v>
      </c>
      <c r="J88" s="123" t="s">
        <v>2072</v>
      </c>
      <c r="K88" s="123"/>
      <c r="L88" s="109"/>
      <c r="M88" s="109"/>
    </row>
    <row r="89" s="69" customFormat="1" ht="26.25" customHeight="1" spans="1:13">
      <c r="A89" s="83"/>
      <c r="B89" s="94" t="s">
        <v>1334</v>
      </c>
      <c r="C89" s="94" t="s">
        <v>1354</v>
      </c>
      <c r="D89" s="97" t="s">
        <v>2068</v>
      </c>
      <c r="E89" s="97" t="s">
        <v>2073</v>
      </c>
      <c r="F89" s="112"/>
      <c r="G89" s="112">
        <v>14033</v>
      </c>
      <c r="H89" s="98">
        <f t="shared" si="5"/>
        <v>14033</v>
      </c>
      <c r="I89" s="98">
        <v>11033</v>
      </c>
      <c r="J89" s="123" t="s">
        <v>1363</v>
      </c>
      <c r="K89" s="123"/>
      <c r="L89" s="109"/>
      <c r="M89" s="109"/>
    </row>
    <row r="90" s="69" customFormat="1" ht="26.25" customHeight="1" spans="1:13">
      <c r="A90" s="83"/>
      <c r="B90" s="94" t="s">
        <v>1334</v>
      </c>
      <c r="C90" s="94" t="s">
        <v>1357</v>
      </c>
      <c r="D90" s="97" t="s">
        <v>2068</v>
      </c>
      <c r="E90" s="97" t="s">
        <v>2074</v>
      </c>
      <c r="F90" s="112"/>
      <c r="G90" s="112">
        <v>3000</v>
      </c>
      <c r="H90" s="98">
        <f t="shared" si="5"/>
        <v>3000</v>
      </c>
      <c r="I90" s="98">
        <v>3000</v>
      </c>
      <c r="J90" s="123" t="s">
        <v>1339</v>
      </c>
      <c r="K90" s="123"/>
      <c r="L90" s="109"/>
      <c r="M90" s="109"/>
    </row>
    <row r="91" s="69" customFormat="1" ht="26.25" customHeight="1" spans="1:13">
      <c r="A91" s="83"/>
      <c r="B91" s="94" t="s">
        <v>1334</v>
      </c>
      <c r="C91" s="94" t="s">
        <v>1357</v>
      </c>
      <c r="D91" s="97" t="s">
        <v>2068</v>
      </c>
      <c r="E91" s="97" t="s">
        <v>2075</v>
      </c>
      <c r="F91" s="112"/>
      <c r="G91" s="112">
        <v>10000</v>
      </c>
      <c r="H91" s="98">
        <f t="shared" si="5"/>
        <v>10000</v>
      </c>
      <c r="I91" s="98">
        <v>10000</v>
      </c>
      <c r="J91" s="123" t="s">
        <v>1339</v>
      </c>
      <c r="K91" s="123"/>
      <c r="L91" s="109"/>
      <c r="M91" s="109"/>
    </row>
    <row r="92" s="69" customFormat="1" ht="26.25" customHeight="1" spans="1:13">
      <c r="A92" s="83"/>
      <c r="B92" s="94" t="s">
        <v>1334</v>
      </c>
      <c r="C92" s="94" t="s">
        <v>709</v>
      </c>
      <c r="D92" s="97" t="s">
        <v>2068</v>
      </c>
      <c r="E92" s="97" t="s">
        <v>2076</v>
      </c>
      <c r="F92" s="112"/>
      <c r="G92" s="112">
        <v>5000</v>
      </c>
      <c r="H92" s="98">
        <f t="shared" si="5"/>
        <v>5000</v>
      </c>
      <c r="I92" s="98"/>
      <c r="J92" s="123" t="s">
        <v>2077</v>
      </c>
      <c r="K92" s="123"/>
      <c r="L92" s="109"/>
      <c r="M92" s="109"/>
    </row>
    <row r="93" s="69" customFormat="1" ht="26.25" customHeight="1" spans="1:13">
      <c r="A93" s="83"/>
      <c r="B93" s="94" t="s">
        <v>1334</v>
      </c>
      <c r="C93" s="94" t="s">
        <v>1291</v>
      </c>
      <c r="D93" s="97" t="s">
        <v>2068</v>
      </c>
      <c r="E93" s="97" t="s">
        <v>2078</v>
      </c>
      <c r="F93" s="112"/>
      <c r="G93" s="112">
        <v>3000</v>
      </c>
      <c r="H93" s="98">
        <f t="shared" si="5"/>
        <v>3000</v>
      </c>
      <c r="I93" s="98"/>
      <c r="J93" s="123" t="s">
        <v>2077</v>
      </c>
      <c r="K93" s="123"/>
      <c r="L93" s="109"/>
      <c r="M93" s="109"/>
    </row>
    <row r="94" s="69" customFormat="1" ht="26.25" customHeight="1" spans="1:13">
      <c r="A94" s="83"/>
      <c r="B94" s="94" t="s">
        <v>1334</v>
      </c>
      <c r="C94" s="94" t="s">
        <v>1364</v>
      </c>
      <c r="D94" s="97" t="s">
        <v>2068</v>
      </c>
      <c r="E94" s="97" t="s">
        <v>2079</v>
      </c>
      <c r="F94" s="112"/>
      <c r="G94" s="112">
        <v>3000</v>
      </c>
      <c r="H94" s="98">
        <f t="shared" si="5"/>
        <v>3000</v>
      </c>
      <c r="I94" s="98"/>
      <c r="J94" s="123" t="s">
        <v>2077</v>
      </c>
      <c r="K94" s="123"/>
      <c r="L94" s="109"/>
      <c r="M94" s="109"/>
    </row>
    <row r="95" s="69" customFormat="1" ht="27.95" customHeight="1" spans="1:13">
      <c r="A95" s="83">
        <v>49</v>
      </c>
      <c r="B95" s="89"/>
      <c r="C95" s="90" t="s">
        <v>2016</v>
      </c>
      <c r="D95" s="87" t="s">
        <v>2080</v>
      </c>
      <c r="E95" s="92"/>
      <c r="F95" s="93">
        <f>SUM(F96:F96)</f>
        <v>15</v>
      </c>
      <c r="G95" s="93">
        <f>SUM(G96:G96)</f>
        <v>0</v>
      </c>
      <c r="H95" s="93">
        <f>SUM(H96:H96)</f>
        <v>15</v>
      </c>
      <c r="I95" s="93"/>
      <c r="J95" s="105"/>
      <c r="K95" s="106"/>
      <c r="L95" s="109"/>
      <c r="M95" s="109"/>
    </row>
    <row r="96" s="69" customFormat="1" ht="26.25" customHeight="1" spans="1:13">
      <c r="A96" s="83">
        <v>50</v>
      </c>
      <c r="B96" s="94" t="s">
        <v>540</v>
      </c>
      <c r="C96" s="95" t="s">
        <v>553</v>
      </c>
      <c r="D96" s="96" t="s">
        <v>2081</v>
      </c>
      <c r="E96" s="97" t="s">
        <v>2082</v>
      </c>
      <c r="F96" s="98">
        <v>15</v>
      </c>
      <c r="G96" s="98"/>
      <c r="H96" s="98">
        <f>F96+G96</f>
        <v>15</v>
      </c>
      <c r="I96" s="98">
        <v>13.13</v>
      </c>
      <c r="J96" s="108"/>
      <c r="K96" s="108" t="s">
        <v>2083</v>
      </c>
      <c r="L96" s="109"/>
      <c r="M96" s="109"/>
    </row>
    <row r="97" s="68" customFormat="1" ht="26.25" customHeight="1" spans="1:13">
      <c r="A97" s="83">
        <v>51</v>
      </c>
      <c r="B97" s="89"/>
      <c r="C97" s="90" t="s">
        <v>2021</v>
      </c>
      <c r="D97" s="87" t="s">
        <v>2084</v>
      </c>
      <c r="E97" s="92"/>
      <c r="F97" s="93">
        <f>SUM(F98:F99)</f>
        <v>227</v>
      </c>
      <c r="G97" s="93">
        <f>SUM(G98:G99)</f>
        <v>-27</v>
      </c>
      <c r="H97" s="93">
        <f>SUM(H98:H99)</f>
        <v>200</v>
      </c>
      <c r="I97" s="93"/>
      <c r="J97" s="105"/>
      <c r="K97" s="106"/>
      <c r="L97" s="107"/>
      <c r="M97" s="107"/>
    </row>
    <row r="98" s="69" customFormat="1" ht="27" customHeight="1" spans="1:13">
      <c r="A98" s="83">
        <v>52</v>
      </c>
      <c r="B98" s="94" t="s">
        <v>195</v>
      </c>
      <c r="C98" s="95" t="s">
        <v>514</v>
      </c>
      <c r="D98" s="96" t="s">
        <v>2085</v>
      </c>
      <c r="E98" s="97" t="s">
        <v>2086</v>
      </c>
      <c r="F98" s="98">
        <v>200</v>
      </c>
      <c r="G98" s="98"/>
      <c r="H98" s="98">
        <f t="shared" ref="H98:H103" si="6">F98+G98</f>
        <v>200</v>
      </c>
      <c r="I98" s="98">
        <v>10</v>
      </c>
      <c r="J98" s="108"/>
      <c r="K98" s="108" t="s">
        <v>2087</v>
      </c>
      <c r="L98" s="109"/>
      <c r="M98" s="109"/>
    </row>
    <row r="99" s="69" customFormat="1" ht="27" customHeight="1" spans="1:13">
      <c r="A99" s="83">
        <v>53</v>
      </c>
      <c r="B99" s="94" t="s">
        <v>195</v>
      </c>
      <c r="C99" s="95" t="s">
        <v>435</v>
      </c>
      <c r="D99" s="96" t="s">
        <v>2085</v>
      </c>
      <c r="E99" s="97" t="s">
        <v>2088</v>
      </c>
      <c r="F99" s="98">
        <v>27</v>
      </c>
      <c r="G99" s="98">
        <v>-27</v>
      </c>
      <c r="H99" s="98">
        <f t="shared" si="6"/>
        <v>0</v>
      </c>
      <c r="I99" s="98"/>
      <c r="J99" s="108"/>
      <c r="K99" s="108" t="s">
        <v>2089</v>
      </c>
      <c r="L99" s="109">
        <v>-27</v>
      </c>
      <c r="M99" s="109"/>
    </row>
    <row r="100" s="68" customFormat="1" ht="26.25" customHeight="1" spans="1:13">
      <c r="A100" s="83">
        <v>56</v>
      </c>
      <c r="B100" s="84"/>
      <c r="C100" s="85" t="s">
        <v>2090</v>
      </c>
      <c r="D100" s="87" t="s">
        <v>1856</v>
      </c>
      <c r="E100" s="87"/>
      <c r="F100" s="88">
        <f>SUM(F101:F103)</f>
        <v>11032.32</v>
      </c>
      <c r="G100" s="88">
        <f>SUM(G101:G103)</f>
        <v>1089.2191</v>
      </c>
      <c r="H100" s="88">
        <f>SUM(H101:H103)</f>
        <v>12121.5391</v>
      </c>
      <c r="I100" s="93"/>
      <c r="J100" s="124"/>
      <c r="K100" s="125"/>
      <c r="L100" s="107"/>
      <c r="M100" s="107"/>
    </row>
    <row r="101" s="69" customFormat="1" ht="26.25" customHeight="1" spans="1:13">
      <c r="A101" s="83">
        <v>57</v>
      </c>
      <c r="B101" s="94" t="s">
        <v>1334</v>
      </c>
      <c r="C101" s="95" t="s">
        <v>1751</v>
      </c>
      <c r="D101" s="96" t="s">
        <v>2091</v>
      </c>
      <c r="E101" s="97" t="s">
        <v>2092</v>
      </c>
      <c r="F101" s="98">
        <f>11032.32</f>
        <v>11032.32</v>
      </c>
      <c r="G101" s="98">
        <v>-6600.5682</v>
      </c>
      <c r="H101" s="98">
        <f t="shared" si="6"/>
        <v>4431.7518</v>
      </c>
      <c r="I101" s="98">
        <v>4289.45665</v>
      </c>
      <c r="J101" s="108" t="s">
        <v>2093</v>
      </c>
      <c r="K101" s="108" t="s">
        <v>2094</v>
      </c>
      <c r="L101" s="109"/>
      <c r="M101" s="109"/>
    </row>
    <row r="102" s="69" customFormat="1" ht="32" customHeight="1" spans="1:13">
      <c r="A102" s="83"/>
      <c r="B102" s="94" t="s">
        <v>1334</v>
      </c>
      <c r="C102" s="95" t="s">
        <v>1751</v>
      </c>
      <c r="D102" s="96" t="s">
        <v>2095</v>
      </c>
      <c r="E102" s="97" t="s">
        <v>2092</v>
      </c>
      <c r="F102" s="98"/>
      <c r="G102" s="98">
        <v>320</v>
      </c>
      <c r="H102" s="98">
        <f t="shared" si="6"/>
        <v>320</v>
      </c>
      <c r="I102" s="98">
        <v>130.4</v>
      </c>
      <c r="J102" s="108" t="s">
        <v>2096</v>
      </c>
      <c r="K102" s="108"/>
      <c r="L102" s="109"/>
      <c r="M102" s="109"/>
    </row>
    <row r="103" s="69" customFormat="1" ht="36" spans="1:13">
      <c r="A103" s="83"/>
      <c r="B103" s="94" t="s">
        <v>1334</v>
      </c>
      <c r="C103" s="95" t="s">
        <v>1751</v>
      </c>
      <c r="D103" s="96" t="s">
        <v>2097</v>
      </c>
      <c r="E103" s="97" t="s">
        <v>2092</v>
      </c>
      <c r="F103" s="98"/>
      <c r="G103" s="98">
        <v>7369.7873</v>
      </c>
      <c r="H103" s="98">
        <f t="shared" si="6"/>
        <v>7369.7873</v>
      </c>
      <c r="I103" s="98">
        <v>6023.85545</v>
      </c>
      <c r="J103" s="108" t="s">
        <v>2098</v>
      </c>
      <c r="K103" s="108"/>
      <c r="L103" s="109"/>
      <c r="M103" s="109"/>
    </row>
    <row r="104" s="68" customFormat="1" ht="26.25" customHeight="1" spans="1:13">
      <c r="A104" s="83">
        <v>58</v>
      </c>
      <c r="B104" s="84"/>
      <c r="C104" s="85" t="s">
        <v>2099</v>
      </c>
      <c r="D104" s="87" t="s">
        <v>1863</v>
      </c>
      <c r="E104" s="87"/>
      <c r="F104" s="88">
        <f>SUM(F105:F107)</f>
        <v>40</v>
      </c>
      <c r="G104" s="88">
        <f>SUM(G105:G107)</f>
        <v>48.842984</v>
      </c>
      <c r="H104" s="88">
        <f>SUM(H105:H107)</f>
        <v>88.842984</v>
      </c>
      <c r="I104" s="93"/>
      <c r="J104" s="105"/>
      <c r="K104" s="106"/>
      <c r="L104" s="107"/>
      <c r="M104" s="107"/>
    </row>
    <row r="105" s="69" customFormat="1" ht="26.25" customHeight="1" spans="1:13">
      <c r="A105" s="83">
        <v>59</v>
      </c>
      <c r="B105" s="94" t="s">
        <v>1334</v>
      </c>
      <c r="C105" s="95" t="s">
        <v>1751</v>
      </c>
      <c r="D105" s="96" t="s">
        <v>2100</v>
      </c>
      <c r="E105" s="97" t="s">
        <v>2101</v>
      </c>
      <c r="F105" s="98">
        <v>40</v>
      </c>
      <c r="G105" s="98">
        <v>-40</v>
      </c>
      <c r="H105" s="98">
        <f>F105+G105</f>
        <v>0</v>
      </c>
      <c r="I105" s="98">
        <v>34.594777</v>
      </c>
      <c r="J105" s="108" t="s">
        <v>2102</v>
      </c>
      <c r="K105" s="108" t="s">
        <v>2103</v>
      </c>
      <c r="L105" s="109"/>
      <c r="M105" s="109"/>
    </row>
    <row r="106" s="69" customFormat="1" ht="26.25" customHeight="1" spans="1:13">
      <c r="A106" s="83"/>
      <c r="B106" s="94" t="s">
        <v>1334</v>
      </c>
      <c r="C106" s="95" t="s">
        <v>1751</v>
      </c>
      <c r="D106" s="96" t="s">
        <v>2104</v>
      </c>
      <c r="E106" s="97" t="s">
        <v>2101</v>
      </c>
      <c r="F106" s="98"/>
      <c r="G106" s="98">
        <v>21.28</v>
      </c>
      <c r="H106" s="98">
        <f>F106+G106</f>
        <v>21.28</v>
      </c>
      <c r="I106" s="98">
        <v>12.768</v>
      </c>
      <c r="J106" s="108"/>
      <c r="K106" s="108"/>
      <c r="L106" s="109"/>
      <c r="M106" s="109"/>
    </row>
    <row r="107" s="69" customFormat="1" ht="24" spans="1:13">
      <c r="A107" s="83"/>
      <c r="B107" s="94" t="s">
        <v>1334</v>
      </c>
      <c r="C107" s="95" t="s">
        <v>1751</v>
      </c>
      <c r="D107" s="96" t="s">
        <v>2105</v>
      </c>
      <c r="E107" s="97" t="s">
        <v>2101</v>
      </c>
      <c r="F107" s="98"/>
      <c r="G107" s="98">
        <v>67.562984</v>
      </c>
      <c r="H107" s="98">
        <f>F107+G107</f>
        <v>67.562984</v>
      </c>
      <c r="I107" s="98">
        <v>25.186584</v>
      </c>
      <c r="J107" s="108" t="s">
        <v>2106</v>
      </c>
      <c r="K107" s="108"/>
      <c r="L107" s="109"/>
      <c r="M107" s="109"/>
    </row>
    <row r="108" s="70" customFormat="1" ht="26.25" customHeight="1" spans="1:13">
      <c r="A108" s="83">
        <v>60</v>
      </c>
      <c r="B108" s="113"/>
      <c r="C108" s="85" t="s">
        <v>124</v>
      </c>
      <c r="D108" s="87"/>
      <c r="E108" s="87"/>
      <c r="F108" s="114">
        <f>F4+F7+F82+F84+F100+F104</f>
        <v>27499.99</v>
      </c>
      <c r="G108" s="114">
        <f>G4+G7+G82+G84+G100+G104</f>
        <v>83880.35287</v>
      </c>
      <c r="H108" s="114">
        <f>H4+H7+H82+H84+H100+H104</f>
        <v>111380.34287</v>
      </c>
      <c r="I108" s="93"/>
      <c r="J108" s="126"/>
      <c r="K108" s="127"/>
      <c r="L108" s="128"/>
      <c r="M108" s="128"/>
    </row>
    <row r="109" ht="26.25" customHeight="1" spans="1:13">
      <c r="A109" s="83">
        <v>61</v>
      </c>
      <c r="B109" s="94" t="s">
        <v>1334</v>
      </c>
      <c r="C109" s="96" t="s">
        <v>1751</v>
      </c>
      <c r="D109" s="96" t="s">
        <v>1906</v>
      </c>
      <c r="E109" s="97" t="s">
        <v>2107</v>
      </c>
      <c r="F109" s="112">
        <v>1003</v>
      </c>
      <c r="G109" s="112">
        <v>1003</v>
      </c>
      <c r="H109" s="98">
        <f>F109+G109</f>
        <v>2006</v>
      </c>
      <c r="I109" s="98">
        <v>2006</v>
      </c>
      <c r="J109" s="97" t="s">
        <v>2108</v>
      </c>
      <c r="K109" s="97" t="s">
        <v>2109</v>
      </c>
      <c r="L109" s="129"/>
      <c r="M109" s="129"/>
    </row>
    <row r="110" s="71" customFormat="1" ht="26.25" customHeight="1" spans="1:13">
      <c r="A110" s="83">
        <v>62</v>
      </c>
      <c r="B110" s="115"/>
      <c r="C110" s="116" t="s">
        <v>2110</v>
      </c>
      <c r="D110" s="117" t="s">
        <v>1907</v>
      </c>
      <c r="E110" s="118" t="s">
        <v>2111</v>
      </c>
      <c r="F110" s="112">
        <v>72518</v>
      </c>
      <c r="G110" s="119">
        <f>-72518+6000+17046+10000+6839+8715-7082-384+1000+3996</f>
        <v>-26388</v>
      </c>
      <c r="H110" s="98">
        <f>F110+G110</f>
        <v>46130</v>
      </c>
      <c r="I110" s="98"/>
      <c r="J110" s="123"/>
      <c r="K110" s="123" t="s">
        <v>2112</v>
      </c>
      <c r="L110" s="130"/>
      <c r="M110" s="130"/>
    </row>
    <row r="111" s="70" customFormat="1" ht="26.25" customHeight="1" spans="1:13">
      <c r="A111" s="83">
        <v>63</v>
      </c>
      <c r="B111" s="113"/>
      <c r="C111" s="120" t="s">
        <v>2113</v>
      </c>
      <c r="D111" s="85"/>
      <c r="E111" s="120"/>
      <c r="F111" s="121">
        <f>F108+F109+F110</f>
        <v>101020.99</v>
      </c>
      <c r="G111" s="121">
        <f>G108+G109+G110</f>
        <v>58495.35287</v>
      </c>
      <c r="H111" s="121">
        <f>H108+H109+H110</f>
        <v>159516.34287</v>
      </c>
      <c r="I111" s="121"/>
      <c r="J111" s="131"/>
      <c r="K111" s="132"/>
      <c r="L111" s="128"/>
      <c r="M111" s="128"/>
    </row>
    <row r="112" ht="26.25" customHeight="1" spans="6:6">
      <c r="F112" s="122"/>
    </row>
  </sheetData>
  <autoFilter ref="A3:M112">
    <extLst/>
  </autoFilter>
  <mergeCells count="2">
    <mergeCell ref="A1:K1"/>
    <mergeCell ref="I25:I26"/>
  </mergeCells>
  <printOptions horizontalCentered="1"/>
  <pageMargins left="0.388888888888889" right="0.279166666666667" top="0.432638888888889" bottom="0.393055555555556" header="0.275" footer="0.238888888888889"/>
  <pageSetup paperSize="8" fitToHeight="0" orientation="landscape" horizontalDpi="600"/>
  <headerFooter alignWithMargins="0" scaleWithDoc="0">
    <oddFooter>&amp;C第 &amp;P 页，共 &amp;N 页</oddFooter>
  </headerFooter>
  <rowBreaks count="6" manualBreakCount="6">
    <brk id="24" max="12" man="1"/>
    <brk id="49" max="12" man="1"/>
    <brk id="111" max="16383" man="1"/>
    <brk id="111" max="16383" man="1"/>
    <brk id="111" max="16383" man="1"/>
    <brk id="111"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topLeftCell="A2" workbookViewId="0">
      <selection activeCell="C7" sqref="C7"/>
    </sheetView>
  </sheetViews>
  <sheetFormatPr defaultColWidth="9" defaultRowHeight="14.25" customHeight="1"/>
  <cols>
    <col min="1" max="1" width="34.3666666666667" style="41" customWidth="1"/>
    <col min="2" max="4" width="15.1333333333333" style="45" customWidth="1"/>
    <col min="5" max="10" width="15.1333333333333" style="41" customWidth="1"/>
    <col min="11" max="248" width="9" style="41"/>
    <col min="249" max="249" width="32" style="41" customWidth="1"/>
    <col min="250" max="250" width="15.5" style="41" customWidth="1"/>
    <col min="251" max="251" width="17.225" style="41" customWidth="1"/>
    <col min="252" max="252" width="17.725" style="41" customWidth="1"/>
    <col min="253" max="254" width="11.8666666666667" style="41" customWidth="1"/>
    <col min="255" max="256" width="9" style="46"/>
  </cols>
  <sheetData>
    <row r="1" s="41" customFormat="1" customHeight="1" spans="1:4">
      <c r="A1" s="47" t="s">
        <v>2114</v>
      </c>
      <c r="B1" s="45"/>
      <c r="C1" s="45"/>
      <c r="D1" s="45"/>
    </row>
    <row r="2" s="42" customFormat="1" ht="37.5" customHeight="1" spans="1:10">
      <c r="A2" s="48" t="s">
        <v>2115</v>
      </c>
      <c r="B2" s="48"/>
      <c r="C2" s="48"/>
      <c r="D2" s="48"/>
      <c r="E2" s="48"/>
      <c r="F2" s="48"/>
      <c r="G2" s="48"/>
      <c r="H2" s="48"/>
      <c r="I2" s="48"/>
      <c r="J2" s="48"/>
    </row>
    <row r="3" s="43" customFormat="1" ht="19.5" customHeight="1" spans="1:10">
      <c r="A3" s="49"/>
      <c r="B3" s="50"/>
      <c r="C3" s="51"/>
      <c r="D3" s="52"/>
      <c r="J3" s="66" t="s">
        <v>2</v>
      </c>
    </row>
    <row r="4" s="43" customFormat="1" ht="24" customHeight="1" spans="1:10">
      <c r="A4" s="53" t="s">
        <v>2116</v>
      </c>
      <c r="B4" s="54" t="s">
        <v>122</v>
      </c>
      <c r="C4" s="55"/>
      <c r="D4" s="56"/>
      <c r="E4" s="54" t="s">
        <v>5</v>
      </c>
      <c r="F4" s="55"/>
      <c r="G4" s="56"/>
      <c r="H4" s="54" t="s">
        <v>6</v>
      </c>
      <c r="I4" s="55"/>
      <c r="J4" s="56"/>
    </row>
    <row r="5" s="43" customFormat="1" ht="66" customHeight="1" spans="1:10">
      <c r="A5" s="57"/>
      <c r="B5" s="58" t="s">
        <v>124</v>
      </c>
      <c r="C5" s="58" t="s">
        <v>2117</v>
      </c>
      <c r="D5" s="58" t="s">
        <v>2118</v>
      </c>
      <c r="E5" s="58" t="s">
        <v>124</v>
      </c>
      <c r="F5" s="58" t="s">
        <v>2117</v>
      </c>
      <c r="G5" s="58" t="s">
        <v>2118</v>
      </c>
      <c r="H5" s="58" t="s">
        <v>124</v>
      </c>
      <c r="I5" s="58" t="s">
        <v>2117</v>
      </c>
      <c r="J5" s="58" t="s">
        <v>2118</v>
      </c>
    </row>
    <row r="6" s="43" customFormat="1" ht="31.5" customHeight="1" spans="1:10">
      <c r="A6" s="59" t="s">
        <v>2119</v>
      </c>
      <c r="B6" s="60">
        <f t="shared" ref="B6:B14" si="0">C6+D6</f>
        <v>30546</v>
      </c>
      <c r="C6" s="60">
        <v>28846</v>
      </c>
      <c r="D6" s="60">
        <v>1700</v>
      </c>
      <c r="E6" s="60">
        <f>F6+G6</f>
        <v>4123</v>
      </c>
      <c r="F6" s="60">
        <v>3652</v>
      </c>
      <c r="G6" s="60">
        <v>471</v>
      </c>
      <c r="H6" s="60">
        <f>I6+J6</f>
        <v>34669</v>
      </c>
      <c r="I6" s="60">
        <f>C6+F6</f>
        <v>32498</v>
      </c>
      <c r="J6" s="60">
        <f>D6+G6</f>
        <v>2171</v>
      </c>
    </row>
    <row r="7" s="44" customFormat="1" ht="22.5" customHeight="1" spans="1:10">
      <c r="A7" s="61" t="s">
        <v>2120</v>
      </c>
      <c r="B7" s="60">
        <f>B8+B9+B10+B12+B13+B14</f>
        <v>43033</v>
      </c>
      <c r="C7" s="60">
        <f>C8+C9+C10+C12+C13+C14</f>
        <v>17570</v>
      </c>
      <c r="D7" s="60">
        <f>D8+D9+D10+D12+D13+D14</f>
        <v>25463</v>
      </c>
      <c r="E7" s="60">
        <f t="shared" ref="E7:J7" si="1">E8+E9+E10+E12+E13+E14</f>
        <v>164</v>
      </c>
      <c r="F7" s="60">
        <f t="shared" si="1"/>
        <v>-63</v>
      </c>
      <c r="G7" s="60">
        <f t="shared" si="1"/>
        <v>227</v>
      </c>
      <c r="H7" s="60">
        <f t="shared" si="1"/>
        <v>43197</v>
      </c>
      <c r="I7" s="60">
        <f t="shared" si="1"/>
        <v>17507</v>
      </c>
      <c r="J7" s="60">
        <f t="shared" si="1"/>
        <v>25690</v>
      </c>
    </row>
    <row r="8" s="43" customFormat="1" ht="22.5" customHeight="1" spans="1:10">
      <c r="A8" s="62" t="s">
        <v>2121</v>
      </c>
      <c r="B8" s="63">
        <f t="shared" si="0"/>
        <v>17048</v>
      </c>
      <c r="C8" s="63">
        <v>3030</v>
      </c>
      <c r="D8" s="63">
        <v>14018</v>
      </c>
      <c r="E8" s="63">
        <f t="shared" ref="E8:E14" si="2">F8+G8</f>
        <v>152</v>
      </c>
      <c r="F8" s="63">
        <v>-80</v>
      </c>
      <c r="G8" s="63">
        <v>232</v>
      </c>
      <c r="H8" s="63">
        <f t="shared" ref="H8:H14" si="3">I8+J8</f>
        <v>17200</v>
      </c>
      <c r="I8" s="63">
        <f>C8+F8</f>
        <v>2950</v>
      </c>
      <c r="J8" s="63">
        <f>D8+G8</f>
        <v>14250</v>
      </c>
    </row>
    <row r="9" s="43" customFormat="1" ht="22.5" customHeight="1" spans="1:10">
      <c r="A9" s="62" t="s">
        <v>2122</v>
      </c>
      <c r="B9" s="63">
        <f t="shared" si="0"/>
        <v>690</v>
      </c>
      <c r="C9" s="63">
        <v>645</v>
      </c>
      <c r="D9" s="63">
        <v>45</v>
      </c>
      <c r="E9" s="63">
        <f t="shared" si="2"/>
        <v>-22</v>
      </c>
      <c r="F9" s="63">
        <v>-17</v>
      </c>
      <c r="G9" s="63">
        <v>-5</v>
      </c>
      <c r="H9" s="63">
        <f t="shared" si="3"/>
        <v>668</v>
      </c>
      <c r="I9" s="63">
        <f t="shared" ref="I9:I14" si="4">C9+F9</f>
        <v>628</v>
      </c>
      <c r="J9" s="63">
        <f t="shared" ref="J9:J14" si="5">D9+G9</f>
        <v>40</v>
      </c>
    </row>
    <row r="10" s="43" customFormat="1" ht="22.5" customHeight="1" spans="1:10">
      <c r="A10" s="64" t="s">
        <v>2123</v>
      </c>
      <c r="B10" s="63">
        <f t="shared" si="0"/>
        <v>23946</v>
      </c>
      <c r="C10" s="63">
        <v>12946</v>
      </c>
      <c r="D10" s="63">
        <v>11000</v>
      </c>
      <c r="E10" s="63">
        <f t="shared" si="2"/>
        <v>0</v>
      </c>
      <c r="F10" s="63"/>
      <c r="G10" s="63">
        <v>0</v>
      </c>
      <c r="H10" s="63">
        <f t="shared" si="3"/>
        <v>23946</v>
      </c>
      <c r="I10" s="63">
        <f t="shared" si="4"/>
        <v>12946</v>
      </c>
      <c r="J10" s="63">
        <f t="shared" si="5"/>
        <v>11000</v>
      </c>
    </row>
    <row r="11" s="43" customFormat="1" ht="22.5" customHeight="1" spans="1:10">
      <c r="A11" s="64" t="s">
        <v>2124</v>
      </c>
      <c r="B11" s="63">
        <f t="shared" si="0"/>
        <v>13794</v>
      </c>
      <c r="C11" s="63">
        <v>2794</v>
      </c>
      <c r="D11" s="63">
        <v>11000</v>
      </c>
      <c r="E11" s="63">
        <f t="shared" si="2"/>
        <v>0</v>
      </c>
      <c r="F11" s="63"/>
      <c r="G11" s="63">
        <v>0</v>
      </c>
      <c r="H11" s="63">
        <f t="shared" si="3"/>
        <v>13794</v>
      </c>
      <c r="I11" s="63">
        <f t="shared" si="4"/>
        <v>2794</v>
      </c>
      <c r="J11" s="63">
        <f t="shared" si="5"/>
        <v>11000</v>
      </c>
    </row>
    <row r="12" s="43" customFormat="1" ht="22.5" customHeight="1" spans="1:10">
      <c r="A12" s="64" t="s">
        <v>2125</v>
      </c>
      <c r="B12" s="63">
        <f t="shared" si="0"/>
        <v>934</v>
      </c>
      <c r="C12" s="63">
        <v>934</v>
      </c>
      <c r="D12" s="63"/>
      <c r="E12" s="63">
        <f t="shared" si="2"/>
        <v>0</v>
      </c>
      <c r="F12" s="63"/>
      <c r="G12" s="63">
        <v>0</v>
      </c>
      <c r="H12" s="63">
        <f t="shared" si="3"/>
        <v>934</v>
      </c>
      <c r="I12" s="63">
        <f t="shared" si="4"/>
        <v>934</v>
      </c>
      <c r="J12" s="63">
        <f t="shared" si="5"/>
        <v>0</v>
      </c>
    </row>
    <row r="13" s="43" customFormat="1" ht="22.5" customHeight="1" spans="1:10">
      <c r="A13" s="64" t="s">
        <v>2126</v>
      </c>
      <c r="B13" s="63">
        <f t="shared" si="0"/>
        <v>3</v>
      </c>
      <c r="C13" s="63">
        <v>3</v>
      </c>
      <c r="D13" s="63"/>
      <c r="E13" s="63">
        <f t="shared" si="2"/>
        <v>17</v>
      </c>
      <c r="F13" s="63">
        <v>17</v>
      </c>
      <c r="G13" s="63">
        <v>0</v>
      </c>
      <c r="H13" s="63">
        <f t="shared" si="3"/>
        <v>20</v>
      </c>
      <c r="I13" s="63">
        <f t="shared" si="4"/>
        <v>20</v>
      </c>
      <c r="J13" s="63">
        <f t="shared" si="5"/>
        <v>0</v>
      </c>
    </row>
    <row r="14" s="43" customFormat="1" ht="22.5" customHeight="1" spans="1:10">
      <c r="A14" s="64" t="s">
        <v>2127</v>
      </c>
      <c r="B14" s="63">
        <f t="shared" si="0"/>
        <v>412</v>
      </c>
      <c r="C14" s="63">
        <v>12</v>
      </c>
      <c r="D14" s="63">
        <v>400</v>
      </c>
      <c r="E14" s="63">
        <f t="shared" si="2"/>
        <v>17</v>
      </c>
      <c r="F14" s="63">
        <v>17</v>
      </c>
      <c r="G14" s="63">
        <v>0</v>
      </c>
      <c r="H14" s="63">
        <f t="shared" si="3"/>
        <v>429</v>
      </c>
      <c r="I14" s="63">
        <f t="shared" si="4"/>
        <v>29</v>
      </c>
      <c r="J14" s="63">
        <f t="shared" si="5"/>
        <v>400</v>
      </c>
    </row>
    <row r="15" s="44" customFormat="1" ht="22.5" customHeight="1" spans="1:10">
      <c r="A15" s="61" t="s">
        <v>2128</v>
      </c>
      <c r="B15" s="60">
        <f>SUM(B16:B18)</f>
        <v>38323</v>
      </c>
      <c r="C15" s="60">
        <f>SUM(C16:C18)</f>
        <v>12863</v>
      </c>
      <c r="D15" s="60">
        <f>SUM(D16:D18)</f>
        <v>25460</v>
      </c>
      <c r="E15" s="60">
        <f t="shared" ref="E15:J15" si="6">SUM(E16:E18)</f>
        <v>161</v>
      </c>
      <c r="F15" s="60">
        <f t="shared" si="6"/>
        <v>-1</v>
      </c>
      <c r="G15" s="60">
        <f t="shared" si="6"/>
        <v>162</v>
      </c>
      <c r="H15" s="60">
        <f t="shared" si="6"/>
        <v>38484</v>
      </c>
      <c r="I15" s="60">
        <f t="shared" si="6"/>
        <v>12862</v>
      </c>
      <c r="J15" s="60">
        <f t="shared" si="6"/>
        <v>25622</v>
      </c>
    </row>
    <row r="16" s="43" customFormat="1" ht="22.5" customHeight="1" spans="1:10">
      <c r="A16" s="62" t="s">
        <v>2129</v>
      </c>
      <c r="B16" s="63">
        <f t="shared" ref="B16:B18" si="7">C16+D16</f>
        <v>38135</v>
      </c>
      <c r="C16" s="63">
        <v>12855</v>
      </c>
      <c r="D16" s="63">
        <v>25280</v>
      </c>
      <c r="E16" s="63">
        <f>F16+G16</f>
        <v>0</v>
      </c>
      <c r="F16" s="63"/>
      <c r="G16" s="63">
        <v>0</v>
      </c>
      <c r="H16" s="63">
        <f>I16+J16</f>
        <v>38135</v>
      </c>
      <c r="I16" s="63">
        <f t="shared" ref="I16:I18" si="8">C16+F16</f>
        <v>12855</v>
      </c>
      <c r="J16" s="63">
        <f t="shared" ref="J16:J18" si="9">D16+G16</f>
        <v>25280</v>
      </c>
    </row>
    <row r="17" s="43" customFormat="1" ht="22.5" customHeight="1" spans="1:10">
      <c r="A17" s="62" t="s">
        <v>2130</v>
      </c>
      <c r="B17" s="63">
        <f t="shared" si="7"/>
        <v>0</v>
      </c>
      <c r="C17" s="63"/>
      <c r="D17" s="63"/>
      <c r="E17" s="63">
        <f>F17+G17</f>
        <v>1</v>
      </c>
      <c r="F17" s="63">
        <v>1</v>
      </c>
      <c r="G17" s="63">
        <v>0</v>
      </c>
      <c r="H17" s="63">
        <f>I17+J17</f>
        <v>1</v>
      </c>
      <c r="I17" s="63">
        <f t="shared" si="8"/>
        <v>1</v>
      </c>
      <c r="J17" s="63">
        <f t="shared" si="9"/>
        <v>0</v>
      </c>
    </row>
    <row r="18" s="43" customFormat="1" ht="22.5" customHeight="1" spans="1:10">
      <c r="A18" s="64" t="s">
        <v>2131</v>
      </c>
      <c r="B18" s="63">
        <f t="shared" si="7"/>
        <v>188</v>
      </c>
      <c r="C18" s="63">
        <v>8</v>
      </c>
      <c r="D18" s="63">
        <v>180</v>
      </c>
      <c r="E18" s="63">
        <f>F18+G18</f>
        <v>160</v>
      </c>
      <c r="F18" s="63">
        <v>-2</v>
      </c>
      <c r="G18" s="63">
        <v>162</v>
      </c>
      <c r="H18" s="63">
        <f>I18+J18</f>
        <v>348</v>
      </c>
      <c r="I18" s="63">
        <f t="shared" si="8"/>
        <v>6</v>
      </c>
      <c r="J18" s="63">
        <f t="shared" si="9"/>
        <v>342</v>
      </c>
    </row>
    <row r="19" s="44" customFormat="1" ht="22.5" customHeight="1" spans="1:10">
      <c r="A19" s="61" t="s">
        <v>2132</v>
      </c>
      <c r="B19" s="60">
        <f>B7-B15</f>
        <v>4710</v>
      </c>
      <c r="C19" s="60">
        <f>C7-C15</f>
        <v>4707</v>
      </c>
      <c r="D19" s="60">
        <f>D7-D15</f>
        <v>3</v>
      </c>
      <c r="E19" s="60">
        <f t="shared" ref="E19:J19" si="10">E7-E15</f>
        <v>3</v>
      </c>
      <c r="F19" s="60">
        <f t="shared" si="10"/>
        <v>-62</v>
      </c>
      <c r="G19" s="60">
        <f t="shared" si="10"/>
        <v>65</v>
      </c>
      <c r="H19" s="60">
        <f t="shared" si="10"/>
        <v>4713</v>
      </c>
      <c r="I19" s="60">
        <f t="shared" si="10"/>
        <v>4645</v>
      </c>
      <c r="J19" s="60">
        <f t="shared" si="10"/>
        <v>68</v>
      </c>
    </row>
    <row r="20" s="44" customFormat="1" ht="22.5" customHeight="1" spans="1:10">
      <c r="A20" s="61" t="s">
        <v>2133</v>
      </c>
      <c r="B20" s="60">
        <f>B6+B19</f>
        <v>35256</v>
      </c>
      <c r="C20" s="60">
        <f>C6+C19</f>
        <v>33553</v>
      </c>
      <c r="D20" s="60">
        <f>D6+D19</f>
        <v>1703</v>
      </c>
      <c r="E20" s="60">
        <f t="shared" ref="E20:J20" si="11">E6+E19</f>
        <v>4126</v>
      </c>
      <c r="F20" s="60">
        <f t="shared" si="11"/>
        <v>3590</v>
      </c>
      <c r="G20" s="60">
        <f t="shared" si="11"/>
        <v>536</v>
      </c>
      <c r="H20" s="60">
        <f t="shared" si="11"/>
        <v>39382</v>
      </c>
      <c r="I20" s="60">
        <f t="shared" si="11"/>
        <v>37143</v>
      </c>
      <c r="J20" s="60">
        <f t="shared" si="11"/>
        <v>2239</v>
      </c>
    </row>
    <row r="21" s="43" customFormat="1" ht="40.5" customHeight="1" spans="1:4">
      <c r="A21" s="65" t="s">
        <v>2134</v>
      </c>
      <c r="B21" s="65"/>
      <c r="C21" s="65"/>
      <c r="D21" s="65"/>
    </row>
  </sheetData>
  <mergeCells count="5">
    <mergeCell ref="A2:J2"/>
    <mergeCell ref="B4:D4"/>
    <mergeCell ref="E4:G4"/>
    <mergeCell ref="H4:J4"/>
    <mergeCell ref="A4:A5"/>
  </mergeCells>
  <printOptions horizontalCentered="1"/>
  <pageMargins left="0.432638888888889" right="0.432638888888889" top="1" bottom="1" header="0.507638888888889" footer="0.507638888888889"/>
  <pageSetup paperSize="9" scale="81" orientation="landscape" horizontalDpi="600"/>
  <headerFooter alignWithMargins="0" scaleWithDoc="0">
    <oddFooter>&amp;C-19-</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B5" sqref="B5"/>
    </sheetView>
  </sheetViews>
  <sheetFormatPr defaultColWidth="9" defaultRowHeight="13.5"/>
  <cols>
    <col min="1" max="1" width="9.10833333333333" style="4" customWidth="1"/>
    <col min="2" max="2" width="27.8833333333333" style="6" customWidth="1"/>
    <col min="3" max="3" width="14.625" style="26" customWidth="1"/>
    <col min="4" max="5" width="13.1083333333333" style="26" customWidth="1"/>
    <col min="6" max="16384" width="9" style="6"/>
  </cols>
  <sheetData>
    <row r="1" ht="33" customHeight="1" spans="1:1">
      <c r="A1" s="8" t="s">
        <v>2135</v>
      </c>
    </row>
    <row r="2" ht="28.95" customHeight="1" spans="1:10">
      <c r="A2" s="11" t="s">
        <v>2136</v>
      </c>
      <c r="B2" s="11"/>
      <c r="C2" s="11"/>
      <c r="D2" s="11"/>
      <c r="E2" s="11"/>
      <c r="F2" s="27"/>
      <c r="G2" s="27"/>
      <c r="H2" s="27"/>
      <c r="I2" s="27"/>
      <c r="J2" s="40"/>
    </row>
    <row r="3" ht="24.6" customHeight="1" spans="5:5">
      <c r="E3" s="28" t="s">
        <v>2</v>
      </c>
    </row>
    <row r="4" ht="34.05" customHeight="1" spans="1:5">
      <c r="A4" s="29" t="s">
        <v>2137</v>
      </c>
      <c r="B4" s="29" t="s">
        <v>2138</v>
      </c>
      <c r="C4" s="30" t="s">
        <v>128</v>
      </c>
      <c r="D4" s="30" t="s">
        <v>123</v>
      </c>
      <c r="E4" s="30" t="s">
        <v>124</v>
      </c>
    </row>
    <row r="5" ht="27" customHeight="1" spans="1:5">
      <c r="A5" s="31"/>
      <c r="B5" s="32" t="s">
        <v>2139</v>
      </c>
      <c r="C5" s="33">
        <f>SUM(C6:C12)</f>
        <v>2130.33</v>
      </c>
      <c r="D5" s="33">
        <f>SUM(D6:D12)</f>
        <v>7461.78684</v>
      </c>
      <c r="E5" s="34">
        <f>C5+D5</f>
        <v>9592.11684</v>
      </c>
    </row>
    <row r="6" ht="27" customHeight="1" spans="1:5">
      <c r="A6" s="29">
        <v>201</v>
      </c>
      <c r="B6" s="35" t="s">
        <v>132</v>
      </c>
      <c r="C6" s="36">
        <v>2040.99</v>
      </c>
      <c r="D6" s="36">
        <v>2444.04</v>
      </c>
      <c r="E6" s="37">
        <f>C6+D6</f>
        <v>4485.03</v>
      </c>
    </row>
    <row r="7" ht="27" customHeight="1" spans="1:5">
      <c r="A7" s="29">
        <v>204</v>
      </c>
      <c r="B7" s="35" t="s">
        <v>133</v>
      </c>
      <c r="C7" s="36">
        <v>89.34</v>
      </c>
      <c r="D7" s="36"/>
      <c r="E7" s="37">
        <f t="shared" ref="E7:E13" si="0">C7+D7</f>
        <v>89.34</v>
      </c>
    </row>
    <row r="8" ht="27" customHeight="1" spans="1:5">
      <c r="A8" s="29">
        <v>211</v>
      </c>
      <c r="B8" s="35" t="s">
        <v>2140</v>
      </c>
      <c r="C8" s="36"/>
      <c r="D8" s="36">
        <v>387.2465</v>
      </c>
      <c r="E8" s="37">
        <f t="shared" si="0"/>
        <v>387.2465</v>
      </c>
    </row>
    <row r="9" ht="27" customHeight="1" spans="1:5">
      <c r="A9" s="29">
        <v>213</v>
      </c>
      <c r="B9" s="35" t="s">
        <v>141</v>
      </c>
      <c r="C9" s="36"/>
      <c r="D9" s="36">
        <v>2183.19034</v>
      </c>
      <c r="E9" s="37">
        <f t="shared" si="0"/>
        <v>2183.19034</v>
      </c>
    </row>
    <row r="10" ht="27" customHeight="1" spans="1:5">
      <c r="A10" s="29">
        <v>214</v>
      </c>
      <c r="B10" s="35" t="s">
        <v>142</v>
      </c>
      <c r="C10" s="36"/>
      <c r="D10" s="36">
        <v>960.3</v>
      </c>
      <c r="E10" s="37">
        <f t="shared" si="0"/>
        <v>960.3</v>
      </c>
    </row>
    <row r="11" ht="27" customHeight="1" spans="1:5">
      <c r="A11" s="38">
        <v>215</v>
      </c>
      <c r="B11" s="35" t="s">
        <v>143</v>
      </c>
      <c r="C11" s="36"/>
      <c r="D11" s="36">
        <v>1145.01</v>
      </c>
      <c r="E11" s="37">
        <f t="shared" si="0"/>
        <v>1145.01</v>
      </c>
    </row>
    <row r="12" ht="27" customHeight="1" spans="1:5">
      <c r="A12" s="29">
        <v>224</v>
      </c>
      <c r="B12" s="35" t="s">
        <v>148</v>
      </c>
      <c r="C12" s="36"/>
      <c r="D12" s="36">
        <v>342</v>
      </c>
      <c r="E12" s="37">
        <f t="shared" si="0"/>
        <v>342</v>
      </c>
    </row>
    <row r="13" spans="1:1">
      <c r="A13" s="39"/>
    </row>
  </sheetData>
  <mergeCells count="1">
    <mergeCell ref="A2:E2"/>
  </mergeCells>
  <printOptions horizontalCentered="1"/>
  <pageMargins left="0.751388888888889" right="0.751388888888889" top="0.979166666666667" bottom="0.979166666666667" header="0.507638888888889" footer="0.559027777777778"/>
  <pageSetup paperSize="9" orientation="portrait" horizontalDpi="600" verticalDpi="600"/>
  <headerFooter>
    <oddFooter>&amp;C-20-</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view="pageBreakPreview" zoomScaleNormal="100" workbookViewId="0">
      <selection activeCell="C9" sqref="C9"/>
    </sheetView>
  </sheetViews>
  <sheetFormatPr defaultColWidth="9" defaultRowHeight="13.5" outlineLevelCol="5"/>
  <cols>
    <col min="1" max="1" width="6.44166666666667" style="4" customWidth="1"/>
    <col min="2" max="2" width="38.9666666666667" style="5" customWidth="1"/>
    <col min="3" max="3" width="15" style="6" customWidth="1"/>
    <col min="4" max="4" width="15.7583333333333" style="6" customWidth="1"/>
    <col min="5" max="5" width="15" style="7" customWidth="1"/>
    <col min="6" max="16384" width="9" style="6"/>
  </cols>
  <sheetData>
    <row r="1" s="1" customFormat="1" ht="20" customHeight="1" spans="1:5">
      <c r="A1" s="8" t="s">
        <v>2141</v>
      </c>
      <c r="B1" s="9"/>
      <c r="E1" s="10"/>
    </row>
    <row r="2" spans="1:5">
      <c r="A2" s="11" t="s">
        <v>2142</v>
      </c>
      <c r="B2" s="11"/>
      <c r="C2" s="11"/>
      <c r="D2" s="11"/>
      <c r="E2" s="11"/>
    </row>
    <row r="3" spans="1:5">
      <c r="A3" s="11"/>
      <c r="B3" s="11"/>
      <c r="C3" s="11"/>
      <c r="D3" s="11"/>
      <c r="E3" s="11"/>
    </row>
    <row r="4" ht="19.95" customHeight="1" spans="3:5">
      <c r="C4" s="4"/>
      <c r="D4" s="4"/>
      <c r="E4" s="12" t="s">
        <v>2</v>
      </c>
    </row>
    <row r="5" s="2" customFormat="1" ht="37.95" customHeight="1" spans="1:5">
      <c r="A5" s="13" t="s">
        <v>935</v>
      </c>
      <c r="B5" s="13" t="s">
        <v>2143</v>
      </c>
      <c r="C5" s="13" t="s">
        <v>2144</v>
      </c>
      <c r="D5" s="13" t="s">
        <v>2145</v>
      </c>
      <c r="E5" s="14" t="s">
        <v>2146</v>
      </c>
    </row>
    <row r="6" s="3" customFormat="1" ht="21" customHeight="1" spans="1:6">
      <c r="A6" s="15"/>
      <c r="B6" s="15" t="s">
        <v>124</v>
      </c>
      <c r="C6" s="16">
        <f>SUM(C7:C32)</f>
        <v>60635.04</v>
      </c>
      <c r="D6" s="16">
        <f>SUM(D7:D32)</f>
        <v>46284.25</v>
      </c>
      <c r="E6" s="17">
        <f t="shared" ref="E6:E32" si="0">D6/C6*100</f>
        <v>76.3325133454187</v>
      </c>
      <c r="F6" s="6"/>
    </row>
    <row r="7" s="3" customFormat="1" ht="21" customHeight="1" spans="1:6">
      <c r="A7" s="18">
        <v>1</v>
      </c>
      <c r="B7" s="19" t="s">
        <v>2147</v>
      </c>
      <c r="C7" s="20">
        <v>290</v>
      </c>
      <c r="D7" s="20">
        <v>289.48</v>
      </c>
      <c r="E7" s="21">
        <f t="shared" si="0"/>
        <v>99.8206896551724</v>
      </c>
      <c r="F7" s="6"/>
    </row>
    <row r="8" s="3" customFormat="1" ht="21" customHeight="1" spans="1:6">
      <c r="A8" s="18">
        <v>2</v>
      </c>
      <c r="B8" s="19" t="s">
        <v>2148</v>
      </c>
      <c r="C8" s="20">
        <v>1285</v>
      </c>
      <c r="D8" s="20">
        <v>1264</v>
      </c>
      <c r="E8" s="21">
        <f t="shared" si="0"/>
        <v>98.3657587548638</v>
      </c>
      <c r="F8" s="6"/>
    </row>
    <row r="9" s="3" customFormat="1" ht="21" customHeight="1" spans="1:6">
      <c r="A9" s="18">
        <v>3</v>
      </c>
      <c r="B9" s="19" t="s">
        <v>2149</v>
      </c>
      <c r="C9" s="20">
        <v>938.2</v>
      </c>
      <c r="D9" s="22"/>
      <c r="E9" s="21">
        <f t="shared" si="0"/>
        <v>0</v>
      </c>
      <c r="F9" s="6"/>
    </row>
    <row r="10" s="3" customFormat="1" ht="21" customHeight="1" spans="1:6">
      <c r="A10" s="18">
        <v>4</v>
      </c>
      <c r="B10" s="19" t="s">
        <v>2150</v>
      </c>
      <c r="C10" s="20">
        <v>2794</v>
      </c>
      <c r="D10" s="20">
        <v>2794</v>
      </c>
      <c r="E10" s="21">
        <f t="shared" si="0"/>
        <v>100</v>
      </c>
      <c r="F10" s="6"/>
    </row>
    <row r="11" s="3" customFormat="1" ht="21" customHeight="1" spans="1:6">
      <c r="A11" s="18">
        <v>5</v>
      </c>
      <c r="B11" s="19" t="s">
        <v>2151</v>
      </c>
      <c r="C11" s="20">
        <v>661.8</v>
      </c>
      <c r="D11" s="20">
        <v>46.3</v>
      </c>
      <c r="E11" s="21">
        <f t="shared" si="0"/>
        <v>6.99607132064068</v>
      </c>
      <c r="F11" s="6"/>
    </row>
    <row r="12" s="3" customFormat="1" ht="21" customHeight="1" spans="1:6">
      <c r="A12" s="18">
        <v>6</v>
      </c>
      <c r="B12" s="19" t="s">
        <v>2152</v>
      </c>
      <c r="C12" s="20">
        <v>420</v>
      </c>
      <c r="D12" s="20">
        <v>193</v>
      </c>
      <c r="E12" s="21">
        <f t="shared" si="0"/>
        <v>45.9523809523809</v>
      </c>
      <c r="F12" s="6"/>
    </row>
    <row r="13" s="3" customFormat="1" ht="21" customHeight="1" spans="1:6">
      <c r="A13" s="18">
        <v>7</v>
      </c>
      <c r="B13" s="19" t="s">
        <v>2153</v>
      </c>
      <c r="C13" s="20">
        <v>3763.17</v>
      </c>
      <c r="D13" s="20">
        <v>2272.69</v>
      </c>
      <c r="E13" s="21">
        <f t="shared" si="0"/>
        <v>60.3929665680796</v>
      </c>
      <c r="F13" s="6"/>
    </row>
    <row r="14" s="3" customFormat="1" ht="21" customHeight="1" spans="1:6">
      <c r="A14" s="18">
        <v>8</v>
      </c>
      <c r="B14" s="19" t="s">
        <v>2154</v>
      </c>
      <c r="C14" s="20">
        <v>30.5</v>
      </c>
      <c r="D14" s="20">
        <v>26.28</v>
      </c>
      <c r="E14" s="21">
        <f t="shared" si="0"/>
        <v>86.1639344262295</v>
      </c>
      <c r="F14" s="6"/>
    </row>
    <row r="15" s="3" customFormat="1" ht="21" customHeight="1" spans="1:6">
      <c r="A15" s="18">
        <v>9</v>
      </c>
      <c r="B15" s="19" t="s">
        <v>2155</v>
      </c>
      <c r="C15" s="20">
        <v>92</v>
      </c>
      <c r="D15" s="20">
        <v>92</v>
      </c>
      <c r="E15" s="21">
        <f t="shared" si="0"/>
        <v>100</v>
      </c>
      <c r="F15" s="6"/>
    </row>
    <row r="16" s="3" customFormat="1" ht="21" customHeight="1" spans="1:6">
      <c r="A16" s="18">
        <v>10</v>
      </c>
      <c r="B16" s="19" t="s">
        <v>2156</v>
      </c>
      <c r="C16" s="20">
        <v>4141</v>
      </c>
      <c r="D16" s="20">
        <v>4141</v>
      </c>
      <c r="E16" s="21">
        <f t="shared" si="0"/>
        <v>100</v>
      </c>
      <c r="F16" s="6"/>
    </row>
    <row r="17" s="3" customFormat="1" ht="21" customHeight="1" spans="1:6">
      <c r="A17" s="18">
        <v>11</v>
      </c>
      <c r="B17" s="19" t="s">
        <v>2157</v>
      </c>
      <c r="C17" s="20">
        <v>237.1</v>
      </c>
      <c r="D17" s="20">
        <v>71.25</v>
      </c>
      <c r="E17" s="21">
        <f t="shared" si="0"/>
        <v>30.0506115563054</v>
      </c>
      <c r="F17" s="6"/>
    </row>
    <row r="18" s="3" customFormat="1" ht="21" customHeight="1" spans="1:6">
      <c r="A18" s="18">
        <v>12</v>
      </c>
      <c r="B18" s="19" t="s">
        <v>2158</v>
      </c>
      <c r="C18" s="20">
        <v>1026</v>
      </c>
      <c r="D18" s="20">
        <v>357</v>
      </c>
      <c r="E18" s="21">
        <f t="shared" si="0"/>
        <v>34.7953216374269</v>
      </c>
      <c r="F18" s="6"/>
    </row>
    <row r="19" s="3" customFormat="1" ht="21" customHeight="1" spans="1:6">
      <c r="A19" s="18">
        <v>13</v>
      </c>
      <c r="B19" s="19" t="s">
        <v>2159</v>
      </c>
      <c r="C19" s="20">
        <v>85.36</v>
      </c>
      <c r="D19" s="20">
        <v>24.26</v>
      </c>
      <c r="E19" s="21">
        <f t="shared" si="0"/>
        <v>28.4208059981256</v>
      </c>
      <c r="F19" s="6"/>
    </row>
    <row r="20" s="3" customFormat="1" ht="21" customHeight="1" spans="1:6">
      <c r="A20" s="18">
        <v>14</v>
      </c>
      <c r="B20" s="19" t="s">
        <v>2160</v>
      </c>
      <c r="C20" s="20">
        <v>1165</v>
      </c>
      <c r="D20" s="20">
        <v>1165</v>
      </c>
      <c r="E20" s="21">
        <f t="shared" si="0"/>
        <v>100</v>
      </c>
      <c r="F20" s="6"/>
    </row>
    <row r="21" s="3" customFormat="1" ht="21" customHeight="1" spans="1:6">
      <c r="A21" s="18">
        <v>15</v>
      </c>
      <c r="B21" s="19" t="s">
        <v>2161</v>
      </c>
      <c r="C21" s="20">
        <v>17513</v>
      </c>
      <c r="D21" s="20">
        <v>15362.51</v>
      </c>
      <c r="E21" s="21">
        <f t="shared" si="0"/>
        <v>87.7206075486781</v>
      </c>
      <c r="F21" s="6"/>
    </row>
    <row r="22" s="3" customFormat="1" ht="21" customHeight="1" spans="1:6">
      <c r="A22" s="18">
        <v>16</v>
      </c>
      <c r="B22" s="19" t="s">
        <v>2162</v>
      </c>
      <c r="C22" s="20">
        <v>509</v>
      </c>
      <c r="D22" s="22"/>
      <c r="E22" s="21">
        <f t="shared" si="0"/>
        <v>0</v>
      </c>
      <c r="F22" s="6"/>
    </row>
    <row r="23" s="3" customFormat="1" ht="21" customHeight="1" spans="1:6">
      <c r="A23" s="18">
        <v>17</v>
      </c>
      <c r="B23" s="23" t="s">
        <v>2163</v>
      </c>
      <c r="C23" s="20">
        <v>1027</v>
      </c>
      <c r="D23" s="20">
        <v>1019</v>
      </c>
      <c r="E23" s="21">
        <f t="shared" si="0"/>
        <v>99.2210321324245</v>
      </c>
      <c r="F23" s="6"/>
    </row>
    <row r="24" s="3" customFormat="1" ht="21" customHeight="1" spans="1:6">
      <c r="A24" s="18">
        <v>18</v>
      </c>
      <c r="B24" s="23" t="s">
        <v>2164</v>
      </c>
      <c r="C24" s="20">
        <v>53.5</v>
      </c>
      <c r="D24" s="20">
        <v>35</v>
      </c>
      <c r="E24" s="21">
        <f t="shared" si="0"/>
        <v>65.4205607476635</v>
      </c>
      <c r="F24" s="6"/>
    </row>
    <row r="25" s="3" customFormat="1" ht="21" customHeight="1" spans="1:6">
      <c r="A25" s="18">
        <v>19</v>
      </c>
      <c r="B25" s="23" t="s">
        <v>2165</v>
      </c>
      <c r="C25" s="20">
        <v>3503.35</v>
      </c>
      <c r="D25" s="20">
        <v>348.02</v>
      </c>
      <c r="E25" s="21">
        <f t="shared" si="0"/>
        <v>9.93392039048339</v>
      </c>
      <c r="F25" s="6"/>
    </row>
    <row r="26" s="3" customFormat="1" ht="21" customHeight="1" spans="1:6">
      <c r="A26" s="18">
        <v>20</v>
      </c>
      <c r="B26" s="23" t="s">
        <v>2166</v>
      </c>
      <c r="C26" s="20">
        <v>2562</v>
      </c>
      <c r="D26" s="20">
        <v>2562</v>
      </c>
      <c r="E26" s="21">
        <f t="shared" si="0"/>
        <v>100</v>
      </c>
      <c r="F26" s="6"/>
    </row>
    <row r="27" s="3" customFormat="1" ht="21" customHeight="1" spans="1:6">
      <c r="A27" s="18">
        <v>21</v>
      </c>
      <c r="B27" s="24" t="s">
        <v>2167</v>
      </c>
      <c r="C27" s="25">
        <v>26</v>
      </c>
      <c r="D27" s="25">
        <v>26</v>
      </c>
      <c r="E27" s="21">
        <f t="shared" si="0"/>
        <v>100</v>
      </c>
      <c r="F27" s="6"/>
    </row>
    <row r="28" s="3" customFormat="1" ht="21" customHeight="1" spans="1:6">
      <c r="A28" s="18">
        <v>22</v>
      </c>
      <c r="B28" s="23" t="s">
        <v>2168</v>
      </c>
      <c r="C28" s="20">
        <v>1229.06</v>
      </c>
      <c r="D28" s="20">
        <v>1064.93</v>
      </c>
      <c r="E28" s="21">
        <f t="shared" si="0"/>
        <v>86.6458919824907</v>
      </c>
      <c r="F28" s="6"/>
    </row>
    <row r="29" s="3" customFormat="1" ht="21" customHeight="1" spans="1:6">
      <c r="A29" s="18">
        <v>23</v>
      </c>
      <c r="B29" s="23" t="s">
        <v>2169</v>
      </c>
      <c r="C29" s="20">
        <v>12203</v>
      </c>
      <c r="D29" s="20">
        <v>8067</v>
      </c>
      <c r="E29" s="21">
        <f t="shared" si="0"/>
        <v>66.1066950749816</v>
      </c>
      <c r="F29" s="6"/>
    </row>
    <row r="30" s="3" customFormat="1" ht="21" customHeight="1" spans="1:6">
      <c r="A30" s="18">
        <v>24</v>
      </c>
      <c r="B30" s="23" t="s">
        <v>2170</v>
      </c>
      <c r="C30" s="20">
        <v>4639</v>
      </c>
      <c r="D30" s="20">
        <v>4639</v>
      </c>
      <c r="E30" s="21">
        <f t="shared" si="0"/>
        <v>100</v>
      </c>
      <c r="F30" s="6"/>
    </row>
    <row r="31" ht="21" customHeight="1" spans="1:6">
      <c r="A31" s="18">
        <v>25</v>
      </c>
      <c r="B31" s="23" t="s">
        <v>2171</v>
      </c>
      <c r="C31" s="20">
        <v>375</v>
      </c>
      <c r="D31" s="20">
        <v>375</v>
      </c>
      <c r="E31" s="21">
        <f t="shared" si="0"/>
        <v>100</v>
      </c>
      <c r="F31" s="6" t="s">
        <v>2172</v>
      </c>
    </row>
    <row r="32" ht="21" customHeight="1" spans="1:6">
      <c r="A32" s="18">
        <v>26</v>
      </c>
      <c r="B32" s="23" t="s">
        <v>2173</v>
      </c>
      <c r="C32" s="20">
        <v>66</v>
      </c>
      <c r="D32" s="20">
        <v>49.53</v>
      </c>
      <c r="E32" s="21">
        <f t="shared" si="0"/>
        <v>75.0454545454545</v>
      </c>
      <c r="F32" s="6" t="s">
        <v>2172</v>
      </c>
    </row>
  </sheetData>
  <mergeCells count="1">
    <mergeCell ref="A2:E3"/>
  </mergeCells>
  <printOptions horizontalCentered="1"/>
  <pageMargins left="0.707638888888889" right="0.590277777777778" top="0.979166666666667" bottom="0.636805555555556" header="0.507638888888889" footer="0.313888888888889"/>
  <pageSetup paperSize="9" scale="99" orientation="portrait" horizontalDpi="600" verticalDpi="600"/>
  <headerFooter>
    <oddFooter>&amp;C-21-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pane xSplit="1" ySplit="4" topLeftCell="B5" activePane="bottomRight" state="frozen"/>
      <selection/>
      <selection pane="topRight"/>
      <selection pane="bottomLeft"/>
      <selection pane="bottomRight" activeCell="E20" sqref="E20"/>
    </sheetView>
  </sheetViews>
  <sheetFormatPr defaultColWidth="9" defaultRowHeight="13.5"/>
  <cols>
    <col min="1" max="1" width="44" customWidth="1"/>
    <col min="2" max="2" width="11.5" hidden="1" customWidth="1"/>
    <col min="3" max="3" width="71.6333333333333" hidden="1" customWidth="1"/>
    <col min="4" max="6" width="14" customWidth="1"/>
    <col min="7" max="7" width="60.875" customWidth="1"/>
    <col min="8" max="8" width="8" style="312" customWidth="1"/>
    <col min="9" max="10" width="9" style="312"/>
    <col min="11" max="11" width="5.36666666666667" style="312" customWidth="1"/>
    <col min="12" max="13" width="9" style="312"/>
    <col min="14" max="14" width="4.86666666666667" customWidth="1"/>
  </cols>
  <sheetData>
    <row r="1" ht="33" customHeight="1" spans="1:5">
      <c r="A1" s="458" t="s">
        <v>16</v>
      </c>
      <c r="B1" s="459"/>
      <c r="C1" s="459"/>
      <c r="D1" s="459"/>
      <c r="E1" s="459"/>
    </row>
    <row r="2" ht="27" customHeight="1" spans="1:7">
      <c r="A2" s="460" t="s">
        <v>17</v>
      </c>
      <c r="B2" s="460"/>
      <c r="C2" s="460"/>
      <c r="D2" s="460"/>
      <c r="E2" s="460"/>
      <c r="F2" s="460"/>
      <c r="G2" s="460"/>
    </row>
    <row r="3" s="456" customFormat="1" ht="21.95" customHeight="1" spans="1:13">
      <c r="A3" s="461"/>
      <c r="B3" s="462"/>
      <c r="D3" s="462"/>
      <c r="E3" s="463"/>
      <c r="F3" s="464"/>
      <c r="G3" s="464" t="s">
        <v>2</v>
      </c>
      <c r="H3" s="312"/>
      <c r="I3" s="312"/>
      <c r="J3" s="312"/>
      <c r="K3" s="312"/>
      <c r="L3" s="312"/>
      <c r="M3" s="312"/>
    </row>
    <row r="4" ht="39" customHeight="1" spans="1:7">
      <c r="A4" s="465" t="s">
        <v>18</v>
      </c>
      <c r="B4" s="466" t="s">
        <v>19</v>
      </c>
      <c r="C4" s="467" t="s">
        <v>20</v>
      </c>
      <c r="D4" s="466" t="s">
        <v>4</v>
      </c>
      <c r="E4" s="466" t="s">
        <v>5</v>
      </c>
      <c r="F4" s="466" t="s">
        <v>6</v>
      </c>
      <c r="G4" s="468" t="s">
        <v>21</v>
      </c>
    </row>
    <row r="5" ht="33.95" customHeight="1" spans="1:7">
      <c r="A5" s="469" t="s">
        <v>22</v>
      </c>
      <c r="B5" s="470">
        <v>111212</v>
      </c>
      <c r="C5" s="470"/>
      <c r="D5" s="470">
        <f>'3.收入'!B6</f>
        <v>117880</v>
      </c>
      <c r="E5" s="470">
        <f>F5-D5</f>
        <v>-15250</v>
      </c>
      <c r="F5" s="470">
        <f>'3.收入'!D6</f>
        <v>102630</v>
      </c>
      <c r="G5" s="471"/>
    </row>
    <row r="6" ht="33.95" customHeight="1" spans="1:7">
      <c r="A6" s="469" t="s">
        <v>23</v>
      </c>
      <c r="B6" s="466">
        <v>75369.71</v>
      </c>
      <c r="C6" s="466"/>
      <c r="D6" s="466">
        <f>SUM(D7:D20)</f>
        <v>76500</v>
      </c>
      <c r="E6" s="466">
        <f>SUM(E7:E20)</f>
        <v>16823.06</v>
      </c>
      <c r="F6" s="466">
        <f>SUM(F7:F20)</f>
        <v>93323.06</v>
      </c>
      <c r="G6" s="472"/>
    </row>
    <row r="7" s="457" customFormat="1" ht="39" customHeight="1" spans="1:13">
      <c r="A7" s="469" t="s">
        <v>24</v>
      </c>
      <c r="B7" s="473">
        <v>4961</v>
      </c>
      <c r="C7" s="474" t="s">
        <v>25</v>
      </c>
      <c r="D7" s="473">
        <v>4961</v>
      </c>
      <c r="E7" s="473">
        <f>F7-D7</f>
        <v>0</v>
      </c>
      <c r="F7" s="473">
        <v>4961</v>
      </c>
      <c r="G7" s="475" t="s">
        <v>26</v>
      </c>
      <c r="H7" s="476"/>
      <c r="I7" s="476"/>
      <c r="J7" s="476"/>
      <c r="K7" s="476"/>
      <c r="L7" s="476"/>
      <c r="M7" s="476"/>
    </row>
    <row r="8" s="457" customFormat="1" ht="43" customHeight="1" spans="1:13">
      <c r="A8" s="477" t="s">
        <v>27</v>
      </c>
      <c r="B8" s="473">
        <v>8476</v>
      </c>
      <c r="C8" s="474" t="s">
        <v>28</v>
      </c>
      <c r="D8" s="473">
        <v>8700</v>
      </c>
      <c r="E8" s="473">
        <f>F8-D8</f>
        <v>-224</v>
      </c>
      <c r="F8" s="473">
        <f>8289+187</f>
        <v>8476</v>
      </c>
      <c r="G8" s="475" t="s">
        <v>29</v>
      </c>
      <c r="H8" s="476"/>
      <c r="I8" s="476"/>
      <c r="J8" s="476"/>
      <c r="K8" s="476"/>
      <c r="L8" s="476"/>
      <c r="M8" s="476"/>
    </row>
    <row r="9" s="457" customFormat="1" ht="47" customHeight="1" spans="1:13">
      <c r="A9" s="477" t="s">
        <v>30</v>
      </c>
      <c r="B9" s="473">
        <v>15707</v>
      </c>
      <c r="C9" s="478" t="s">
        <v>31</v>
      </c>
      <c r="D9" s="473">
        <v>15800</v>
      </c>
      <c r="E9" s="473">
        <f>F9-D9</f>
        <v>2365</v>
      </c>
      <c r="F9" s="473">
        <f>15707+2458</f>
        <v>18165</v>
      </c>
      <c r="G9" s="475" t="s">
        <v>32</v>
      </c>
      <c r="H9" s="476"/>
      <c r="I9" s="476"/>
      <c r="J9" s="476"/>
      <c r="K9" s="476"/>
      <c r="L9" s="476"/>
      <c r="M9" s="476"/>
    </row>
    <row r="10" s="457" customFormat="1" ht="34" customHeight="1" spans="1:13">
      <c r="A10" s="477" t="s">
        <v>33</v>
      </c>
      <c r="B10" s="473">
        <v>7518</v>
      </c>
      <c r="C10" s="478" t="s">
        <v>34</v>
      </c>
      <c r="D10" s="473">
        <v>8200</v>
      </c>
      <c r="E10" s="473">
        <f t="shared" ref="E10:E25" si="0">F10-D10</f>
        <v>-682</v>
      </c>
      <c r="F10" s="473">
        <v>7518</v>
      </c>
      <c r="G10" s="475" t="s">
        <v>35</v>
      </c>
      <c r="H10" s="476" t="s">
        <v>36</v>
      </c>
      <c r="I10" s="476"/>
      <c r="J10" s="476"/>
      <c r="K10" s="476"/>
      <c r="L10" s="476"/>
      <c r="M10" s="476"/>
    </row>
    <row r="11" s="457" customFormat="1" ht="33" customHeight="1" spans="1:13">
      <c r="A11" s="477" t="s">
        <v>37</v>
      </c>
      <c r="B11" s="473">
        <v>2465</v>
      </c>
      <c r="C11" s="474" t="s">
        <v>38</v>
      </c>
      <c r="D11" s="473">
        <v>3100</v>
      </c>
      <c r="E11" s="473">
        <f t="shared" si="0"/>
        <v>-3100</v>
      </c>
      <c r="F11" s="473"/>
      <c r="G11" s="475" t="s">
        <v>36</v>
      </c>
      <c r="H11" s="476" t="s">
        <v>36</v>
      </c>
      <c r="I11" s="476"/>
      <c r="J11" s="476"/>
      <c r="K11" s="476"/>
      <c r="L11" s="476"/>
      <c r="M11" s="476"/>
    </row>
    <row r="12" s="457" customFormat="1" ht="60" customHeight="1" spans="1:13">
      <c r="A12" s="477" t="s">
        <v>39</v>
      </c>
      <c r="B12" s="473">
        <v>18822</v>
      </c>
      <c r="C12" s="474" t="s">
        <v>40</v>
      </c>
      <c r="D12" s="473">
        <v>19000</v>
      </c>
      <c r="E12" s="473">
        <f t="shared" si="0"/>
        <v>4331</v>
      </c>
      <c r="F12" s="473">
        <f>15833+1680+4000+1818</f>
        <v>23331</v>
      </c>
      <c r="G12" s="475" t="s">
        <v>41</v>
      </c>
      <c r="H12" s="476"/>
      <c r="I12" s="476"/>
      <c r="J12" s="476"/>
      <c r="K12" s="476"/>
      <c r="L12" s="476"/>
      <c r="M12" s="476"/>
    </row>
    <row r="13" s="457" customFormat="1" ht="82" customHeight="1" spans="1:13">
      <c r="A13" s="477" t="s">
        <v>42</v>
      </c>
      <c r="B13" s="473">
        <v>4235.62</v>
      </c>
      <c r="C13" s="479" t="s">
        <v>43</v>
      </c>
      <c r="D13" s="473">
        <v>4500</v>
      </c>
      <c r="E13" s="473">
        <f t="shared" si="0"/>
        <v>-293</v>
      </c>
      <c r="F13" s="473">
        <f>287+2410+52+1458</f>
        <v>4207</v>
      </c>
      <c r="G13" s="475" t="s">
        <v>44</v>
      </c>
      <c r="H13" s="476"/>
      <c r="I13" s="476"/>
      <c r="J13" s="476"/>
      <c r="K13" s="476"/>
      <c r="L13" s="476"/>
      <c r="M13" s="476"/>
    </row>
    <row r="14" s="457" customFormat="1" ht="40.5" spans="1:13">
      <c r="A14" s="477" t="s">
        <v>45</v>
      </c>
      <c r="B14" s="473">
        <v>7432</v>
      </c>
      <c r="C14" s="474" t="s">
        <v>46</v>
      </c>
      <c r="D14" s="473">
        <v>7300</v>
      </c>
      <c r="E14" s="473">
        <f t="shared" si="0"/>
        <v>-1414</v>
      </c>
      <c r="F14" s="473">
        <v>5886</v>
      </c>
      <c r="G14" s="475" t="s">
        <v>47</v>
      </c>
      <c r="H14" s="476" t="s">
        <v>36</v>
      </c>
      <c r="I14" s="476" t="s">
        <v>36</v>
      </c>
      <c r="J14" s="476" t="s">
        <v>36</v>
      </c>
      <c r="K14" s="476"/>
      <c r="L14" s="476"/>
      <c r="M14" s="476"/>
    </row>
    <row r="15" s="457" customFormat="1" ht="33" customHeight="1" spans="1:13">
      <c r="A15" s="477" t="s">
        <v>48</v>
      </c>
      <c r="B15" s="473">
        <v>1600</v>
      </c>
      <c r="C15" s="478" t="s">
        <v>49</v>
      </c>
      <c r="D15" s="473">
        <v>1600</v>
      </c>
      <c r="E15" s="473">
        <f t="shared" si="0"/>
        <v>0</v>
      </c>
      <c r="F15" s="473">
        <v>1600</v>
      </c>
      <c r="G15" s="475" t="s">
        <v>50</v>
      </c>
      <c r="H15" s="476" t="s">
        <v>36</v>
      </c>
      <c r="I15" s="476" t="s">
        <v>36</v>
      </c>
      <c r="J15" s="476" t="s">
        <v>36</v>
      </c>
      <c r="K15" s="476"/>
      <c r="L15" s="476"/>
      <c r="M15" s="476"/>
    </row>
    <row r="16" s="457" customFormat="1" ht="33" customHeight="1" spans="1:13">
      <c r="A16" s="477" t="s">
        <v>51</v>
      </c>
      <c r="B16" s="473">
        <v>1000</v>
      </c>
      <c r="C16" s="474" t="s">
        <v>52</v>
      </c>
      <c r="D16" s="473">
        <v>1000</v>
      </c>
      <c r="E16" s="473">
        <f t="shared" si="0"/>
        <v>-1000</v>
      </c>
      <c r="F16" s="473"/>
      <c r="G16" s="475" t="s">
        <v>36</v>
      </c>
      <c r="H16" s="476" t="s">
        <v>36</v>
      </c>
      <c r="I16" s="476" t="s">
        <v>36</v>
      </c>
      <c r="J16" s="476" t="s">
        <v>36</v>
      </c>
      <c r="K16" s="476"/>
      <c r="L16" s="476"/>
      <c r="M16" s="476"/>
    </row>
    <row r="17" s="457" customFormat="1" ht="78" customHeight="1" spans="1:13">
      <c r="A17" s="477" t="s">
        <v>53</v>
      </c>
      <c r="B17" s="473"/>
      <c r="C17" s="474"/>
      <c r="D17" s="473">
        <v>0</v>
      </c>
      <c r="E17" s="473">
        <f t="shared" si="0"/>
        <v>16642.06</v>
      </c>
      <c r="F17" s="473">
        <f>1956+11981+2571+134.06</f>
        <v>16642.06</v>
      </c>
      <c r="G17" s="475" t="s">
        <v>54</v>
      </c>
      <c r="H17" s="476"/>
      <c r="I17" s="476"/>
      <c r="J17" s="476"/>
      <c r="K17" s="476"/>
      <c r="L17" s="476"/>
      <c r="M17" s="476"/>
    </row>
    <row r="18" s="457" customFormat="1" ht="33" customHeight="1" spans="1:13">
      <c r="A18" s="477" t="s">
        <v>55</v>
      </c>
      <c r="B18" s="473">
        <v>412</v>
      </c>
      <c r="C18" s="474" t="s">
        <v>56</v>
      </c>
      <c r="D18" s="473">
        <v>412</v>
      </c>
      <c r="E18" s="473">
        <f t="shared" si="0"/>
        <v>0</v>
      </c>
      <c r="F18" s="473">
        <v>412</v>
      </c>
      <c r="G18" s="475" t="s">
        <v>57</v>
      </c>
      <c r="H18" s="476"/>
      <c r="I18" s="476"/>
      <c r="J18" s="476"/>
      <c r="K18" s="476"/>
      <c r="L18" s="476"/>
      <c r="M18" s="476"/>
    </row>
    <row r="19" s="457" customFormat="1" ht="33" customHeight="1" spans="1:13">
      <c r="A19" s="477" t="s">
        <v>58</v>
      </c>
      <c r="B19" s="473">
        <v>1472.72</v>
      </c>
      <c r="C19" s="474"/>
      <c r="D19" s="473">
        <v>971</v>
      </c>
      <c r="E19" s="473">
        <f t="shared" si="0"/>
        <v>531</v>
      </c>
      <c r="F19" s="473">
        <v>1502</v>
      </c>
      <c r="G19" s="475" t="s">
        <v>59</v>
      </c>
      <c r="H19" s="476"/>
      <c r="I19" s="476"/>
      <c r="J19" s="476"/>
      <c r="K19" s="476"/>
      <c r="L19" s="476"/>
      <c r="M19" s="476"/>
    </row>
    <row r="20" s="457" customFormat="1" ht="38" customHeight="1" spans="1:13">
      <c r="A20" s="477" t="s">
        <v>60</v>
      </c>
      <c r="B20" s="473">
        <v>1268.37</v>
      </c>
      <c r="C20" s="474" t="s">
        <v>61</v>
      </c>
      <c r="D20" s="473">
        <v>956</v>
      </c>
      <c r="E20" s="473">
        <f t="shared" si="0"/>
        <v>-333</v>
      </c>
      <c r="F20" s="473">
        <f>55+568</f>
        <v>623</v>
      </c>
      <c r="G20" s="475" t="s">
        <v>62</v>
      </c>
      <c r="H20" s="476"/>
      <c r="I20" s="476"/>
      <c r="J20" s="476"/>
      <c r="K20" s="476"/>
      <c r="L20" s="476"/>
      <c r="M20" s="476"/>
    </row>
    <row r="21" ht="33.95" customHeight="1" spans="1:7">
      <c r="A21" s="477" t="s">
        <v>63</v>
      </c>
      <c r="B21" s="470">
        <v>2734</v>
      </c>
      <c r="C21" s="474" t="s">
        <v>64</v>
      </c>
      <c r="D21" s="470">
        <v>0</v>
      </c>
      <c r="E21" s="470">
        <f t="shared" si="0"/>
        <v>3067</v>
      </c>
      <c r="F21" s="470">
        <v>3067</v>
      </c>
      <c r="G21" s="480" t="s">
        <v>65</v>
      </c>
    </row>
    <row r="22" ht="33.95" customHeight="1" spans="1:7">
      <c r="A22" s="477" t="s">
        <v>66</v>
      </c>
      <c r="B22" s="481">
        <v>13397.71</v>
      </c>
      <c r="C22" s="474" t="s">
        <v>67</v>
      </c>
      <c r="D22" s="470">
        <v>0</v>
      </c>
      <c r="E22" s="470">
        <f t="shared" si="0"/>
        <v>9824</v>
      </c>
      <c r="F22" s="470">
        <v>9824</v>
      </c>
      <c r="G22" s="480" t="s">
        <v>68</v>
      </c>
    </row>
    <row r="23" ht="33.95" customHeight="1" spans="1:7">
      <c r="A23" s="477" t="s">
        <v>69</v>
      </c>
      <c r="B23" s="481">
        <v>28943</v>
      </c>
      <c r="C23" s="474" t="s">
        <v>70</v>
      </c>
      <c r="D23" s="470">
        <v>0</v>
      </c>
      <c r="E23" s="470">
        <f t="shared" si="0"/>
        <v>32527</v>
      </c>
      <c r="F23" s="470">
        <v>32527</v>
      </c>
      <c r="G23" s="480" t="s">
        <v>71</v>
      </c>
    </row>
    <row r="24" ht="33.95" customHeight="1" spans="1:7">
      <c r="A24" s="477" t="s">
        <v>72</v>
      </c>
      <c r="B24" s="481">
        <v>26943</v>
      </c>
      <c r="C24" s="474" t="s">
        <v>73</v>
      </c>
      <c r="D24" s="470">
        <f>'基金支出（县本级）'!F110</f>
        <v>72518</v>
      </c>
      <c r="E24" s="470">
        <f t="shared" si="0"/>
        <v>-26388</v>
      </c>
      <c r="F24" s="470">
        <f>'5.基金平衡表（16）'!D13</f>
        <v>46130</v>
      </c>
      <c r="G24" s="480" t="s">
        <v>74</v>
      </c>
    </row>
    <row r="25" ht="33.95" customHeight="1" spans="1:7">
      <c r="A25" s="477" t="s">
        <v>75</v>
      </c>
      <c r="B25" s="481">
        <v>5290</v>
      </c>
      <c r="C25" s="474"/>
      <c r="D25" s="470">
        <v>0</v>
      </c>
      <c r="E25" s="470">
        <f t="shared" si="0"/>
        <v>4137</v>
      </c>
      <c r="F25" s="470">
        <v>4137</v>
      </c>
      <c r="G25" s="480"/>
    </row>
    <row r="26" ht="34" customHeight="1" spans="1:7">
      <c r="A26" s="482" t="s">
        <v>76</v>
      </c>
      <c r="B26" s="481">
        <f>B5+B6+B21+B22+B23+B24+B25</f>
        <v>263889.42</v>
      </c>
      <c r="C26" s="474"/>
      <c r="D26" s="470">
        <f>D5+D6+D21+D22+D23+D24+D25</f>
        <v>266898</v>
      </c>
      <c r="E26" s="470">
        <f>E5+E6+E21+E22+E23+E24+E25</f>
        <v>24740.06</v>
      </c>
      <c r="F26" s="470">
        <f>F5+F6+F21+F22+F23+F24+F25</f>
        <v>291638.06</v>
      </c>
      <c r="G26" s="483"/>
    </row>
    <row r="28" spans="2:4">
      <c r="B28" s="484"/>
      <c r="D28" s="352"/>
    </row>
    <row r="29" spans="2:6">
      <c r="B29" s="484"/>
      <c r="D29" s="485"/>
      <c r="E29"/>
      <c r="F29" s="430"/>
    </row>
    <row r="30" spans="2:2">
      <c r="B30" s="484"/>
    </row>
    <row r="31" spans="2:6">
      <c r="B31" s="484"/>
      <c r="F31" s="430"/>
    </row>
  </sheetData>
  <autoFilter ref="A4:G26">
    <extLst/>
  </autoFilter>
  <mergeCells count="1">
    <mergeCell ref="A2:G2"/>
  </mergeCells>
  <printOptions horizontalCentered="1"/>
  <pageMargins left="0.471527777777778" right="0.393055555555556" top="0.629166666666667" bottom="0.668055555555556" header="0.388888888888889" footer="0.349305555555556"/>
  <pageSetup paperSize="9" scale="85" firstPageNumber="11" orientation="landscape" useFirstPageNumber="1" horizontalDpi="600"/>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showZeros="0" workbookViewId="0">
      <selection activeCell="E17" sqref="E17"/>
    </sheetView>
  </sheetViews>
  <sheetFormatPr defaultColWidth="9" defaultRowHeight="13.5" outlineLevelCol="6"/>
  <cols>
    <col min="1" max="1" width="34.875" customWidth="1"/>
    <col min="2" max="6" width="12.625" customWidth="1"/>
    <col min="7" max="7" width="14" hidden="1" customWidth="1"/>
  </cols>
  <sheetData>
    <row r="1" ht="14.25" spans="1:2">
      <c r="A1" s="431" t="s">
        <v>77</v>
      </c>
      <c r="B1" s="432"/>
    </row>
    <row r="2" ht="35" customHeight="1" spans="1:6">
      <c r="A2" s="433" t="s">
        <v>78</v>
      </c>
      <c r="B2" s="433"/>
      <c r="C2" s="433"/>
      <c r="D2" s="433"/>
      <c r="E2" s="433"/>
      <c r="F2" s="433"/>
    </row>
    <row r="3" ht="15" customHeight="1" spans="1:6">
      <c r="A3" s="434"/>
      <c r="B3" s="434"/>
      <c r="D3" s="435"/>
      <c r="E3" s="435"/>
      <c r="F3" s="436" t="s">
        <v>2</v>
      </c>
    </row>
    <row r="4" spans="1:6">
      <c r="A4" s="437" t="s">
        <v>79</v>
      </c>
      <c r="B4" s="167" t="s">
        <v>4</v>
      </c>
      <c r="C4" s="168" t="s">
        <v>5</v>
      </c>
      <c r="D4" s="168" t="s">
        <v>6</v>
      </c>
      <c r="E4" s="168" t="s">
        <v>80</v>
      </c>
      <c r="F4" s="168" t="s">
        <v>81</v>
      </c>
    </row>
    <row r="5" ht="36" customHeight="1" spans="1:7">
      <c r="A5" s="437"/>
      <c r="B5" s="167"/>
      <c r="C5" s="168"/>
      <c r="D5" s="168"/>
      <c r="E5" s="168"/>
      <c r="F5" s="168"/>
      <c r="G5" s="438" t="s">
        <v>82</v>
      </c>
    </row>
    <row r="6" ht="18" customHeight="1" spans="1:7">
      <c r="A6" s="439" t="s">
        <v>83</v>
      </c>
      <c r="B6" s="440">
        <f>B7+B23</f>
        <v>117880</v>
      </c>
      <c r="C6" s="440">
        <f>C7+C23</f>
        <v>-15250</v>
      </c>
      <c r="D6" s="440">
        <f>D7+D23</f>
        <v>102630</v>
      </c>
      <c r="E6" s="441">
        <f>D6/B6*100</f>
        <v>87.0631150322362</v>
      </c>
      <c r="F6" s="441">
        <f>(D6-G6)/G6*100</f>
        <v>-2.29157344554776</v>
      </c>
      <c r="G6" s="430">
        <v>105037</v>
      </c>
    </row>
    <row r="7" ht="18" customHeight="1" spans="1:7">
      <c r="A7" s="442" t="s">
        <v>84</v>
      </c>
      <c r="B7" s="440">
        <f>SUM(B8:B22)</f>
        <v>75550</v>
      </c>
      <c r="C7" s="440">
        <f>SUM(C8:C22)</f>
        <v>-29550</v>
      </c>
      <c r="D7" s="440">
        <f>SUM(D8:D22)</f>
        <v>46000</v>
      </c>
      <c r="E7" s="441">
        <f t="shared" ref="E7:E40" si="0">D7/B7*100</f>
        <v>60.8868299139643</v>
      </c>
      <c r="F7" s="441">
        <f t="shared" ref="F7:F24" si="1">(D7-G7)/G7*100</f>
        <v>-31.002414915478</v>
      </c>
      <c r="G7" s="430">
        <v>66669</v>
      </c>
    </row>
    <row r="8" ht="18" customHeight="1" spans="1:7">
      <c r="A8" s="443" t="s">
        <v>85</v>
      </c>
      <c r="B8" s="444">
        <v>29972</v>
      </c>
      <c r="C8" s="445">
        <f>D8-B8</f>
        <v>-16963</v>
      </c>
      <c r="D8" s="445">
        <v>13009</v>
      </c>
      <c r="E8" s="446">
        <f t="shared" si="0"/>
        <v>43.4038435873482</v>
      </c>
      <c r="F8" s="446">
        <f t="shared" si="1"/>
        <v>-54.1904359461934</v>
      </c>
      <c r="G8" s="430">
        <v>28398</v>
      </c>
    </row>
    <row r="9" ht="18" customHeight="1" spans="1:7">
      <c r="A9" s="443" t="s">
        <v>86</v>
      </c>
      <c r="B9" s="444">
        <v>11960</v>
      </c>
      <c r="C9" s="445">
        <f t="shared" ref="C9:C23" si="2">D9-B9</f>
        <v>-2280</v>
      </c>
      <c r="D9" s="445">
        <v>9680</v>
      </c>
      <c r="E9" s="446">
        <f t="shared" si="0"/>
        <v>80.9364548494983</v>
      </c>
      <c r="F9" s="446">
        <f t="shared" si="1"/>
        <v>-16.0814911140009</v>
      </c>
      <c r="G9" s="430">
        <v>11535</v>
      </c>
    </row>
    <row r="10" ht="18" customHeight="1" spans="1:7">
      <c r="A10" s="443" t="s">
        <v>87</v>
      </c>
      <c r="B10" s="444">
        <v>2200</v>
      </c>
      <c r="C10" s="445">
        <f t="shared" si="2"/>
        <v>860</v>
      </c>
      <c r="D10" s="445">
        <v>3060</v>
      </c>
      <c r="E10" s="446">
        <f t="shared" si="0"/>
        <v>139.090909090909</v>
      </c>
      <c r="F10" s="446">
        <f t="shared" si="1"/>
        <v>35.5181576616475</v>
      </c>
      <c r="G10" s="430">
        <v>2258</v>
      </c>
    </row>
    <row r="11" ht="18" customHeight="1" spans="1:7">
      <c r="A11" s="443" t="s">
        <v>88</v>
      </c>
      <c r="B11" s="444">
        <v>3730</v>
      </c>
      <c r="C11" s="445">
        <f t="shared" si="2"/>
        <v>-830</v>
      </c>
      <c r="D11" s="445">
        <v>2900</v>
      </c>
      <c r="E11" s="446">
        <f t="shared" si="0"/>
        <v>77.7479892761394</v>
      </c>
      <c r="F11" s="446">
        <f t="shared" si="1"/>
        <v>-18.3558558558559</v>
      </c>
      <c r="G11" s="430">
        <v>3552</v>
      </c>
    </row>
    <row r="12" ht="18" customHeight="1" spans="1:7">
      <c r="A12" s="443" t="s">
        <v>89</v>
      </c>
      <c r="B12" s="444">
        <v>3000</v>
      </c>
      <c r="C12" s="445">
        <f t="shared" si="2"/>
        <v>-1400</v>
      </c>
      <c r="D12" s="445">
        <v>1600</v>
      </c>
      <c r="E12" s="446">
        <f t="shared" si="0"/>
        <v>53.3333333333333</v>
      </c>
      <c r="F12" s="446">
        <f t="shared" si="1"/>
        <v>-43.7016185784659</v>
      </c>
      <c r="G12" s="430">
        <v>2842</v>
      </c>
    </row>
    <row r="13" ht="18" customHeight="1" spans="1:7">
      <c r="A13" s="443" t="s">
        <v>90</v>
      </c>
      <c r="B13" s="444">
        <v>2050</v>
      </c>
      <c r="C13" s="445">
        <f t="shared" si="2"/>
        <v>-208</v>
      </c>
      <c r="D13" s="445">
        <v>1842</v>
      </c>
      <c r="E13" s="446">
        <f t="shared" si="0"/>
        <v>89.8536585365854</v>
      </c>
      <c r="F13" s="446">
        <f t="shared" si="1"/>
        <v>-7.15725806451613</v>
      </c>
      <c r="G13" s="430">
        <v>1984</v>
      </c>
    </row>
    <row r="14" ht="18" customHeight="1" spans="1:7">
      <c r="A14" s="443" t="s">
        <v>91</v>
      </c>
      <c r="B14" s="444">
        <v>850</v>
      </c>
      <c r="C14" s="445">
        <f t="shared" si="2"/>
        <v>-50</v>
      </c>
      <c r="D14" s="445">
        <v>800</v>
      </c>
      <c r="E14" s="446">
        <f t="shared" si="0"/>
        <v>94.1176470588235</v>
      </c>
      <c r="F14" s="446">
        <f t="shared" si="1"/>
        <v>-10.0112485939258</v>
      </c>
      <c r="G14" s="430">
        <v>889</v>
      </c>
    </row>
    <row r="15" ht="18" customHeight="1" spans="1:7">
      <c r="A15" s="443" t="s">
        <v>92</v>
      </c>
      <c r="B15" s="444">
        <v>1550</v>
      </c>
      <c r="C15" s="445">
        <f t="shared" si="2"/>
        <v>-470</v>
      </c>
      <c r="D15" s="445">
        <v>1080</v>
      </c>
      <c r="E15" s="446">
        <f t="shared" si="0"/>
        <v>69.6774193548387</v>
      </c>
      <c r="F15" s="446">
        <f t="shared" si="1"/>
        <v>-16.8591224018476</v>
      </c>
      <c r="G15" s="430">
        <v>1299</v>
      </c>
    </row>
    <row r="16" ht="18" customHeight="1" spans="1:7">
      <c r="A16" s="443" t="s">
        <v>93</v>
      </c>
      <c r="B16" s="444">
        <v>5800</v>
      </c>
      <c r="C16" s="445">
        <f t="shared" si="2"/>
        <v>-2400</v>
      </c>
      <c r="D16" s="445">
        <v>3400</v>
      </c>
      <c r="E16" s="446">
        <f t="shared" si="0"/>
        <v>58.6206896551724</v>
      </c>
      <c r="F16" s="446">
        <f t="shared" si="1"/>
        <v>-31.0064935064935</v>
      </c>
      <c r="G16" s="430">
        <v>4928</v>
      </c>
    </row>
    <row r="17" ht="18" customHeight="1" spans="1:7">
      <c r="A17" s="443" t="s">
        <v>94</v>
      </c>
      <c r="B17" s="444">
        <v>1200</v>
      </c>
      <c r="C17" s="445">
        <f t="shared" si="2"/>
        <v>-200</v>
      </c>
      <c r="D17" s="445">
        <v>1000</v>
      </c>
      <c r="E17" s="446">
        <f t="shared" si="0"/>
        <v>83.3333333333333</v>
      </c>
      <c r="F17" s="446">
        <f t="shared" si="1"/>
        <v>-5.57129367327668</v>
      </c>
      <c r="G17" s="430">
        <v>1059</v>
      </c>
    </row>
    <row r="18" ht="18" customHeight="1" spans="1:7">
      <c r="A18" s="443" t="s">
        <v>95</v>
      </c>
      <c r="B18" s="444">
        <v>3950</v>
      </c>
      <c r="C18" s="445">
        <f t="shared" si="2"/>
        <v>-3560</v>
      </c>
      <c r="D18" s="445">
        <v>390</v>
      </c>
      <c r="E18" s="446">
        <f t="shared" si="0"/>
        <v>9.87341772151899</v>
      </c>
      <c r="F18" s="446">
        <f t="shared" si="1"/>
        <v>15.727002967359</v>
      </c>
      <c r="G18" s="430">
        <v>337</v>
      </c>
    </row>
    <row r="19" ht="18" customHeight="1" spans="1:7">
      <c r="A19" s="443" t="s">
        <v>96</v>
      </c>
      <c r="B19" s="444">
        <v>5300</v>
      </c>
      <c r="C19" s="445">
        <f t="shared" si="2"/>
        <v>-1600</v>
      </c>
      <c r="D19" s="445">
        <v>3700</v>
      </c>
      <c r="E19" s="446">
        <f t="shared" si="0"/>
        <v>69.811320754717</v>
      </c>
      <c r="F19" s="446">
        <f t="shared" si="1"/>
        <v>-12.0931337609884</v>
      </c>
      <c r="G19" s="430">
        <v>4209</v>
      </c>
    </row>
    <row r="20" ht="18" customHeight="1" spans="1:7">
      <c r="A20" s="443" t="s">
        <v>97</v>
      </c>
      <c r="B20" s="444">
        <v>3000</v>
      </c>
      <c r="C20" s="445">
        <f t="shared" si="2"/>
        <v>-181</v>
      </c>
      <c r="D20" s="445">
        <v>2819</v>
      </c>
      <c r="E20" s="446">
        <f t="shared" si="0"/>
        <v>93.9666666666667</v>
      </c>
      <c r="F20" s="446">
        <f t="shared" si="1"/>
        <v>13.9450282942603</v>
      </c>
      <c r="G20" s="430">
        <v>2474</v>
      </c>
    </row>
    <row r="21" ht="18" customHeight="1" spans="1:7">
      <c r="A21" s="443" t="s">
        <v>98</v>
      </c>
      <c r="B21" s="444">
        <v>900</v>
      </c>
      <c r="C21" s="445">
        <f t="shared" si="2"/>
        <v>-180</v>
      </c>
      <c r="D21" s="445">
        <v>720</v>
      </c>
      <c r="E21" s="446">
        <f t="shared" si="0"/>
        <v>80</v>
      </c>
      <c r="F21" s="446">
        <f t="shared" si="1"/>
        <v>-16.6666666666667</v>
      </c>
      <c r="G21" s="430">
        <v>864</v>
      </c>
    </row>
    <row r="22" ht="18" customHeight="1" spans="1:7">
      <c r="A22" s="443" t="s">
        <v>99</v>
      </c>
      <c r="B22" s="444">
        <v>88</v>
      </c>
      <c r="C22" s="445">
        <f t="shared" si="2"/>
        <v>-88</v>
      </c>
      <c r="D22" s="447"/>
      <c r="E22" s="448">
        <v>0</v>
      </c>
      <c r="F22" s="448">
        <f t="shared" si="1"/>
        <v>-100</v>
      </c>
      <c r="G22" s="430">
        <v>41</v>
      </c>
    </row>
    <row r="23" ht="18" customHeight="1" spans="1:7">
      <c r="A23" s="442" t="s">
        <v>100</v>
      </c>
      <c r="B23" s="440">
        <f>SUM(B24:B31)</f>
        <v>42330</v>
      </c>
      <c r="C23" s="440">
        <f t="shared" si="2"/>
        <v>14300</v>
      </c>
      <c r="D23" s="440">
        <f>SUM(D24:D31)</f>
        <v>56630</v>
      </c>
      <c r="E23" s="441">
        <f t="shared" si="0"/>
        <v>133.782187573825</v>
      </c>
      <c r="F23" s="441">
        <f t="shared" si="1"/>
        <v>47.5969557964971</v>
      </c>
      <c r="G23" s="430">
        <v>38368</v>
      </c>
    </row>
    <row r="24" ht="18" customHeight="1" spans="1:7">
      <c r="A24" s="443" t="s">
        <v>101</v>
      </c>
      <c r="B24" s="447">
        <v>4400</v>
      </c>
      <c r="C24" s="445">
        <f t="shared" ref="C24:C32" si="3">D24-B24</f>
        <v>7066</v>
      </c>
      <c r="D24" s="447">
        <v>11466</v>
      </c>
      <c r="E24" s="448">
        <f t="shared" si="0"/>
        <v>260.590909090909</v>
      </c>
      <c r="F24" s="448">
        <f t="shared" si="1"/>
        <v>132.105263157895</v>
      </c>
      <c r="G24" s="430">
        <v>4940</v>
      </c>
    </row>
    <row r="25" ht="18" customHeight="1" spans="1:7">
      <c r="A25" s="443" t="s">
        <v>102</v>
      </c>
      <c r="B25" s="447">
        <v>4300</v>
      </c>
      <c r="C25" s="445">
        <f t="shared" si="3"/>
        <v>767</v>
      </c>
      <c r="D25" s="447">
        <v>5067</v>
      </c>
      <c r="E25" s="448">
        <f t="shared" si="0"/>
        <v>117.837209302326</v>
      </c>
      <c r="F25" s="448">
        <f t="shared" ref="F25:F40" si="4">(D25-G25)/G25*100</f>
        <v>14.1473304798378</v>
      </c>
      <c r="G25" s="430">
        <v>4439</v>
      </c>
    </row>
    <row r="26" ht="18" customHeight="1" spans="1:7">
      <c r="A26" s="443" t="s">
        <v>103</v>
      </c>
      <c r="B26" s="447">
        <v>4000</v>
      </c>
      <c r="C26" s="445">
        <f t="shared" si="3"/>
        <v>2090</v>
      </c>
      <c r="D26" s="447">
        <v>6090</v>
      </c>
      <c r="E26" s="448">
        <f t="shared" si="0"/>
        <v>152.25</v>
      </c>
      <c r="F26" s="448">
        <f t="shared" si="4"/>
        <v>-12.3362602562257</v>
      </c>
      <c r="G26" s="430">
        <v>6947</v>
      </c>
    </row>
    <row r="27" ht="18" customHeight="1" spans="1:7">
      <c r="A27" s="443" t="s">
        <v>104</v>
      </c>
      <c r="B27" s="444">
        <v>3450</v>
      </c>
      <c r="C27" s="445">
        <f t="shared" si="3"/>
        <v>908</v>
      </c>
      <c r="D27" s="447">
        <v>4358</v>
      </c>
      <c r="E27" s="448">
        <f t="shared" si="0"/>
        <v>126.31884057971</v>
      </c>
      <c r="F27" s="448"/>
      <c r="G27" s="430">
        <v>0</v>
      </c>
    </row>
    <row r="28" ht="18" customHeight="1" spans="1:7">
      <c r="A28" s="443" t="s">
        <v>105</v>
      </c>
      <c r="B28" s="444">
        <v>2000</v>
      </c>
      <c r="C28" s="445">
        <f t="shared" si="3"/>
        <v>-900</v>
      </c>
      <c r="D28" s="447">
        <v>1100</v>
      </c>
      <c r="E28" s="448">
        <f t="shared" si="0"/>
        <v>55</v>
      </c>
      <c r="F28" s="448">
        <f t="shared" si="4"/>
        <v>-41.1764705882353</v>
      </c>
      <c r="G28" s="430">
        <v>1870</v>
      </c>
    </row>
    <row r="29" ht="18" customHeight="1" spans="1:7">
      <c r="A29" s="443" t="s">
        <v>106</v>
      </c>
      <c r="B29" s="444">
        <v>23880</v>
      </c>
      <c r="C29" s="445">
        <f t="shared" si="3"/>
        <v>4208</v>
      </c>
      <c r="D29" s="447">
        <v>28088</v>
      </c>
      <c r="E29" s="448">
        <f t="shared" si="0"/>
        <v>117.621440536013</v>
      </c>
      <c r="F29" s="448">
        <f t="shared" si="4"/>
        <v>41.2522001508675</v>
      </c>
      <c r="G29" s="430">
        <v>19885</v>
      </c>
    </row>
    <row r="30" ht="18" customHeight="1" spans="1:7">
      <c r="A30" s="443" t="s">
        <v>107</v>
      </c>
      <c r="B30" s="444">
        <v>200</v>
      </c>
      <c r="C30" s="445">
        <f t="shared" si="3"/>
        <v>1</v>
      </c>
      <c r="D30" s="447">
        <v>201</v>
      </c>
      <c r="E30" s="448">
        <f t="shared" si="0"/>
        <v>100.5</v>
      </c>
      <c r="F30" s="448">
        <f t="shared" si="4"/>
        <v>2.55102040816327</v>
      </c>
      <c r="G30" s="430">
        <v>196</v>
      </c>
    </row>
    <row r="31" ht="18" customHeight="1" spans="1:7">
      <c r="A31" s="443" t="s">
        <v>108</v>
      </c>
      <c r="B31" s="444">
        <v>100</v>
      </c>
      <c r="C31" s="445">
        <f t="shared" si="3"/>
        <v>160</v>
      </c>
      <c r="D31" s="447">
        <v>260</v>
      </c>
      <c r="E31" s="448">
        <f t="shared" si="0"/>
        <v>260</v>
      </c>
      <c r="F31" s="448">
        <f t="shared" si="4"/>
        <v>185.714285714286</v>
      </c>
      <c r="G31" s="430">
        <v>91</v>
      </c>
    </row>
    <row r="32" ht="18" customHeight="1" spans="1:7">
      <c r="A32" s="449" t="s">
        <v>109</v>
      </c>
      <c r="B32" s="440">
        <f>SUM(B33:B37)</f>
        <v>53012</v>
      </c>
      <c r="C32" s="440">
        <f t="shared" si="3"/>
        <v>-19839</v>
      </c>
      <c r="D32" s="440">
        <f>SUM(D33:D37)</f>
        <v>33173</v>
      </c>
      <c r="E32" s="441">
        <f t="shared" si="0"/>
        <v>62.5763977967253</v>
      </c>
      <c r="F32" s="450">
        <f t="shared" si="4"/>
        <v>-34.7103859552441</v>
      </c>
      <c r="G32" s="430">
        <v>50809</v>
      </c>
    </row>
    <row r="33" ht="18" customHeight="1" spans="1:7">
      <c r="A33" s="451" t="s">
        <v>110</v>
      </c>
      <c r="B33" s="452">
        <f>B8</f>
        <v>29972</v>
      </c>
      <c r="C33" s="445">
        <f t="shared" ref="C33:C37" si="5">D33-B33</f>
        <v>-16963</v>
      </c>
      <c r="D33" s="445">
        <v>13009</v>
      </c>
      <c r="E33" s="446">
        <f t="shared" si="0"/>
        <v>43.4038435873482</v>
      </c>
      <c r="F33" s="448">
        <f t="shared" si="4"/>
        <v>-54.1904359461934</v>
      </c>
      <c r="G33" s="430">
        <v>28398</v>
      </c>
    </row>
    <row r="34" ht="18" customHeight="1" spans="1:7">
      <c r="A34" s="453" t="s">
        <v>111</v>
      </c>
      <c r="B34" s="452">
        <v>0</v>
      </c>
      <c r="C34" s="445">
        <f t="shared" si="5"/>
        <v>3</v>
      </c>
      <c r="D34" s="445">
        <v>3</v>
      </c>
      <c r="E34" s="446"/>
      <c r="F34" s="448">
        <f t="shared" si="4"/>
        <v>-25</v>
      </c>
      <c r="G34" s="430">
        <v>4</v>
      </c>
    </row>
    <row r="35" ht="18" customHeight="1" spans="1:7">
      <c r="A35" s="451" t="s">
        <v>112</v>
      </c>
      <c r="B35" s="452">
        <f>B9/0.4*0.6</f>
        <v>17940</v>
      </c>
      <c r="C35" s="445">
        <f t="shared" si="5"/>
        <v>-3420</v>
      </c>
      <c r="D35" s="445">
        <f>D9*1.5</f>
        <v>14520</v>
      </c>
      <c r="E35" s="446">
        <f t="shared" si="0"/>
        <v>80.9364548494983</v>
      </c>
      <c r="F35" s="448">
        <f t="shared" si="4"/>
        <v>-16.0839160839161</v>
      </c>
      <c r="G35" s="430">
        <v>17303</v>
      </c>
    </row>
    <row r="36" ht="18" customHeight="1" spans="1:7">
      <c r="A36" s="451" t="s">
        <v>113</v>
      </c>
      <c r="B36" s="452">
        <f>B10/0.4*0.6</f>
        <v>3300</v>
      </c>
      <c r="C36" s="445">
        <f t="shared" si="5"/>
        <v>1290</v>
      </c>
      <c r="D36" s="445">
        <f>D10*1.5</f>
        <v>4590</v>
      </c>
      <c r="E36" s="446">
        <f t="shared" si="0"/>
        <v>139.090909090909</v>
      </c>
      <c r="F36" s="448">
        <f t="shared" si="4"/>
        <v>35.4781582054309</v>
      </c>
      <c r="G36" s="430">
        <v>3388</v>
      </c>
    </row>
    <row r="37" ht="18" customHeight="1" spans="1:7">
      <c r="A37" s="454" t="s">
        <v>114</v>
      </c>
      <c r="B37" s="452">
        <v>1800</v>
      </c>
      <c r="C37" s="445">
        <f t="shared" si="5"/>
        <v>-749</v>
      </c>
      <c r="D37" s="445">
        <v>1051</v>
      </c>
      <c r="E37" s="446">
        <f t="shared" si="0"/>
        <v>58.3888888888889</v>
      </c>
      <c r="F37" s="448">
        <f t="shared" si="4"/>
        <v>-38.8242142025611</v>
      </c>
      <c r="G37" s="430">
        <v>1718</v>
      </c>
    </row>
    <row r="38" ht="18" customHeight="1" spans="1:7">
      <c r="A38" s="455" t="s">
        <v>115</v>
      </c>
      <c r="B38" s="440">
        <f>B6+B32</f>
        <v>170892</v>
      </c>
      <c r="C38" s="440">
        <f>C6+C32</f>
        <v>-35089</v>
      </c>
      <c r="D38" s="440">
        <f>D6+D32</f>
        <v>135803</v>
      </c>
      <c r="E38" s="441">
        <f t="shared" si="0"/>
        <v>79.4671488425438</v>
      </c>
      <c r="F38" s="450">
        <f t="shared" si="4"/>
        <v>-12.8613319473586</v>
      </c>
      <c r="G38" s="430">
        <v>155847</v>
      </c>
    </row>
    <row r="39" ht="18" customHeight="1" spans="1:7">
      <c r="A39" s="443" t="s">
        <v>116</v>
      </c>
      <c r="B39" s="444">
        <f>B38-B40</f>
        <v>128562</v>
      </c>
      <c r="C39" s="444">
        <f>C38-C40</f>
        <v>-49389</v>
      </c>
      <c r="D39" s="447">
        <f>B39+C39</f>
        <v>79173</v>
      </c>
      <c r="E39" s="448">
        <f t="shared" si="0"/>
        <v>61.5835161245158</v>
      </c>
      <c r="F39" s="448">
        <f t="shared" si="4"/>
        <v>-32.6066786404379</v>
      </c>
      <c r="G39" s="430">
        <v>117479</v>
      </c>
    </row>
    <row r="40" ht="18" customHeight="1" spans="1:7">
      <c r="A40" s="443" t="s">
        <v>117</v>
      </c>
      <c r="B40" s="444">
        <f>B23</f>
        <v>42330</v>
      </c>
      <c r="C40" s="444">
        <f>C23</f>
        <v>14300</v>
      </c>
      <c r="D40" s="447">
        <f>B40+C40</f>
        <v>56630</v>
      </c>
      <c r="E40" s="448">
        <f t="shared" si="0"/>
        <v>133.782187573825</v>
      </c>
      <c r="F40" s="448">
        <f t="shared" si="4"/>
        <v>47.5969557964971</v>
      </c>
      <c r="G40" s="430">
        <v>38368</v>
      </c>
    </row>
  </sheetData>
  <mergeCells count="7">
    <mergeCell ref="A2:F2"/>
    <mergeCell ref="A4:A5"/>
    <mergeCell ref="B4:B5"/>
    <mergeCell ref="C4:C5"/>
    <mergeCell ref="D4:D5"/>
    <mergeCell ref="E4:E5"/>
    <mergeCell ref="F4:F5"/>
  </mergeCells>
  <printOptions horizontalCentered="1"/>
  <pageMargins left="0.632638888888889" right="0.507638888888889" top="0.707638888888889" bottom="0.707638888888889" header="0.393055555555556" footer="0.2"/>
  <pageSetup paperSize="9" scale="94" orientation="portrait" horizontalDpi="600"/>
  <headerFooter>
    <oddFooter>&amp;C-13-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43"/>
  <sheetViews>
    <sheetView zoomScale="90" zoomScaleNormal="90" zoomScaleSheetLayoutView="90" workbookViewId="0">
      <pane xSplit="2" ySplit="7" topLeftCell="C8" activePane="bottomRight" state="frozen"/>
      <selection/>
      <selection pane="topRight"/>
      <selection pane="bottomLeft"/>
      <selection pane="bottomRight" activeCell="X29" sqref="X29:Y29"/>
    </sheetView>
  </sheetViews>
  <sheetFormatPr defaultColWidth="9" defaultRowHeight="13.5"/>
  <cols>
    <col min="1" max="1" width="5.81666666666667" style="203" customWidth="1"/>
    <col min="2" max="2" width="18" style="203" customWidth="1"/>
    <col min="3" max="3" width="11.6333333333333" style="203" customWidth="1"/>
    <col min="4" max="4" width="11.225" style="203" hidden="1" customWidth="1"/>
    <col min="5" max="5" width="11.1833333333333" style="203" hidden="1" customWidth="1"/>
    <col min="6" max="6" width="11.6333333333333" style="203" hidden="1" customWidth="1"/>
    <col min="7" max="7" width="10.725" style="203" hidden="1" customWidth="1"/>
    <col min="8" max="8" width="10.5" style="203" hidden="1" customWidth="1"/>
    <col min="9" max="9" width="11" style="203" hidden="1" customWidth="1"/>
    <col min="10" max="10" width="11.6333333333333" style="203" customWidth="1"/>
    <col min="11" max="13" width="9.44166666666667" style="203" customWidth="1"/>
    <col min="14" max="14" width="8.375" style="203" customWidth="1"/>
    <col min="15" max="15" width="9.36666666666667" style="203"/>
    <col min="16" max="16" width="10.3666666666667" style="203" customWidth="1"/>
    <col min="17" max="17" width="12.0916666666667" style="203" customWidth="1"/>
    <col min="18" max="19" width="10.6833333333333" style="203" customWidth="1"/>
    <col min="20" max="20" width="12.6333333333333" style="203"/>
    <col min="21" max="21" width="9.875" style="203" customWidth="1"/>
    <col min="22" max="22" width="10.3666666666667" style="203"/>
    <col min="23" max="23" width="11.6333333333333" style="203" customWidth="1"/>
    <col min="24" max="24" width="10.1333333333333" style="203" customWidth="1"/>
    <col min="25" max="25" width="12.625" style="203"/>
    <col min="26" max="16384" width="9" style="203"/>
  </cols>
  <sheetData>
    <row r="1" ht="14.25" spans="1:1">
      <c r="A1" s="135" t="s">
        <v>118</v>
      </c>
    </row>
    <row r="2" ht="39.95" customHeight="1" spans="1:23">
      <c r="A2" s="136" t="s">
        <v>119</v>
      </c>
      <c r="B2" s="136"/>
      <c r="C2" s="136"/>
      <c r="D2" s="136"/>
      <c r="E2" s="136"/>
      <c r="F2" s="136"/>
      <c r="G2" s="136"/>
      <c r="H2" s="136"/>
      <c r="I2" s="136"/>
      <c r="J2" s="136"/>
      <c r="K2" s="136"/>
      <c r="L2" s="136"/>
      <c r="M2" s="136"/>
      <c r="N2" s="136"/>
      <c r="O2" s="136"/>
      <c r="P2" s="136"/>
      <c r="Q2" s="136"/>
      <c r="R2" s="136"/>
      <c r="S2" s="136"/>
      <c r="T2" s="136"/>
      <c r="U2" s="136"/>
      <c r="V2" s="136"/>
      <c r="W2" s="136"/>
    </row>
    <row r="3" ht="17.15" customHeight="1" spans="23:23">
      <c r="W3" s="203" t="s">
        <v>2</v>
      </c>
    </row>
    <row r="4" ht="21.95" customHeight="1" spans="1:23">
      <c r="A4" s="31" t="s">
        <v>120</v>
      </c>
      <c r="B4" s="31" t="s">
        <v>121</v>
      </c>
      <c r="C4" s="81" t="s">
        <v>122</v>
      </c>
      <c r="D4" s="81"/>
      <c r="E4" s="81"/>
      <c r="F4" s="81"/>
      <c r="G4" s="81"/>
      <c r="H4" s="81"/>
      <c r="I4" s="83" t="s">
        <v>123</v>
      </c>
      <c r="J4" s="81" t="s">
        <v>5</v>
      </c>
      <c r="K4" s="81"/>
      <c r="L4" s="81"/>
      <c r="M4" s="81"/>
      <c r="N4" s="81"/>
      <c r="O4" s="81"/>
      <c r="P4" s="81"/>
      <c r="Q4" s="81" t="s">
        <v>6</v>
      </c>
      <c r="R4" s="81"/>
      <c r="S4" s="81"/>
      <c r="T4" s="81"/>
      <c r="U4" s="81"/>
      <c r="V4" s="81"/>
      <c r="W4" s="81"/>
    </row>
    <row r="5" ht="21.95" customHeight="1" spans="1:23">
      <c r="A5" s="31"/>
      <c r="B5" s="31"/>
      <c r="C5" s="388" t="s">
        <v>124</v>
      </c>
      <c r="D5" s="83" t="s">
        <v>125</v>
      </c>
      <c r="E5" s="83"/>
      <c r="F5" s="83"/>
      <c r="G5" s="83"/>
      <c r="H5" s="83"/>
      <c r="I5" s="83"/>
      <c r="J5" s="388" t="s">
        <v>124</v>
      </c>
      <c r="K5" s="83" t="s">
        <v>125</v>
      </c>
      <c r="L5" s="83"/>
      <c r="M5" s="83"/>
      <c r="N5" s="83"/>
      <c r="O5" s="83"/>
      <c r="P5" s="426" t="s">
        <v>123</v>
      </c>
      <c r="Q5" s="388" t="s">
        <v>124</v>
      </c>
      <c r="R5" s="83" t="s">
        <v>125</v>
      </c>
      <c r="S5" s="83"/>
      <c r="T5" s="83"/>
      <c r="U5" s="83"/>
      <c r="V5" s="83"/>
      <c r="W5" s="426" t="s">
        <v>123</v>
      </c>
    </row>
    <row r="6" ht="21" customHeight="1" spans="1:23">
      <c r="A6" s="31"/>
      <c r="B6" s="31"/>
      <c r="C6" s="388"/>
      <c r="D6" s="415" t="s">
        <v>126</v>
      </c>
      <c r="E6" s="83" t="s">
        <v>127</v>
      </c>
      <c r="F6" s="83"/>
      <c r="G6" s="83"/>
      <c r="H6" s="83" t="s">
        <v>128</v>
      </c>
      <c r="I6" s="83"/>
      <c r="J6" s="388"/>
      <c r="K6" s="415" t="s">
        <v>126</v>
      </c>
      <c r="L6" s="83" t="s">
        <v>127</v>
      </c>
      <c r="M6" s="83"/>
      <c r="N6" s="83"/>
      <c r="O6" s="83" t="s">
        <v>128</v>
      </c>
      <c r="P6" s="426"/>
      <c r="Q6" s="388"/>
      <c r="R6" s="415" t="s">
        <v>126</v>
      </c>
      <c r="S6" s="83" t="s">
        <v>127</v>
      </c>
      <c r="T6" s="83"/>
      <c r="U6" s="83"/>
      <c r="V6" s="83" t="s">
        <v>128</v>
      </c>
      <c r="W6" s="426"/>
    </row>
    <row r="7" ht="45" customHeight="1" spans="1:23">
      <c r="A7" s="31"/>
      <c r="B7" s="31"/>
      <c r="C7" s="388"/>
      <c r="D7" s="415"/>
      <c r="E7" s="415" t="s">
        <v>129</v>
      </c>
      <c r="F7" s="83" t="s">
        <v>130</v>
      </c>
      <c r="G7" s="83" t="s">
        <v>131</v>
      </c>
      <c r="H7" s="83"/>
      <c r="I7" s="83"/>
      <c r="J7" s="388"/>
      <c r="K7" s="415"/>
      <c r="L7" s="415" t="s">
        <v>129</v>
      </c>
      <c r="M7" s="83" t="s">
        <v>130</v>
      </c>
      <c r="N7" s="83" t="s">
        <v>131</v>
      </c>
      <c r="O7" s="83"/>
      <c r="P7" s="426"/>
      <c r="Q7" s="388"/>
      <c r="R7" s="415"/>
      <c r="S7" s="415" t="s">
        <v>129</v>
      </c>
      <c r="T7" s="83" t="s">
        <v>130</v>
      </c>
      <c r="U7" s="83" t="s">
        <v>131</v>
      </c>
      <c r="V7" s="83"/>
      <c r="W7" s="426"/>
    </row>
    <row r="8" ht="27" customHeight="1" spans="1:24">
      <c r="A8" s="344">
        <v>201</v>
      </c>
      <c r="B8" s="35" t="s">
        <v>132</v>
      </c>
      <c r="C8" s="416">
        <f t="shared" ref="C8:C28" si="0">SUM(F8:I8)</f>
        <v>41418.815548</v>
      </c>
      <c r="D8" s="417">
        <f t="shared" ref="D8:D28" si="1">E8+H8</f>
        <v>37406.205548</v>
      </c>
      <c r="E8" s="417">
        <f t="shared" ref="E8:E28" si="2">F8+G8</f>
        <v>25315.569548</v>
      </c>
      <c r="F8" s="417">
        <f>年初预算工资福利!E10</f>
        <v>24934.537548</v>
      </c>
      <c r="G8" s="417">
        <f>对个人和家庭补助!E7</f>
        <v>381.032</v>
      </c>
      <c r="H8" s="417">
        <f>商品和服务支出!F8</f>
        <v>12090.636</v>
      </c>
      <c r="I8" s="417">
        <f>项目支出!F5</f>
        <v>4012.61</v>
      </c>
      <c r="J8" s="416">
        <f>SUM(M8:P8)</f>
        <v>-3344.7799028</v>
      </c>
      <c r="K8" s="427">
        <f>L8+O8</f>
        <v>667.8300972</v>
      </c>
      <c r="L8" s="427">
        <f>M8+N8</f>
        <v>1137.5842972</v>
      </c>
      <c r="M8" s="427">
        <f>调整工资福利汇总!E7</f>
        <v>1045.7240972</v>
      </c>
      <c r="N8" s="427">
        <f>对个人和家庭补助!V7</f>
        <v>91.8602</v>
      </c>
      <c r="O8" s="427">
        <f>商品和服务支出!AF8</f>
        <v>-469.7542</v>
      </c>
      <c r="P8" s="427">
        <f>项目支出!J5</f>
        <v>-4012.61</v>
      </c>
      <c r="Q8" s="416">
        <f t="shared" ref="Q8:Q28" si="3">SUM(T8:W8)</f>
        <v>38074.0356452</v>
      </c>
      <c r="R8" s="427">
        <f t="shared" ref="R8:R28" si="4">S8+V8</f>
        <v>38074.0356452</v>
      </c>
      <c r="S8" s="427">
        <f t="shared" ref="S8:S28" si="5">T8+U8</f>
        <v>26453.1538452</v>
      </c>
      <c r="T8" s="427">
        <f>F8+M8</f>
        <v>25980.2616452</v>
      </c>
      <c r="U8" s="427">
        <f>G8+N8</f>
        <v>472.8922</v>
      </c>
      <c r="V8" s="427">
        <f>H8+O8</f>
        <v>11620.8818</v>
      </c>
      <c r="W8" s="427"/>
      <c r="X8" s="425"/>
    </row>
    <row r="9" ht="27" customHeight="1" spans="1:24">
      <c r="A9" s="344">
        <v>204</v>
      </c>
      <c r="B9" s="35" t="s">
        <v>133</v>
      </c>
      <c r="C9" s="416">
        <f t="shared" si="0"/>
        <v>13804.41</v>
      </c>
      <c r="D9" s="417">
        <f t="shared" si="1"/>
        <v>12784.41</v>
      </c>
      <c r="E9" s="417">
        <f t="shared" si="2"/>
        <v>8763.11</v>
      </c>
      <c r="F9" s="417">
        <f>年初预算工资福利!E189</f>
        <v>8215.71</v>
      </c>
      <c r="G9" s="417">
        <f>对个人和家庭补助!E51</f>
        <v>547.4</v>
      </c>
      <c r="H9" s="417">
        <f>商品和服务支出!F178</f>
        <v>4021.3</v>
      </c>
      <c r="I9" s="417">
        <f>项目支出!F35</f>
        <v>1020</v>
      </c>
      <c r="J9" s="416">
        <f t="shared" ref="J9:J28" si="6">SUM(M9:P9)</f>
        <v>-737.25756</v>
      </c>
      <c r="K9" s="427">
        <f t="shared" ref="K9:K28" si="7">L9+O9</f>
        <v>262.74244</v>
      </c>
      <c r="L9" s="427">
        <f t="shared" ref="L9:L28" si="8">M9+N9</f>
        <v>621.98244</v>
      </c>
      <c r="M9" s="427">
        <f>调整工资福利汇总!E8</f>
        <v>615.87244</v>
      </c>
      <c r="N9" s="427">
        <f>对个人和家庭补助!V51</f>
        <v>6.11</v>
      </c>
      <c r="O9" s="427">
        <f>商品和服务支出!AF178</f>
        <v>-359.24</v>
      </c>
      <c r="P9" s="427">
        <f>项目支出!J35</f>
        <v>-1000</v>
      </c>
      <c r="Q9" s="416">
        <f t="shared" si="3"/>
        <v>13067.15244</v>
      </c>
      <c r="R9" s="427">
        <f t="shared" si="4"/>
        <v>13047.15244</v>
      </c>
      <c r="S9" s="427">
        <f t="shared" si="5"/>
        <v>9385.09244</v>
      </c>
      <c r="T9" s="427">
        <f t="shared" ref="T9:T28" si="9">F9+M9</f>
        <v>8831.58244</v>
      </c>
      <c r="U9" s="427">
        <f t="shared" ref="U9:U28" si="10">G9+N9</f>
        <v>553.51</v>
      </c>
      <c r="V9" s="427">
        <f t="shared" ref="V9:V28" si="11">H9+O9</f>
        <v>3662.06</v>
      </c>
      <c r="W9" s="427">
        <f t="shared" ref="W9:W28" si="12">I9+P9</f>
        <v>20</v>
      </c>
      <c r="X9" s="425"/>
    </row>
    <row r="10" ht="27" customHeight="1" spans="1:24">
      <c r="A10" s="344">
        <v>205</v>
      </c>
      <c r="B10" s="35" t="s">
        <v>134</v>
      </c>
      <c r="C10" s="416">
        <f t="shared" si="0"/>
        <v>65577.6353</v>
      </c>
      <c r="D10" s="417">
        <f t="shared" si="1"/>
        <v>63084.9703</v>
      </c>
      <c r="E10" s="417">
        <f t="shared" si="2"/>
        <v>57648.5403</v>
      </c>
      <c r="F10" s="417">
        <f>年初预算工资福利!E199</f>
        <v>56478.43</v>
      </c>
      <c r="G10" s="417">
        <f>对个人和家庭补助!E58</f>
        <v>1170.1103</v>
      </c>
      <c r="H10" s="417">
        <f>商品和服务支出!F191</f>
        <v>5436.43</v>
      </c>
      <c r="I10" s="417">
        <f>项目支出!F39</f>
        <v>2492.665</v>
      </c>
      <c r="J10" s="416">
        <f t="shared" si="6"/>
        <v>9570.489871</v>
      </c>
      <c r="K10" s="427">
        <f t="shared" si="7"/>
        <v>7905.424871</v>
      </c>
      <c r="L10" s="427">
        <f t="shared" si="8"/>
        <v>8116.9395</v>
      </c>
      <c r="M10" s="427">
        <f>调整工资福利汇总!E9</f>
        <v>7984.4795</v>
      </c>
      <c r="N10" s="427">
        <f>对个人和家庭补助!V58</f>
        <v>132.46</v>
      </c>
      <c r="O10" s="427">
        <f>商品和服务支出!AF191</f>
        <v>-211.514629</v>
      </c>
      <c r="P10" s="427">
        <f>项目支出!J39</f>
        <v>1665.065</v>
      </c>
      <c r="Q10" s="416">
        <f t="shared" si="3"/>
        <v>75148.125171</v>
      </c>
      <c r="R10" s="427">
        <f t="shared" si="4"/>
        <v>70990.395171</v>
      </c>
      <c r="S10" s="427">
        <f t="shared" si="5"/>
        <v>65765.4798</v>
      </c>
      <c r="T10" s="427">
        <f t="shared" si="9"/>
        <v>64462.9095</v>
      </c>
      <c r="U10" s="427">
        <f t="shared" si="10"/>
        <v>1302.5703</v>
      </c>
      <c r="V10" s="427">
        <f t="shared" si="11"/>
        <v>5224.915371</v>
      </c>
      <c r="W10" s="427">
        <f t="shared" si="12"/>
        <v>4157.73</v>
      </c>
      <c r="X10" s="425"/>
    </row>
    <row r="11" ht="27" customHeight="1" spans="1:24">
      <c r="A11" s="344">
        <v>206</v>
      </c>
      <c r="B11" s="35" t="s">
        <v>135</v>
      </c>
      <c r="C11" s="416">
        <f t="shared" si="0"/>
        <v>610.56</v>
      </c>
      <c r="D11" s="417">
        <f t="shared" si="1"/>
        <v>178.39</v>
      </c>
      <c r="E11" s="417">
        <f t="shared" si="2"/>
        <v>104.51</v>
      </c>
      <c r="F11" s="417">
        <f>年初预算工资福利!E260</f>
        <v>103.66</v>
      </c>
      <c r="G11" s="417">
        <f>对个人和家庭补助!E100</f>
        <v>0.85</v>
      </c>
      <c r="H11" s="417">
        <f>商品和服务支出!F248</f>
        <v>73.88</v>
      </c>
      <c r="I11" s="417">
        <f>项目支出!F63</f>
        <v>432.17</v>
      </c>
      <c r="J11" s="416">
        <f t="shared" si="6"/>
        <v>6209.96254</v>
      </c>
      <c r="K11" s="427">
        <f t="shared" si="7"/>
        <v>54.21224</v>
      </c>
      <c r="L11" s="427">
        <f t="shared" si="8"/>
        <v>34.52224</v>
      </c>
      <c r="M11" s="427">
        <f>调整工资福利汇总!E10</f>
        <v>34.52224</v>
      </c>
      <c r="N11" s="427"/>
      <c r="O11" s="427">
        <f>商品和服务支出!AF248</f>
        <v>19.69</v>
      </c>
      <c r="P11" s="427">
        <f>项目支出!J63</f>
        <v>6155.7503</v>
      </c>
      <c r="Q11" s="416">
        <f t="shared" si="3"/>
        <v>6820.52254</v>
      </c>
      <c r="R11" s="427">
        <f t="shared" si="4"/>
        <v>232.60224</v>
      </c>
      <c r="S11" s="427">
        <f t="shared" si="5"/>
        <v>139.03224</v>
      </c>
      <c r="T11" s="427">
        <f t="shared" si="9"/>
        <v>138.18224</v>
      </c>
      <c r="U11" s="427">
        <f t="shared" si="10"/>
        <v>0.85</v>
      </c>
      <c r="V11" s="427">
        <f t="shared" si="11"/>
        <v>93.57</v>
      </c>
      <c r="W11" s="427">
        <f t="shared" si="12"/>
        <v>6587.9203</v>
      </c>
      <c r="X11" s="425"/>
    </row>
    <row r="12" ht="34" customHeight="1" spans="1:24">
      <c r="A12" s="344">
        <v>207</v>
      </c>
      <c r="B12" s="35" t="s">
        <v>136</v>
      </c>
      <c r="C12" s="416">
        <f t="shared" si="0"/>
        <v>4993.026928</v>
      </c>
      <c r="D12" s="417">
        <f t="shared" si="1"/>
        <v>2456.036928</v>
      </c>
      <c r="E12" s="417">
        <f t="shared" si="2"/>
        <v>1954.966928</v>
      </c>
      <c r="F12" s="417">
        <f>年初预算工资福利!E263</f>
        <v>1943.026928</v>
      </c>
      <c r="G12" s="417">
        <f>对个人和家庭补助!E102</f>
        <v>11.94</v>
      </c>
      <c r="H12" s="417">
        <f>商品和服务支出!F251</f>
        <v>501.07</v>
      </c>
      <c r="I12" s="417">
        <f>项目支出!F73</f>
        <v>2536.99</v>
      </c>
      <c r="J12" s="416">
        <f t="shared" si="6"/>
        <v>-303.81538</v>
      </c>
      <c r="K12" s="427">
        <f t="shared" si="7"/>
        <v>-34.99538</v>
      </c>
      <c r="L12" s="427">
        <f t="shared" si="8"/>
        <v>-76.14538</v>
      </c>
      <c r="M12" s="427">
        <f>调整工资福利汇总!E11</f>
        <v>-77.74538</v>
      </c>
      <c r="N12" s="427">
        <f>对个人和家庭补助!V102</f>
        <v>1.6</v>
      </c>
      <c r="O12" s="427">
        <f>商品和服务支出!AF251</f>
        <v>41.15</v>
      </c>
      <c r="P12" s="427">
        <f>项目支出!J73</f>
        <v>-268.82</v>
      </c>
      <c r="Q12" s="416">
        <f t="shared" si="3"/>
        <v>4689.211548</v>
      </c>
      <c r="R12" s="427">
        <f t="shared" si="4"/>
        <v>2421.041548</v>
      </c>
      <c r="S12" s="427">
        <f t="shared" si="5"/>
        <v>1878.821548</v>
      </c>
      <c r="T12" s="427">
        <f t="shared" si="9"/>
        <v>1865.281548</v>
      </c>
      <c r="U12" s="427">
        <f t="shared" si="10"/>
        <v>13.54</v>
      </c>
      <c r="V12" s="427">
        <f t="shared" si="11"/>
        <v>542.22</v>
      </c>
      <c r="W12" s="427">
        <f t="shared" si="12"/>
        <v>2268.17</v>
      </c>
      <c r="X12" s="425"/>
    </row>
    <row r="13" ht="27" customHeight="1" spans="1:24">
      <c r="A13" s="344">
        <v>208</v>
      </c>
      <c r="B13" s="35" t="s">
        <v>137</v>
      </c>
      <c r="C13" s="416">
        <f t="shared" si="0"/>
        <v>29275.715</v>
      </c>
      <c r="D13" s="417">
        <f t="shared" si="1"/>
        <v>19483.705</v>
      </c>
      <c r="E13" s="417">
        <f t="shared" si="2"/>
        <v>18492.185</v>
      </c>
      <c r="F13" s="417">
        <f>年初预算工资福利!E278</f>
        <v>3792.47</v>
      </c>
      <c r="G13" s="417">
        <f>对个人和家庭补助!E109</f>
        <v>14699.715</v>
      </c>
      <c r="H13" s="417">
        <f>商品和服务支出!F265</f>
        <v>991.52</v>
      </c>
      <c r="I13" s="417">
        <f>项目支出!F89</f>
        <v>9792.01</v>
      </c>
      <c r="J13" s="416">
        <f t="shared" si="6"/>
        <v>1035.1303774</v>
      </c>
      <c r="K13" s="427">
        <f t="shared" si="7"/>
        <v>658.6389484</v>
      </c>
      <c r="L13" s="427">
        <f t="shared" si="8"/>
        <v>626.2689484</v>
      </c>
      <c r="M13" s="427">
        <f>调整工资福利汇总!E12</f>
        <v>-137.3377516</v>
      </c>
      <c r="N13" s="427">
        <f>对个人和家庭补助!V109</f>
        <v>763.6067</v>
      </c>
      <c r="O13" s="427">
        <f>商品和服务支出!AF265</f>
        <v>32.37</v>
      </c>
      <c r="P13" s="427">
        <f>项目支出!J89</f>
        <v>376.491429</v>
      </c>
      <c r="Q13" s="416">
        <f t="shared" si="3"/>
        <v>30310.8453774</v>
      </c>
      <c r="R13" s="427">
        <f t="shared" si="4"/>
        <v>20142.3439484</v>
      </c>
      <c r="S13" s="427">
        <f t="shared" si="5"/>
        <v>19118.4539484</v>
      </c>
      <c r="T13" s="427">
        <f t="shared" si="9"/>
        <v>3655.1322484</v>
      </c>
      <c r="U13" s="427">
        <f t="shared" si="10"/>
        <v>15463.3217</v>
      </c>
      <c r="V13" s="427">
        <f t="shared" si="11"/>
        <v>1023.89</v>
      </c>
      <c r="W13" s="427">
        <f t="shared" si="12"/>
        <v>10168.501429</v>
      </c>
      <c r="X13" s="425"/>
    </row>
    <row r="14" ht="27" customHeight="1" spans="1:24">
      <c r="A14" s="344">
        <v>210</v>
      </c>
      <c r="B14" s="35" t="s">
        <v>138</v>
      </c>
      <c r="C14" s="416">
        <f t="shared" si="0"/>
        <v>13042.1117</v>
      </c>
      <c r="D14" s="417">
        <f t="shared" si="1"/>
        <v>7610.3417</v>
      </c>
      <c r="E14" s="417">
        <f t="shared" si="2"/>
        <v>7039.9817</v>
      </c>
      <c r="F14" s="417">
        <f>年初预算工资福利!E300</f>
        <v>6990.8977</v>
      </c>
      <c r="G14" s="417">
        <f>对个人和家庭补助!E116</f>
        <v>49.084</v>
      </c>
      <c r="H14" s="417">
        <f>商品和服务支出!F289</f>
        <v>570.36</v>
      </c>
      <c r="I14" s="417">
        <f>项目支出!F121</f>
        <v>5431.77</v>
      </c>
      <c r="J14" s="416">
        <f t="shared" si="6"/>
        <v>1533.64929768</v>
      </c>
      <c r="K14" s="427">
        <f t="shared" si="7"/>
        <v>1492.82964268</v>
      </c>
      <c r="L14" s="427">
        <f t="shared" si="8"/>
        <v>1504.45964268</v>
      </c>
      <c r="M14" s="427">
        <f>调整工资福利汇总!E13</f>
        <v>1474.76454268</v>
      </c>
      <c r="N14" s="427">
        <f>对个人和家庭补助!V116</f>
        <v>29.6951</v>
      </c>
      <c r="O14" s="427">
        <f>商品和服务支出!AF289</f>
        <v>-11.63</v>
      </c>
      <c r="P14" s="427">
        <f>项目支出!J121</f>
        <v>40.8196549999999</v>
      </c>
      <c r="Q14" s="416">
        <f t="shared" si="3"/>
        <v>14575.76099768</v>
      </c>
      <c r="R14" s="427">
        <f t="shared" si="4"/>
        <v>9103.17134268</v>
      </c>
      <c r="S14" s="427">
        <f t="shared" si="5"/>
        <v>8544.44134268</v>
      </c>
      <c r="T14" s="427">
        <f t="shared" si="9"/>
        <v>8465.66224268</v>
      </c>
      <c r="U14" s="427">
        <f t="shared" si="10"/>
        <v>78.7791</v>
      </c>
      <c r="V14" s="427">
        <f t="shared" si="11"/>
        <v>558.73</v>
      </c>
      <c r="W14" s="427">
        <f t="shared" si="12"/>
        <v>5472.589655</v>
      </c>
      <c r="X14" s="425"/>
    </row>
    <row r="15" ht="27" customHeight="1" spans="1:24">
      <c r="A15" s="344">
        <v>211</v>
      </c>
      <c r="B15" s="35" t="s">
        <v>139</v>
      </c>
      <c r="C15" s="416">
        <f t="shared" si="0"/>
        <v>5579.55</v>
      </c>
      <c r="D15" s="417">
        <f t="shared" si="1"/>
        <v>0</v>
      </c>
      <c r="E15" s="417">
        <f t="shared" si="2"/>
        <v>0</v>
      </c>
      <c r="F15" s="417"/>
      <c r="G15" s="417"/>
      <c r="H15" s="417"/>
      <c r="I15" s="417">
        <f>项目支出!F141</f>
        <v>5579.55</v>
      </c>
      <c r="J15" s="416">
        <f t="shared" si="6"/>
        <v>-884.8148</v>
      </c>
      <c r="K15" s="427">
        <f t="shared" si="7"/>
        <v>89.77</v>
      </c>
      <c r="L15" s="427"/>
      <c r="M15" s="427"/>
      <c r="N15" s="427"/>
      <c r="O15" s="427">
        <f>商品和服务支出!AF302</f>
        <v>89.77</v>
      </c>
      <c r="P15" s="427">
        <f>项目支出!J141</f>
        <v>-974.5848</v>
      </c>
      <c r="Q15" s="416">
        <f t="shared" si="3"/>
        <v>4694.7352</v>
      </c>
      <c r="R15" s="427">
        <f t="shared" si="4"/>
        <v>89.77</v>
      </c>
      <c r="S15" s="427"/>
      <c r="T15" s="427"/>
      <c r="U15" s="427"/>
      <c r="V15" s="427">
        <f t="shared" si="11"/>
        <v>89.77</v>
      </c>
      <c r="W15" s="427">
        <f t="shared" si="12"/>
        <v>4604.9652</v>
      </c>
      <c r="X15" s="425"/>
    </row>
    <row r="16" ht="27" customHeight="1" spans="1:24">
      <c r="A16" s="344">
        <v>212</v>
      </c>
      <c r="B16" s="35" t="s">
        <v>140</v>
      </c>
      <c r="C16" s="416">
        <f t="shared" si="0"/>
        <v>6389.0343</v>
      </c>
      <c r="D16" s="417">
        <f t="shared" si="1"/>
        <v>3476.3043</v>
      </c>
      <c r="E16" s="417">
        <f t="shared" si="2"/>
        <v>2823.9643</v>
      </c>
      <c r="F16" s="417">
        <f>年初预算工资福利!E330</f>
        <v>2817.1483</v>
      </c>
      <c r="G16" s="417">
        <f>对个人和家庭补助!E134</f>
        <v>6.816</v>
      </c>
      <c r="H16" s="417">
        <f>商品和服务支出!F304</f>
        <v>652.34</v>
      </c>
      <c r="I16" s="417">
        <f>项目支出!F155</f>
        <v>2912.73</v>
      </c>
      <c r="J16" s="416">
        <f t="shared" si="6"/>
        <v>3326.20123468</v>
      </c>
      <c r="K16" s="427">
        <f t="shared" si="7"/>
        <v>-302.45626532</v>
      </c>
      <c r="L16" s="427">
        <f t="shared" si="8"/>
        <v>10.08373468</v>
      </c>
      <c r="M16" s="427">
        <f>调整工资福利汇总!E14</f>
        <v>7.20373467999996</v>
      </c>
      <c r="N16" s="427">
        <f>对个人和家庭补助!V134</f>
        <v>2.88</v>
      </c>
      <c r="O16" s="427">
        <f>商品和服务支出!AF304</f>
        <v>-312.54</v>
      </c>
      <c r="P16" s="427">
        <f>项目支出!J155</f>
        <v>3628.6575</v>
      </c>
      <c r="Q16" s="416">
        <f t="shared" si="3"/>
        <v>9715.23553468</v>
      </c>
      <c r="R16" s="427">
        <f t="shared" si="4"/>
        <v>3173.84803468</v>
      </c>
      <c r="S16" s="427">
        <f t="shared" si="5"/>
        <v>2834.04803468</v>
      </c>
      <c r="T16" s="427">
        <f t="shared" si="9"/>
        <v>2824.35203468</v>
      </c>
      <c r="U16" s="427">
        <f t="shared" si="10"/>
        <v>9.696</v>
      </c>
      <c r="V16" s="427">
        <f t="shared" si="11"/>
        <v>339.8</v>
      </c>
      <c r="W16" s="427">
        <f t="shared" si="12"/>
        <v>6541.3875</v>
      </c>
      <c r="X16" s="425"/>
    </row>
    <row r="17" ht="27" customHeight="1" spans="1:24">
      <c r="A17" s="344">
        <v>213</v>
      </c>
      <c r="B17" s="35" t="s">
        <v>141</v>
      </c>
      <c r="C17" s="416">
        <f t="shared" si="0"/>
        <v>23163.6336</v>
      </c>
      <c r="D17" s="417">
        <f t="shared" si="1"/>
        <v>12412.0336</v>
      </c>
      <c r="E17" s="417">
        <f t="shared" si="2"/>
        <v>10621.9736</v>
      </c>
      <c r="F17" s="417">
        <f>年初预算工资福利!E346</f>
        <v>5914.93</v>
      </c>
      <c r="G17" s="417">
        <f>对个人和家庭补助!E138</f>
        <v>4707.0436</v>
      </c>
      <c r="H17" s="417">
        <f>商品和服务支出!F320</f>
        <v>1790.06</v>
      </c>
      <c r="I17" s="417">
        <f>项目支出!F181</f>
        <v>10751.6</v>
      </c>
      <c r="J17" s="416">
        <f t="shared" si="6"/>
        <v>-843.592956</v>
      </c>
      <c r="K17" s="427">
        <f t="shared" si="7"/>
        <v>-466.692956</v>
      </c>
      <c r="L17" s="427">
        <f t="shared" si="8"/>
        <v>-477.657956</v>
      </c>
      <c r="M17" s="427">
        <f>调整工资福利汇总!E15</f>
        <v>-209.229956</v>
      </c>
      <c r="N17" s="427">
        <f>对个人和家庭补助!V138</f>
        <v>-268.428</v>
      </c>
      <c r="O17" s="427">
        <f>商品和服务支出!AF320</f>
        <v>10.965</v>
      </c>
      <c r="P17" s="427">
        <f>项目支出!J181</f>
        <v>-376.9</v>
      </c>
      <c r="Q17" s="416">
        <f t="shared" si="3"/>
        <v>22320.040644</v>
      </c>
      <c r="R17" s="427">
        <f t="shared" si="4"/>
        <v>11945.340644</v>
      </c>
      <c r="S17" s="427">
        <f t="shared" si="5"/>
        <v>10144.315644</v>
      </c>
      <c r="T17" s="427">
        <f t="shared" si="9"/>
        <v>5705.700044</v>
      </c>
      <c r="U17" s="427">
        <f t="shared" si="10"/>
        <v>4438.6156</v>
      </c>
      <c r="V17" s="427">
        <f t="shared" si="11"/>
        <v>1801.025</v>
      </c>
      <c r="W17" s="427">
        <f t="shared" si="12"/>
        <v>10374.7</v>
      </c>
      <c r="X17" s="425"/>
    </row>
    <row r="18" ht="27" customHeight="1" spans="1:24">
      <c r="A18" s="344">
        <v>214</v>
      </c>
      <c r="B18" s="35" t="s">
        <v>142</v>
      </c>
      <c r="C18" s="416">
        <f t="shared" si="0"/>
        <v>3910.65</v>
      </c>
      <c r="D18" s="417">
        <f t="shared" si="1"/>
        <v>1344.65</v>
      </c>
      <c r="E18" s="417">
        <f t="shared" si="2"/>
        <v>1092</v>
      </c>
      <c r="F18" s="417">
        <f>年初预算工资福利!E390</f>
        <v>1077.23</v>
      </c>
      <c r="G18" s="417">
        <f>对个人和家庭补助!E160</f>
        <v>14.77</v>
      </c>
      <c r="H18" s="417">
        <f>商品和服务支出!F362</f>
        <v>252.65</v>
      </c>
      <c r="I18" s="417">
        <f>项目支出!F250</f>
        <v>2566</v>
      </c>
      <c r="J18" s="416">
        <f t="shared" si="6"/>
        <v>-1246.42216</v>
      </c>
      <c r="K18" s="427">
        <f t="shared" si="7"/>
        <v>-192.57216</v>
      </c>
      <c r="L18" s="427">
        <f t="shared" si="8"/>
        <v>-113.63216</v>
      </c>
      <c r="M18" s="427">
        <f>调整工资福利汇总!E16</f>
        <v>-113.63216</v>
      </c>
      <c r="N18" s="427"/>
      <c r="O18" s="427">
        <f>商品和服务支出!AF362</f>
        <v>-78.94</v>
      </c>
      <c r="P18" s="427">
        <f>项目支出!J250</f>
        <v>-1053.85</v>
      </c>
      <c r="Q18" s="416">
        <f t="shared" si="3"/>
        <v>2664.22784</v>
      </c>
      <c r="R18" s="427">
        <f t="shared" si="4"/>
        <v>1152.07784</v>
      </c>
      <c r="S18" s="427">
        <f t="shared" si="5"/>
        <v>978.36784</v>
      </c>
      <c r="T18" s="427">
        <f t="shared" si="9"/>
        <v>963.59784</v>
      </c>
      <c r="U18" s="427">
        <f t="shared" si="10"/>
        <v>14.77</v>
      </c>
      <c r="V18" s="427">
        <f t="shared" si="11"/>
        <v>173.71</v>
      </c>
      <c r="W18" s="427">
        <f t="shared" si="12"/>
        <v>1512.15</v>
      </c>
      <c r="X18" s="425"/>
    </row>
    <row r="19" ht="33" customHeight="1" spans="1:24">
      <c r="A19" s="344">
        <v>215</v>
      </c>
      <c r="B19" s="35" t="s">
        <v>143</v>
      </c>
      <c r="C19" s="416">
        <f t="shared" si="0"/>
        <v>6701</v>
      </c>
      <c r="D19" s="417">
        <f t="shared" si="1"/>
        <v>0</v>
      </c>
      <c r="E19" s="417">
        <f t="shared" si="2"/>
        <v>0</v>
      </c>
      <c r="F19" s="417"/>
      <c r="G19" s="417"/>
      <c r="H19" s="417"/>
      <c r="I19" s="417">
        <f>项目支出!F261</f>
        <v>6701</v>
      </c>
      <c r="J19" s="416">
        <f t="shared" si="6"/>
        <v>-6701</v>
      </c>
      <c r="K19" s="427"/>
      <c r="L19" s="427"/>
      <c r="M19" s="427"/>
      <c r="N19" s="427"/>
      <c r="O19" s="427"/>
      <c r="P19" s="427">
        <f>项目支出!J261</f>
        <v>-6701</v>
      </c>
      <c r="Q19" s="416">
        <f t="shared" si="3"/>
        <v>0</v>
      </c>
      <c r="R19" s="427"/>
      <c r="S19" s="427"/>
      <c r="T19" s="427"/>
      <c r="U19" s="427"/>
      <c r="V19" s="427"/>
      <c r="W19" s="427"/>
      <c r="X19" s="425"/>
    </row>
    <row r="20" ht="27" customHeight="1" spans="1:24">
      <c r="A20" s="344">
        <v>216</v>
      </c>
      <c r="B20" s="35" t="s">
        <v>144</v>
      </c>
      <c r="C20" s="416">
        <f t="shared" si="0"/>
        <v>381.7344</v>
      </c>
      <c r="D20" s="417">
        <f t="shared" si="1"/>
        <v>361.7344</v>
      </c>
      <c r="E20" s="417">
        <f t="shared" si="2"/>
        <v>260.3704</v>
      </c>
      <c r="F20" s="417">
        <f>年初预算工资福利!E399</f>
        <v>249.106</v>
      </c>
      <c r="G20" s="417">
        <f>对个人和家庭补助!E163</f>
        <v>11.2644</v>
      </c>
      <c r="H20" s="417">
        <f>商品和服务支出!F370</f>
        <v>101.364</v>
      </c>
      <c r="I20" s="417">
        <f>项目支出!F270</f>
        <v>20</v>
      </c>
      <c r="J20" s="416">
        <f t="shared" si="6"/>
        <v>-36.3148</v>
      </c>
      <c r="K20" s="427">
        <f t="shared" si="7"/>
        <v>-36.3148</v>
      </c>
      <c r="L20" s="427">
        <f t="shared" si="8"/>
        <v>-33.2148</v>
      </c>
      <c r="M20" s="427">
        <f>调整工资福利汇总!E17</f>
        <v>-34.7348</v>
      </c>
      <c r="N20" s="427">
        <f>对个人和家庭补助!V163</f>
        <v>1.52</v>
      </c>
      <c r="O20" s="427">
        <f>商品和服务支出!AF370</f>
        <v>-3.1</v>
      </c>
      <c r="P20" s="427"/>
      <c r="Q20" s="416">
        <f t="shared" si="3"/>
        <v>345.4196</v>
      </c>
      <c r="R20" s="427">
        <f t="shared" si="4"/>
        <v>325.4196</v>
      </c>
      <c r="S20" s="427">
        <f t="shared" si="5"/>
        <v>227.1556</v>
      </c>
      <c r="T20" s="427">
        <f t="shared" si="9"/>
        <v>214.3712</v>
      </c>
      <c r="U20" s="427">
        <f t="shared" si="10"/>
        <v>12.7844</v>
      </c>
      <c r="V20" s="427">
        <f t="shared" si="11"/>
        <v>98.264</v>
      </c>
      <c r="W20" s="427">
        <f t="shared" si="12"/>
        <v>20</v>
      </c>
      <c r="X20" s="425"/>
    </row>
    <row r="21" ht="27" customHeight="1" spans="1:24">
      <c r="A21" s="344">
        <v>217</v>
      </c>
      <c r="B21" s="35" t="s">
        <v>145</v>
      </c>
      <c r="C21" s="416">
        <f t="shared" si="0"/>
        <v>160</v>
      </c>
      <c r="D21" s="417">
        <f t="shared" si="1"/>
        <v>110</v>
      </c>
      <c r="E21" s="417">
        <f t="shared" si="2"/>
        <v>0</v>
      </c>
      <c r="F21" s="417"/>
      <c r="G21" s="417"/>
      <c r="H21" s="417">
        <f>商品和服务支出!F373</f>
        <v>110</v>
      </c>
      <c r="I21" s="417">
        <f>项目支出!F272</f>
        <v>50</v>
      </c>
      <c r="J21" s="416">
        <f t="shared" si="6"/>
        <v>-50</v>
      </c>
      <c r="K21" s="427"/>
      <c r="L21" s="427"/>
      <c r="M21" s="427"/>
      <c r="N21" s="427"/>
      <c r="O21" s="427"/>
      <c r="P21" s="427">
        <f>项目支出!J272</f>
        <v>-50</v>
      </c>
      <c r="Q21" s="416">
        <f t="shared" si="3"/>
        <v>110</v>
      </c>
      <c r="R21" s="427">
        <f t="shared" si="4"/>
        <v>110</v>
      </c>
      <c r="S21" s="427"/>
      <c r="T21" s="427"/>
      <c r="U21" s="427"/>
      <c r="V21" s="427">
        <f t="shared" si="11"/>
        <v>110</v>
      </c>
      <c r="W21" s="427"/>
      <c r="X21" s="425"/>
    </row>
    <row r="22" ht="32" customHeight="1" spans="1:24">
      <c r="A22" s="344">
        <v>220</v>
      </c>
      <c r="B22" s="35" t="s">
        <v>146</v>
      </c>
      <c r="C22" s="416">
        <f t="shared" si="0"/>
        <v>2579.1667</v>
      </c>
      <c r="D22" s="417">
        <f t="shared" si="1"/>
        <v>2519.7967</v>
      </c>
      <c r="E22" s="417">
        <f t="shared" si="2"/>
        <v>1917.2247</v>
      </c>
      <c r="F22" s="417">
        <f>年初预算工资福利!E402</f>
        <v>1912.9647</v>
      </c>
      <c r="G22" s="417">
        <f>对个人和家庭补助!E165</f>
        <v>4.26</v>
      </c>
      <c r="H22" s="417">
        <f>商品和服务支出!F376</f>
        <v>602.572</v>
      </c>
      <c r="I22" s="417">
        <f>项目支出!F274</f>
        <v>59.37</v>
      </c>
      <c r="J22" s="416">
        <f t="shared" si="6"/>
        <v>-33.8079</v>
      </c>
      <c r="K22" s="427">
        <f t="shared" si="7"/>
        <v>-40.6879</v>
      </c>
      <c r="L22" s="427">
        <f t="shared" si="8"/>
        <v>256.3621</v>
      </c>
      <c r="M22" s="427">
        <f>调整工资福利汇总!E18</f>
        <v>255.1521</v>
      </c>
      <c r="N22" s="427">
        <f>对个人和家庭补助!V165</f>
        <v>1.21</v>
      </c>
      <c r="O22" s="427">
        <f>商品和服务支出!AF376</f>
        <v>-297.05</v>
      </c>
      <c r="P22" s="427">
        <f>项目支出!J274</f>
        <v>6.88</v>
      </c>
      <c r="Q22" s="416">
        <f t="shared" si="3"/>
        <v>2545.3588</v>
      </c>
      <c r="R22" s="427">
        <f t="shared" si="4"/>
        <v>2479.1088</v>
      </c>
      <c r="S22" s="427">
        <f t="shared" si="5"/>
        <v>2173.5868</v>
      </c>
      <c r="T22" s="427">
        <f t="shared" si="9"/>
        <v>2168.1168</v>
      </c>
      <c r="U22" s="427">
        <f t="shared" si="10"/>
        <v>5.47</v>
      </c>
      <c r="V22" s="427">
        <f t="shared" si="11"/>
        <v>305.522</v>
      </c>
      <c r="W22" s="427">
        <f t="shared" si="12"/>
        <v>66.25</v>
      </c>
      <c r="X22" s="425"/>
    </row>
    <row r="23" ht="27" customHeight="1" spans="1:24">
      <c r="A23" s="344">
        <v>222</v>
      </c>
      <c r="B23" s="35" t="s">
        <v>147</v>
      </c>
      <c r="C23" s="416">
        <f t="shared" si="0"/>
        <v>275</v>
      </c>
      <c r="D23" s="417">
        <f t="shared" si="1"/>
        <v>0</v>
      </c>
      <c r="E23" s="417">
        <f t="shared" si="2"/>
        <v>0</v>
      </c>
      <c r="F23" s="417"/>
      <c r="G23" s="417"/>
      <c r="H23" s="417"/>
      <c r="I23" s="417">
        <f>项目支出!F281</f>
        <v>275</v>
      </c>
      <c r="J23" s="416">
        <f t="shared" si="6"/>
        <v>132</v>
      </c>
      <c r="K23" s="427"/>
      <c r="L23" s="427"/>
      <c r="M23" s="427"/>
      <c r="N23" s="427"/>
      <c r="O23" s="427"/>
      <c r="P23" s="427">
        <f>项目支出!J281</f>
        <v>132</v>
      </c>
      <c r="Q23" s="416">
        <f t="shared" si="3"/>
        <v>407</v>
      </c>
      <c r="R23" s="427"/>
      <c r="S23" s="427"/>
      <c r="T23" s="427"/>
      <c r="U23" s="427"/>
      <c r="V23" s="427"/>
      <c r="W23" s="427">
        <f t="shared" si="12"/>
        <v>407</v>
      </c>
      <c r="X23" s="425"/>
    </row>
    <row r="24" ht="36" customHeight="1" spans="1:24">
      <c r="A24" s="344">
        <v>224</v>
      </c>
      <c r="B24" s="35" t="s">
        <v>148</v>
      </c>
      <c r="C24" s="416">
        <f t="shared" si="0"/>
        <v>2704.678</v>
      </c>
      <c r="D24" s="417">
        <f t="shared" si="1"/>
        <v>1758.178</v>
      </c>
      <c r="E24" s="417">
        <f t="shared" si="2"/>
        <v>1079.478</v>
      </c>
      <c r="F24" s="417">
        <f>年初预算工资福利!E414</f>
        <v>1079.478</v>
      </c>
      <c r="G24" s="417">
        <f>对个人和家庭补助!E168</f>
        <v>0</v>
      </c>
      <c r="H24" s="417">
        <f>商品和服务支出!F388</f>
        <v>678.7</v>
      </c>
      <c r="I24" s="417">
        <f>项目支出!F284</f>
        <v>946.5</v>
      </c>
      <c r="J24" s="416">
        <f t="shared" si="6"/>
        <v>-224.42794</v>
      </c>
      <c r="K24" s="427">
        <f t="shared" si="7"/>
        <v>-66.83744</v>
      </c>
      <c r="L24" s="427">
        <f t="shared" si="8"/>
        <v>-48.65744</v>
      </c>
      <c r="M24" s="427">
        <f>调整工资福利汇总!E19</f>
        <v>-48.65744</v>
      </c>
      <c r="N24" s="427"/>
      <c r="O24" s="427">
        <f>商品和服务支出!AF388</f>
        <v>-18.18</v>
      </c>
      <c r="P24" s="427">
        <f>项目支出!J284</f>
        <v>-157.5905</v>
      </c>
      <c r="Q24" s="416">
        <f t="shared" si="3"/>
        <v>2480.25006</v>
      </c>
      <c r="R24" s="427">
        <f t="shared" si="4"/>
        <v>1691.34056</v>
      </c>
      <c r="S24" s="427">
        <f t="shared" si="5"/>
        <v>1030.82056</v>
      </c>
      <c r="T24" s="427">
        <f t="shared" si="9"/>
        <v>1030.82056</v>
      </c>
      <c r="U24" s="427"/>
      <c r="V24" s="427">
        <f t="shared" si="11"/>
        <v>660.52</v>
      </c>
      <c r="W24" s="427">
        <f t="shared" si="12"/>
        <v>788.9095</v>
      </c>
      <c r="X24" s="425"/>
    </row>
    <row r="25" ht="27" customHeight="1" spans="1:24">
      <c r="A25" s="344">
        <v>227</v>
      </c>
      <c r="B25" s="35" t="s">
        <v>149</v>
      </c>
      <c r="C25" s="416">
        <f t="shared" si="0"/>
        <v>3200</v>
      </c>
      <c r="D25" s="417">
        <f t="shared" si="1"/>
        <v>0</v>
      </c>
      <c r="E25" s="417">
        <f t="shared" si="2"/>
        <v>0</v>
      </c>
      <c r="F25" s="417"/>
      <c r="G25" s="417"/>
      <c r="H25" s="417"/>
      <c r="I25" s="417">
        <f>项目支出!F303</f>
        <v>3200</v>
      </c>
      <c r="J25" s="416">
        <f t="shared" si="6"/>
        <v>-3200</v>
      </c>
      <c r="K25" s="427"/>
      <c r="L25" s="427"/>
      <c r="M25" s="427"/>
      <c r="N25" s="427"/>
      <c r="O25" s="427"/>
      <c r="P25" s="427">
        <f>项目支出!J303</f>
        <v>-3200</v>
      </c>
      <c r="Q25" s="416">
        <f t="shared" si="3"/>
        <v>0</v>
      </c>
      <c r="R25" s="427"/>
      <c r="S25" s="427"/>
      <c r="T25" s="427"/>
      <c r="U25" s="427"/>
      <c r="V25" s="427"/>
      <c r="W25" s="427"/>
      <c r="X25" s="425"/>
    </row>
    <row r="26" ht="27" customHeight="1" spans="1:24">
      <c r="A26" s="418">
        <v>229</v>
      </c>
      <c r="B26" s="419" t="s">
        <v>150</v>
      </c>
      <c r="C26" s="416">
        <f t="shared" si="0"/>
        <v>178</v>
      </c>
      <c r="D26" s="417">
        <f t="shared" si="1"/>
        <v>0</v>
      </c>
      <c r="E26" s="417">
        <f t="shared" si="2"/>
        <v>0</v>
      </c>
      <c r="F26" s="417"/>
      <c r="G26" s="417"/>
      <c r="H26" s="417"/>
      <c r="I26" s="417">
        <f>项目支出!F305</f>
        <v>178</v>
      </c>
      <c r="J26" s="416">
        <f t="shared" si="6"/>
        <v>0</v>
      </c>
      <c r="K26" s="427"/>
      <c r="L26" s="427"/>
      <c r="M26" s="427"/>
      <c r="N26" s="427"/>
      <c r="O26" s="427"/>
      <c r="P26" s="427"/>
      <c r="Q26" s="416">
        <f t="shared" si="3"/>
        <v>178</v>
      </c>
      <c r="R26" s="427"/>
      <c r="S26" s="427"/>
      <c r="T26" s="427"/>
      <c r="U26" s="427"/>
      <c r="V26" s="427"/>
      <c r="W26" s="427">
        <f t="shared" si="12"/>
        <v>178</v>
      </c>
      <c r="X26" s="425"/>
    </row>
    <row r="27" ht="27" customHeight="1" spans="1:24">
      <c r="A27" s="420">
        <v>232</v>
      </c>
      <c r="B27" s="419" t="s">
        <v>151</v>
      </c>
      <c r="C27" s="416">
        <f t="shared" si="0"/>
        <v>11772.48</v>
      </c>
      <c r="D27" s="417">
        <f t="shared" si="1"/>
        <v>0</v>
      </c>
      <c r="E27" s="417">
        <f t="shared" si="2"/>
        <v>0</v>
      </c>
      <c r="F27" s="417"/>
      <c r="G27" s="417"/>
      <c r="H27" s="417"/>
      <c r="I27" s="417">
        <f>项目支出!F308</f>
        <v>11772.48</v>
      </c>
      <c r="J27" s="416">
        <f t="shared" si="6"/>
        <v>-1745.6732</v>
      </c>
      <c r="K27" s="427"/>
      <c r="L27" s="427"/>
      <c r="M27" s="427"/>
      <c r="N27" s="427"/>
      <c r="O27" s="427"/>
      <c r="P27" s="427">
        <f>项目支出!J308</f>
        <v>-1745.6732</v>
      </c>
      <c r="Q27" s="416">
        <f t="shared" si="3"/>
        <v>10026.8068</v>
      </c>
      <c r="R27" s="427"/>
      <c r="S27" s="427"/>
      <c r="T27" s="427"/>
      <c r="U27" s="427"/>
      <c r="V27" s="427"/>
      <c r="W27" s="427">
        <f t="shared" si="12"/>
        <v>10026.8068</v>
      </c>
      <c r="X27" s="425"/>
    </row>
    <row r="28" ht="27" customHeight="1" spans="1:24">
      <c r="A28" s="420">
        <v>233</v>
      </c>
      <c r="B28" s="419" t="s">
        <v>152</v>
      </c>
      <c r="C28" s="416">
        <f t="shared" si="0"/>
        <v>50</v>
      </c>
      <c r="D28" s="417">
        <f t="shared" si="1"/>
        <v>0</v>
      </c>
      <c r="E28" s="417">
        <f t="shared" si="2"/>
        <v>0</v>
      </c>
      <c r="F28" s="417"/>
      <c r="G28" s="417"/>
      <c r="H28" s="417"/>
      <c r="I28" s="417">
        <f>项目支出!F311</f>
        <v>50</v>
      </c>
      <c r="J28" s="416">
        <f t="shared" si="6"/>
        <v>-30.369048</v>
      </c>
      <c r="K28" s="427"/>
      <c r="L28" s="427"/>
      <c r="M28" s="427"/>
      <c r="N28" s="427"/>
      <c r="O28" s="427"/>
      <c r="P28" s="427">
        <f>项目支出!J311</f>
        <v>-30.369048</v>
      </c>
      <c r="Q28" s="416">
        <f t="shared" si="3"/>
        <v>19.630952</v>
      </c>
      <c r="R28" s="427"/>
      <c r="S28" s="427"/>
      <c r="T28" s="427"/>
      <c r="U28" s="427"/>
      <c r="V28" s="427"/>
      <c r="W28" s="427">
        <f t="shared" si="12"/>
        <v>19.630952</v>
      </c>
      <c r="X28" s="425"/>
    </row>
    <row r="29" ht="27" customHeight="1" spans="1:25">
      <c r="A29" s="421"/>
      <c r="B29" s="81" t="s">
        <v>124</v>
      </c>
      <c r="C29" s="416">
        <f>SUM(C8:C28)</f>
        <v>235767.201476</v>
      </c>
      <c r="D29" s="422">
        <f>SUM(D8:D28)</f>
        <v>164986.756476</v>
      </c>
      <c r="E29" s="422">
        <f t="shared" ref="E29:W29" si="13">SUM(E8:E28)</f>
        <v>137113.874476</v>
      </c>
      <c r="F29" s="422">
        <f t="shared" si="13"/>
        <v>115509.589176</v>
      </c>
      <c r="G29" s="422">
        <f t="shared" si="13"/>
        <v>21604.2853</v>
      </c>
      <c r="H29" s="422">
        <f t="shared" si="13"/>
        <v>27872.882</v>
      </c>
      <c r="I29" s="422">
        <f t="shared" si="13"/>
        <v>70780.445</v>
      </c>
      <c r="J29" s="428">
        <f t="shared" si="13"/>
        <v>2425.15767396</v>
      </c>
      <c r="K29" s="428">
        <f t="shared" si="13"/>
        <v>9990.89133796</v>
      </c>
      <c r="L29" s="428">
        <f t="shared" si="13"/>
        <v>11558.89516696</v>
      </c>
      <c r="M29" s="428">
        <f t="shared" si="13"/>
        <v>10796.38116696</v>
      </c>
      <c r="N29" s="428">
        <f t="shared" si="13"/>
        <v>762.514</v>
      </c>
      <c r="O29" s="428">
        <f t="shared" si="13"/>
        <v>-1568.003829</v>
      </c>
      <c r="P29" s="428">
        <f t="shared" si="13"/>
        <v>-7565.733664</v>
      </c>
      <c r="Q29" s="428">
        <f t="shared" si="13"/>
        <v>238192.35914996</v>
      </c>
      <c r="R29" s="428">
        <f t="shared" si="13"/>
        <v>174977.64781396</v>
      </c>
      <c r="S29" s="428">
        <f t="shared" si="13"/>
        <v>148672.76964296</v>
      </c>
      <c r="T29" s="428">
        <f t="shared" si="13"/>
        <v>126305.97034296</v>
      </c>
      <c r="U29" s="428">
        <f t="shared" si="13"/>
        <v>22366.7993</v>
      </c>
      <c r="V29" s="428">
        <f t="shared" si="13"/>
        <v>26304.878171</v>
      </c>
      <c r="W29" s="428">
        <f t="shared" si="13"/>
        <v>63214.711336</v>
      </c>
      <c r="X29" s="425"/>
      <c r="Y29" s="425"/>
    </row>
    <row r="30" ht="27" customHeight="1" spans="1:24">
      <c r="A30" s="420">
        <v>231</v>
      </c>
      <c r="B30" s="419" t="s">
        <v>153</v>
      </c>
      <c r="C30" s="416">
        <f>SUM(F30:I30)</f>
        <v>22231</v>
      </c>
      <c r="D30" s="417">
        <f>E30+H30</f>
        <v>0</v>
      </c>
      <c r="E30" s="417">
        <f>F30+G30</f>
        <v>0</v>
      </c>
      <c r="F30" s="417"/>
      <c r="G30" s="417"/>
      <c r="H30" s="417"/>
      <c r="I30" s="417">
        <v>22231</v>
      </c>
      <c r="J30" s="416">
        <f>SUM(M30:P30)</f>
        <v>22314.65</v>
      </c>
      <c r="K30" s="427"/>
      <c r="L30" s="427"/>
      <c r="M30" s="427"/>
      <c r="N30" s="427"/>
      <c r="O30" s="427"/>
      <c r="P30" s="427">
        <f>项目支出!J315+项目支出!J316</f>
        <v>22314.65</v>
      </c>
      <c r="Q30" s="416">
        <f>SUM(T30:W30)</f>
        <v>44545.65</v>
      </c>
      <c r="R30" s="427"/>
      <c r="S30" s="427"/>
      <c r="T30" s="427"/>
      <c r="U30" s="427"/>
      <c r="V30" s="427"/>
      <c r="W30" s="427">
        <f>I30+P30</f>
        <v>44545.65</v>
      </c>
      <c r="X30" s="425"/>
    </row>
    <row r="31" ht="27" customHeight="1" spans="1:24">
      <c r="A31" s="421"/>
      <c r="B31" s="423" t="s">
        <v>154</v>
      </c>
      <c r="C31" s="416">
        <f>SUM(F31:I31)</f>
        <v>8900</v>
      </c>
      <c r="D31" s="417">
        <f>E31+H31</f>
        <v>0</v>
      </c>
      <c r="E31" s="417">
        <f>F31+G31</f>
        <v>0</v>
      </c>
      <c r="F31" s="417"/>
      <c r="G31" s="417"/>
      <c r="H31" s="417"/>
      <c r="I31" s="417">
        <v>8900</v>
      </c>
      <c r="J31" s="416">
        <f>SUM(M31:P31)</f>
        <v>0</v>
      </c>
      <c r="K31" s="427"/>
      <c r="L31" s="427"/>
      <c r="M31" s="427"/>
      <c r="N31" s="427"/>
      <c r="O31" s="427"/>
      <c r="P31" s="427"/>
      <c r="Q31" s="416">
        <f>SUM(T31:W31)</f>
        <v>8900</v>
      </c>
      <c r="R31" s="427"/>
      <c r="S31" s="427"/>
      <c r="T31" s="427"/>
      <c r="U31" s="427"/>
      <c r="V31" s="427"/>
      <c r="W31" s="427">
        <f>I31+P31</f>
        <v>8900</v>
      </c>
      <c r="X31" s="425"/>
    </row>
    <row r="32" ht="27" customHeight="1" spans="1:24">
      <c r="A32" s="421"/>
      <c r="B32" s="424" t="s">
        <v>155</v>
      </c>
      <c r="C32" s="416">
        <f t="shared" ref="C32:W32" si="14">C29+C30+C31</f>
        <v>266898.201476</v>
      </c>
      <c r="D32" s="422">
        <f t="shared" si="14"/>
        <v>164986.756476</v>
      </c>
      <c r="E32" s="422">
        <f t="shared" si="14"/>
        <v>137113.874476</v>
      </c>
      <c r="F32" s="422">
        <f t="shared" si="14"/>
        <v>115509.589176</v>
      </c>
      <c r="G32" s="422">
        <f t="shared" si="14"/>
        <v>21604.2853</v>
      </c>
      <c r="H32" s="422">
        <f t="shared" si="14"/>
        <v>27872.882</v>
      </c>
      <c r="I32" s="422">
        <f t="shared" si="14"/>
        <v>101911.445</v>
      </c>
      <c r="J32" s="428">
        <f t="shared" si="14"/>
        <v>24739.80767396</v>
      </c>
      <c r="K32" s="428">
        <f t="shared" si="14"/>
        <v>9990.89133796</v>
      </c>
      <c r="L32" s="428">
        <f t="shared" si="14"/>
        <v>11558.89516696</v>
      </c>
      <c r="M32" s="428">
        <f t="shared" si="14"/>
        <v>10796.38116696</v>
      </c>
      <c r="N32" s="428">
        <f t="shared" si="14"/>
        <v>762.514</v>
      </c>
      <c r="O32" s="428">
        <f t="shared" si="14"/>
        <v>-1568.003829</v>
      </c>
      <c r="P32" s="428">
        <f t="shared" si="14"/>
        <v>14748.916336</v>
      </c>
      <c r="Q32" s="428">
        <f t="shared" si="14"/>
        <v>291638.00914996</v>
      </c>
      <c r="R32" s="428">
        <f t="shared" si="14"/>
        <v>174977.64781396</v>
      </c>
      <c r="S32" s="428">
        <f t="shared" si="14"/>
        <v>148672.76964296</v>
      </c>
      <c r="T32" s="428">
        <f t="shared" si="14"/>
        <v>126305.97034296</v>
      </c>
      <c r="U32" s="428">
        <f t="shared" si="14"/>
        <v>22366.7993</v>
      </c>
      <c r="V32" s="428">
        <f t="shared" si="14"/>
        <v>26304.878171</v>
      </c>
      <c r="W32" s="428">
        <f t="shared" si="14"/>
        <v>116660.361336</v>
      </c>
      <c r="X32" s="425"/>
    </row>
    <row r="33" ht="29" hidden="1" customHeight="1" spans="6:23">
      <c r="F33" s="425">
        <v>115509.589176</v>
      </c>
      <c r="G33" s="425">
        <v>21604.2853</v>
      </c>
      <c r="H33" s="425">
        <v>27872.882</v>
      </c>
      <c r="I33" s="425">
        <v>101911.445</v>
      </c>
      <c r="M33" s="429">
        <f>'工资福利（公务员、参公人员）'!Q6+'工资福利（公务员、参公人员）'!W6+'工资福利（事业）'!U6+'工资福利（事业）'!AA6+'社会保障性支出（五险二金）'!M6</f>
        <v>10796.38116696</v>
      </c>
      <c r="N33" s="429">
        <f>对个人和家庭补助!V6</f>
        <v>762.964</v>
      </c>
      <c r="O33" s="429">
        <f>商品和服务支出!V7</f>
        <v>562.326171</v>
      </c>
      <c r="P33" s="429">
        <f>项目支出!J318</f>
        <v>14748.916336</v>
      </c>
      <c r="T33" s="425">
        <f>F33+M33</f>
        <v>126305.97034296</v>
      </c>
      <c r="U33" s="425">
        <f>G33+N33</f>
        <v>22367.2493</v>
      </c>
      <c r="V33" s="425">
        <f>H33+O33</f>
        <v>28435.208171</v>
      </c>
      <c r="W33" s="425">
        <f>I33+P33</f>
        <v>116660.361336</v>
      </c>
    </row>
    <row r="34" customFormat="1" spans="3:9">
      <c r="C34" s="203"/>
      <c r="D34" s="203"/>
      <c r="E34" s="203"/>
      <c r="F34" s="203"/>
      <c r="G34" s="203"/>
      <c r="H34" s="203"/>
      <c r="I34" s="430"/>
    </row>
    <row r="36" spans="3:3">
      <c r="C36" s="206"/>
    </row>
    <row r="37" spans="2:3">
      <c r="B37" t="s">
        <v>156</v>
      </c>
      <c r="C37" s="206"/>
    </row>
    <row r="38" spans="2:2">
      <c r="B38" t="s">
        <v>157</v>
      </c>
    </row>
    <row r="39" spans="2:2">
      <c r="B39" t="s">
        <v>158</v>
      </c>
    </row>
    <row r="40" spans="2:2">
      <c r="B40" s="203" t="s">
        <v>159</v>
      </c>
    </row>
    <row r="41" spans="2:2">
      <c r="B41" s="203" t="s">
        <v>160</v>
      </c>
    </row>
    <row r="43" spans="7:7">
      <c r="G43" s="203">
        <f>4304+1951</f>
        <v>6255</v>
      </c>
    </row>
  </sheetData>
  <mergeCells count="24">
    <mergeCell ref="A2:W2"/>
    <mergeCell ref="C4:H4"/>
    <mergeCell ref="J4:P4"/>
    <mergeCell ref="Q4:W4"/>
    <mergeCell ref="D5:H5"/>
    <mergeCell ref="K5:O5"/>
    <mergeCell ref="R5:V5"/>
    <mergeCell ref="E6:G6"/>
    <mergeCell ref="L6:N6"/>
    <mergeCell ref="S6:U6"/>
    <mergeCell ref="A4:A7"/>
    <mergeCell ref="B4:B7"/>
    <mergeCell ref="C5:C7"/>
    <mergeCell ref="D6:D7"/>
    <mergeCell ref="H6:H7"/>
    <mergeCell ref="I4:I7"/>
    <mergeCell ref="J5:J7"/>
    <mergeCell ref="K6:K7"/>
    <mergeCell ref="O6:O7"/>
    <mergeCell ref="P5:P7"/>
    <mergeCell ref="Q5:Q7"/>
    <mergeCell ref="R6:R7"/>
    <mergeCell ref="V6:V7"/>
    <mergeCell ref="W5:W7"/>
  </mergeCells>
  <printOptions horizontalCentered="1"/>
  <pageMargins left="0.432638888888889" right="0.471527777777778" top="0.747916666666667" bottom="0.590277777777778" header="0.471527777777778" footer="0.507638888888889"/>
  <pageSetup paperSize="9" scale="77" firstPageNumber="14" fitToHeight="0" orientation="landscape" useFirstPageNumber="1" horizontalDpi="600"/>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2:AR424"/>
  <sheetViews>
    <sheetView workbookViewId="0">
      <pane xSplit="5" ySplit="11" topLeftCell="F189" activePane="bottomRight" state="frozen"/>
      <selection/>
      <selection pane="topRight"/>
      <selection pane="bottomLeft"/>
      <selection pane="bottomRight" activeCell="E432" sqref="E432"/>
    </sheetView>
  </sheetViews>
  <sheetFormatPr defaultColWidth="9" defaultRowHeight="13.5"/>
  <cols>
    <col min="1" max="2" width="8.225" style="312" customWidth="1"/>
    <col min="3" max="3" width="25.8666666666667" style="312" customWidth="1"/>
    <col min="4" max="4" width="9.5" style="312" customWidth="1"/>
    <col min="5" max="5" width="13.0916666666667" customWidth="1"/>
    <col min="6" max="7" width="11.9083333333333" customWidth="1"/>
    <col min="8" max="9" width="10.6833333333333" customWidth="1"/>
    <col min="10" max="11" width="9.44166666666667" customWidth="1"/>
    <col min="12" max="12" width="10.225" customWidth="1"/>
    <col min="13" max="13" width="10.3666666666667" customWidth="1"/>
    <col min="14" max="14" width="12.9083333333333" customWidth="1"/>
    <col min="15" max="15" width="9.68333333333333" customWidth="1"/>
    <col min="16" max="16" width="10.6833333333333" customWidth="1"/>
    <col min="17" max="18" width="10.3666666666667" customWidth="1"/>
    <col min="19" max="19" width="11.9083333333333" customWidth="1"/>
    <col min="20" max="20" width="9.44166666666667" customWidth="1"/>
    <col min="21" max="21" width="10.6833333333333" customWidth="1"/>
    <col min="22" max="24" width="9.44166666666667" customWidth="1"/>
    <col min="25" max="25" width="11.9083333333333" customWidth="1"/>
    <col min="26" max="26" width="10.6833333333333" customWidth="1"/>
    <col min="27" max="28" width="9.44166666666667" customWidth="1"/>
    <col min="29" max="29" width="10.6833333333333" customWidth="1"/>
    <col min="30" max="30" width="9.86666666666667" customWidth="1"/>
    <col min="31" max="31" width="10.6333333333333" customWidth="1"/>
    <col min="32" max="32" width="11.9083333333333" customWidth="1"/>
    <col min="33" max="35" width="9.36666666666667" customWidth="1"/>
    <col min="36" max="37" width="9" customWidth="1"/>
    <col min="38" max="39" width="9.36666666666667" customWidth="1"/>
    <col min="40" max="40" width="29.6333333333333" customWidth="1"/>
    <col min="41" max="41" width="12" style="205" customWidth="1"/>
    <col min="42" max="42" width="10.725" customWidth="1"/>
    <col min="43" max="43" width="11.6333333333333" customWidth="1"/>
  </cols>
  <sheetData>
    <row r="2" ht="27" spans="1:40">
      <c r="A2" s="353" t="s">
        <v>161</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row>
    <row r="3" spans="1:41">
      <c r="A3" s="214"/>
      <c r="B3" s="214"/>
      <c r="C3" s="214"/>
      <c r="D3" s="214"/>
      <c r="E3" s="214"/>
      <c r="F3" s="214"/>
      <c r="G3" s="214"/>
      <c r="H3" s="214"/>
      <c r="I3" s="214"/>
      <c r="J3" s="214"/>
      <c r="K3" s="214"/>
      <c r="L3" s="214"/>
      <c r="M3" s="214"/>
      <c r="N3" s="403"/>
      <c r="O3" s="403"/>
      <c r="P3" s="403"/>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405"/>
    </row>
    <row r="4" s="352" customFormat="1" spans="1:41">
      <c r="A4" s="354"/>
      <c r="B4" s="354"/>
      <c r="C4" s="354"/>
      <c r="D4" s="354"/>
      <c r="E4" s="73"/>
      <c r="F4" s="73"/>
      <c r="G4" s="73"/>
      <c r="H4" s="73"/>
      <c r="I4" s="73"/>
      <c r="J4" s="380"/>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t="s">
        <v>2</v>
      </c>
      <c r="AO4" s="205"/>
    </row>
    <row r="5" spans="1:40">
      <c r="A5" s="94" t="s">
        <v>162</v>
      </c>
      <c r="B5" s="288" t="s">
        <v>163</v>
      </c>
      <c r="C5" s="94" t="s">
        <v>164</v>
      </c>
      <c r="D5" s="94" t="s">
        <v>165</v>
      </c>
      <c r="E5" s="318" t="s">
        <v>166</v>
      </c>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t="s">
        <v>167</v>
      </c>
    </row>
    <row r="6" spans="1:40">
      <c r="A6" s="94"/>
      <c r="B6" s="275"/>
      <c r="C6" s="94"/>
      <c r="D6" s="94"/>
      <c r="E6" s="94" t="s">
        <v>168</v>
      </c>
      <c r="F6" s="318" t="s">
        <v>169</v>
      </c>
      <c r="G6" s="318"/>
      <c r="H6" s="318"/>
      <c r="I6" s="318"/>
      <c r="J6" s="318"/>
      <c r="K6" s="318"/>
      <c r="L6" s="318"/>
      <c r="M6" s="318"/>
      <c r="N6" s="318"/>
      <c r="O6" s="318"/>
      <c r="P6" s="318"/>
      <c r="Q6" s="318" t="s">
        <v>170</v>
      </c>
      <c r="R6" s="318"/>
      <c r="S6" s="318"/>
      <c r="T6" s="318"/>
      <c r="U6" s="318"/>
      <c r="V6" s="318"/>
      <c r="W6" s="318"/>
      <c r="X6" s="318"/>
      <c r="Y6" s="318"/>
      <c r="Z6" s="318"/>
      <c r="AA6" s="318"/>
      <c r="AB6" s="318"/>
      <c r="AC6" s="318"/>
      <c r="AD6" s="318"/>
      <c r="AE6" s="318"/>
      <c r="AF6" s="94" t="s">
        <v>171</v>
      </c>
      <c r="AG6" s="94"/>
      <c r="AH6" s="94"/>
      <c r="AI6" s="94"/>
      <c r="AJ6" s="94"/>
      <c r="AK6" s="94"/>
      <c r="AL6" s="94"/>
      <c r="AM6" s="94"/>
      <c r="AN6" s="318"/>
    </row>
    <row r="7" s="210" customFormat="1" spans="1:41">
      <c r="A7" s="94"/>
      <c r="B7" s="275"/>
      <c r="C7" s="94"/>
      <c r="D7" s="94"/>
      <c r="E7" s="318"/>
      <c r="F7" s="94" t="s">
        <v>124</v>
      </c>
      <c r="G7" s="94" t="s">
        <v>172</v>
      </c>
      <c r="H7" s="94"/>
      <c r="I7" s="94"/>
      <c r="J7" s="94"/>
      <c r="K7" s="94"/>
      <c r="L7" s="94"/>
      <c r="M7" s="94" t="s">
        <v>173</v>
      </c>
      <c r="N7" s="94"/>
      <c r="O7" s="94"/>
      <c r="P7" s="94"/>
      <c r="Q7" s="94" t="s">
        <v>124</v>
      </c>
      <c r="R7" s="94" t="s">
        <v>172</v>
      </c>
      <c r="S7" s="94"/>
      <c r="T7" s="94"/>
      <c r="U7" s="94"/>
      <c r="V7" s="94"/>
      <c r="W7" s="94"/>
      <c r="X7" s="94"/>
      <c r="Y7" s="318" t="s">
        <v>173</v>
      </c>
      <c r="Z7" s="318"/>
      <c r="AA7" s="318"/>
      <c r="AB7" s="318"/>
      <c r="AC7" s="318"/>
      <c r="AD7" s="318"/>
      <c r="AE7" s="318"/>
      <c r="AF7" s="94" t="s">
        <v>124</v>
      </c>
      <c r="AG7" s="94" t="s">
        <v>174</v>
      </c>
      <c r="AH7" s="94" t="s">
        <v>175</v>
      </c>
      <c r="AI7" s="94" t="s">
        <v>176</v>
      </c>
      <c r="AJ7" s="94" t="s">
        <v>177</v>
      </c>
      <c r="AK7" s="94" t="s">
        <v>178</v>
      </c>
      <c r="AL7" s="94" t="s">
        <v>179</v>
      </c>
      <c r="AM7" s="94" t="s">
        <v>180</v>
      </c>
      <c r="AN7" s="318"/>
      <c r="AO7" s="205"/>
    </row>
    <row r="8" s="210" customFormat="1" ht="36" spans="1:42">
      <c r="A8" s="94"/>
      <c r="B8" s="274"/>
      <c r="C8" s="94"/>
      <c r="D8" s="94"/>
      <c r="E8" s="318"/>
      <c r="F8" s="94"/>
      <c r="G8" s="115" t="s">
        <v>129</v>
      </c>
      <c r="H8" s="115" t="s">
        <v>181</v>
      </c>
      <c r="I8" s="115" t="s">
        <v>182</v>
      </c>
      <c r="J8" s="94" t="s">
        <v>183</v>
      </c>
      <c r="K8" s="94" t="s">
        <v>184</v>
      </c>
      <c r="L8" s="115" t="s">
        <v>185</v>
      </c>
      <c r="M8" s="115" t="s">
        <v>129</v>
      </c>
      <c r="N8" s="115" t="s">
        <v>186</v>
      </c>
      <c r="O8" s="115" t="s">
        <v>187</v>
      </c>
      <c r="P8" s="115" t="s">
        <v>188</v>
      </c>
      <c r="Q8" s="94"/>
      <c r="R8" s="115" t="s">
        <v>129</v>
      </c>
      <c r="S8" s="115" t="s">
        <v>181</v>
      </c>
      <c r="T8" s="115" t="s">
        <v>182</v>
      </c>
      <c r="U8" s="115" t="s">
        <v>189</v>
      </c>
      <c r="V8" s="115" t="s">
        <v>184</v>
      </c>
      <c r="W8" s="115" t="s">
        <v>190</v>
      </c>
      <c r="X8" s="115" t="s">
        <v>185</v>
      </c>
      <c r="Y8" s="336" t="s">
        <v>129</v>
      </c>
      <c r="Z8" s="94" t="s">
        <v>191</v>
      </c>
      <c r="AA8" s="115" t="s">
        <v>192</v>
      </c>
      <c r="AB8" s="115" t="s">
        <v>186</v>
      </c>
      <c r="AC8" s="115" t="s">
        <v>193</v>
      </c>
      <c r="AD8" s="115" t="s">
        <v>187</v>
      </c>
      <c r="AE8" s="115" t="s">
        <v>188</v>
      </c>
      <c r="AF8" s="94"/>
      <c r="AG8" s="94"/>
      <c r="AH8" s="94"/>
      <c r="AI8" s="94"/>
      <c r="AJ8" s="94"/>
      <c r="AK8" s="94"/>
      <c r="AL8" s="94"/>
      <c r="AM8" s="94"/>
      <c r="AN8" s="318"/>
      <c r="AO8" s="406" t="s">
        <v>188</v>
      </c>
      <c r="AP8" s="367" t="s">
        <v>194</v>
      </c>
    </row>
    <row r="9" s="311" customFormat="1" ht="21" customHeight="1" spans="1:43">
      <c r="A9" s="319"/>
      <c r="B9" s="356"/>
      <c r="C9" s="357" t="s">
        <v>124</v>
      </c>
      <c r="D9" s="357"/>
      <c r="E9" s="401">
        <f t="shared" ref="E9:P9" si="0">E10+E189+E199+E260+E263+E278+E300+E330+E346+E390+E399+E402+E414</f>
        <v>115509.589176</v>
      </c>
      <c r="F9" s="401">
        <f t="shared" si="0"/>
        <v>23565.369248</v>
      </c>
      <c r="G9" s="401">
        <f t="shared" si="0"/>
        <v>12309.7709</v>
      </c>
      <c r="H9" s="401">
        <f t="shared" si="0"/>
        <v>6280.7</v>
      </c>
      <c r="I9" s="401">
        <f t="shared" si="0"/>
        <v>5242.75</v>
      </c>
      <c r="J9" s="401">
        <f t="shared" si="0"/>
        <v>557.1309</v>
      </c>
      <c r="K9" s="401">
        <f t="shared" si="0"/>
        <v>136.8</v>
      </c>
      <c r="L9" s="401">
        <f t="shared" si="0"/>
        <v>92.39</v>
      </c>
      <c r="M9" s="401">
        <f t="shared" si="0"/>
        <v>11255.598348</v>
      </c>
      <c r="N9" s="401">
        <f t="shared" si="0"/>
        <v>2530.238348</v>
      </c>
      <c r="O9" s="401">
        <f t="shared" si="0"/>
        <v>819.36</v>
      </c>
      <c r="P9" s="401">
        <f t="shared" si="0"/>
        <v>7906</v>
      </c>
      <c r="Q9" s="401">
        <f t="shared" ref="Q9:AE9" si="1">Q10+Q189+Q199+Q260+Q263+Q278+Q300+Q330+Q346+Q390+Q399+Q402+Q414</f>
        <v>66691.109428</v>
      </c>
      <c r="R9" s="401">
        <f t="shared" si="1"/>
        <v>38271.744</v>
      </c>
      <c r="S9" s="401">
        <f t="shared" si="1"/>
        <v>27005.79</v>
      </c>
      <c r="T9" s="401">
        <f t="shared" si="1"/>
        <v>519.12</v>
      </c>
      <c r="U9" s="401">
        <f t="shared" si="1"/>
        <v>9127.674</v>
      </c>
      <c r="V9" s="401">
        <f t="shared" si="1"/>
        <v>873.88</v>
      </c>
      <c r="W9" s="401">
        <f t="shared" si="1"/>
        <v>680.47</v>
      </c>
      <c r="X9" s="401">
        <f t="shared" si="1"/>
        <v>64.81</v>
      </c>
      <c r="Y9" s="401">
        <f t="shared" si="1"/>
        <v>28419.365428</v>
      </c>
      <c r="Z9" s="401">
        <f t="shared" si="1"/>
        <v>5499.53</v>
      </c>
      <c r="AA9" s="401">
        <f t="shared" si="1"/>
        <v>465.178</v>
      </c>
      <c r="AB9" s="401">
        <f t="shared" si="1"/>
        <v>701.959428</v>
      </c>
      <c r="AC9" s="401">
        <f t="shared" si="1"/>
        <v>3816</v>
      </c>
      <c r="AD9" s="401">
        <f t="shared" si="1"/>
        <v>2024.258</v>
      </c>
      <c r="AE9" s="401">
        <f t="shared" si="1"/>
        <v>15912.44</v>
      </c>
      <c r="AF9" s="401">
        <f t="shared" ref="AF9:AM9" si="2">AF10+AF189+AF199+AF260+AF263+AF278+AF300+AF330+AF346+AF390+AF399+AF402+AF414</f>
        <v>25253.1105</v>
      </c>
      <c r="AG9" s="401">
        <f t="shared" si="2"/>
        <v>8681.2069</v>
      </c>
      <c r="AH9" s="401">
        <f t="shared" si="2"/>
        <v>4286.23</v>
      </c>
      <c r="AI9" s="401">
        <f t="shared" si="2"/>
        <v>3208.2476</v>
      </c>
      <c r="AJ9" s="401">
        <f t="shared" si="2"/>
        <v>171.62</v>
      </c>
      <c r="AK9" s="401">
        <f t="shared" si="2"/>
        <v>323.12</v>
      </c>
      <c r="AL9" s="401">
        <f t="shared" si="2"/>
        <v>6429.1252</v>
      </c>
      <c r="AM9" s="401">
        <f t="shared" si="2"/>
        <v>2153.5608</v>
      </c>
      <c r="AN9" s="345"/>
      <c r="AO9" s="407">
        <f t="shared" ref="AO9:AO72" si="3">P9+AE9</f>
        <v>23818.44</v>
      </c>
      <c r="AP9" s="368">
        <f>SUM(AP11:AP424)</f>
        <v>4973.0784</v>
      </c>
      <c r="AQ9" s="408">
        <f>E9-AO9+AP9</f>
        <v>96664.227576</v>
      </c>
    </row>
    <row r="10" s="311" customFormat="1" ht="21" customHeight="1" spans="1:41">
      <c r="A10" s="319"/>
      <c r="B10" s="319"/>
      <c r="C10" s="323" t="s">
        <v>132</v>
      </c>
      <c r="D10" s="360">
        <v>201</v>
      </c>
      <c r="E10" s="401">
        <f t="shared" ref="E10:P10" si="4">SUM(E11:E188)</f>
        <v>24934.537548</v>
      </c>
      <c r="F10" s="401">
        <f t="shared" si="4"/>
        <v>11306.915348</v>
      </c>
      <c r="G10" s="401">
        <f t="shared" si="4"/>
        <v>6182.157</v>
      </c>
      <c r="H10" s="401">
        <f t="shared" si="4"/>
        <v>3362.19</v>
      </c>
      <c r="I10" s="401">
        <f t="shared" si="4"/>
        <v>2400.18</v>
      </c>
      <c r="J10" s="401">
        <f t="shared" si="4"/>
        <v>280.897</v>
      </c>
      <c r="K10" s="401">
        <f t="shared" si="4"/>
        <v>124.56</v>
      </c>
      <c r="L10" s="401">
        <f t="shared" si="4"/>
        <v>14.33</v>
      </c>
      <c r="M10" s="401">
        <f t="shared" si="4"/>
        <v>5124.758348</v>
      </c>
      <c r="N10" s="401">
        <f t="shared" si="4"/>
        <v>665.668348</v>
      </c>
      <c r="O10" s="401">
        <f t="shared" si="4"/>
        <v>22.09</v>
      </c>
      <c r="P10" s="401">
        <f t="shared" si="4"/>
        <v>4437</v>
      </c>
      <c r="Q10" s="401">
        <f t="shared" ref="Q10:AE10" si="5">SUM(Q11:Q188)</f>
        <v>8797.5522</v>
      </c>
      <c r="R10" s="401">
        <f t="shared" si="5"/>
        <v>4751</v>
      </c>
      <c r="S10" s="401">
        <f t="shared" si="5"/>
        <v>3237.37</v>
      </c>
      <c r="T10" s="401">
        <f t="shared" si="5"/>
        <v>78.34</v>
      </c>
      <c r="U10" s="401">
        <f t="shared" si="5"/>
        <v>1245.62</v>
      </c>
      <c r="V10" s="401">
        <f t="shared" si="5"/>
        <v>172.92</v>
      </c>
      <c r="W10" s="401">
        <f t="shared" si="5"/>
        <v>0</v>
      </c>
      <c r="X10" s="401">
        <f t="shared" si="5"/>
        <v>16.75</v>
      </c>
      <c r="Y10" s="401">
        <f t="shared" si="5"/>
        <v>4046.5522</v>
      </c>
      <c r="Z10" s="401">
        <f t="shared" si="5"/>
        <v>786.01</v>
      </c>
      <c r="AA10" s="401">
        <f t="shared" si="5"/>
        <v>229</v>
      </c>
      <c r="AB10" s="401">
        <f t="shared" si="5"/>
        <v>452.5422</v>
      </c>
      <c r="AC10" s="401">
        <f t="shared" si="5"/>
        <v>0</v>
      </c>
      <c r="AD10" s="401">
        <f t="shared" si="5"/>
        <v>0</v>
      </c>
      <c r="AE10" s="401">
        <f t="shared" si="5"/>
        <v>2579</v>
      </c>
      <c r="AF10" s="401">
        <f t="shared" ref="AF10:AM10" si="6">SUM(AF11:AF188)</f>
        <v>4830.07</v>
      </c>
      <c r="AG10" s="401">
        <f t="shared" si="6"/>
        <v>1835.88</v>
      </c>
      <c r="AH10" s="401">
        <f t="shared" si="6"/>
        <v>894.43</v>
      </c>
      <c r="AI10" s="401">
        <f t="shared" si="6"/>
        <v>664.38</v>
      </c>
      <c r="AJ10" s="401">
        <f t="shared" si="6"/>
        <v>22.44</v>
      </c>
      <c r="AK10" s="401">
        <f t="shared" si="6"/>
        <v>67.51</v>
      </c>
      <c r="AL10" s="401">
        <f t="shared" si="6"/>
        <v>1341.44</v>
      </c>
      <c r="AM10" s="401">
        <f t="shared" si="6"/>
        <v>3.99</v>
      </c>
      <c r="AN10" s="345"/>
      <c r="AO10" s="407">
        <f t="shared" si="3"/>
        <v>7016</v>
      </c>
    </row>
    <row r="11" ht="24" hidden="1" spans="1:42">
      <c r="A11" s="284" t="s">
        <v>195</v>
      </c>
      <c r="B11" s="284" t="s">
        <v>196</v>
      </c>
      <c r="C11" s="284" t="s">
        <v>197</v>
      </c>
      <c r="D11" s="284" t="s">
        <v>198</v>
      </c>
      <c r="E11" s="402">
        <f t="shared" ref="E11:E74" si="7">F11+Q11+AF11</f>
        <v>387.82</v>
      </c>
      <c r="F11" s="402">
        <f t="shared" ref="F11:F74" si="8">G11+M11</f>
        <v>318.35</v>
      </c>
      <c r="G11" s="402">
        <f t="shared" ref="G11:G74" si="9">SUM(H11:L11)</f>
        <v>167.35</v>
      </c>
      <c r="H11" s="402">
        <v>97.22</v>
      </c>
      <c r="I11" s="402">
        <v>62.03</v>
      </c>
      <c r="J11" s="402">
        <v>8.1</v>
      </c>
      <c r="K11" s="402"/>
      <c r="L11" s="402"/>
      <c r="M11" s="402">
        <f t="shared" ref="M11:M74" si="10">SUM(N11:P11)</f>
        <v>151</v>
      </c>
      <c r="N11" s="402"/>
      <c r="O11" s="402"/>
      <c r="P11" s="404">
        <v>151</v>
      </c>
      <c r="Q11" s="402">
        <f t="shared" ref="Q11:Q74" si="11">R11+Y11</f>
        <v>0</v>
      </c>
      <c r="R11" s="402">
        <f t="shared" ref="R11:R74" si="12">SUM(S11:X11)</f>
        <v>0</v>
      </c>
      <c r="S11" s="402"/>
      <c r="T11" s="402"/>
      <c r="U11" s="402"/>
      <c r="V11" s="402"/>
      <c r="W11" s="402"/>
      <c r="X11" s="402"/>
      <c r="Y11" s="402">
        <f t="shared" ref="Y11:Y74" si="13">SUM(Z11:AE11)</f>
        <v>0</v>
      </c>
      <c r="Z11" s="402"/>
      <c r="AA11" s="402"/>
      <c r="AB11" s="402"/>
      <c r="AC11" s="402"/>
      <c r="AD11" s="402"/>
      <c r="AE11" s="402"/>
      <c r="AF11" s="402">
        <f t="shared" ref="AF11:AF74" si="14">SUM(AG11:AM11)</f>
        <v>69.47</v>
      </c>
      <c r="AG11" s="402">
        <v>26.78</v>
      </c>
      <c r="AH11" s="402">
        <v>12.74</v>
      </c>
      <c r="AI11" s="402">
        <v>9.56</v>
      </c>
      <c r="AJ11" s="402">
        <v>0.32</v>
      </c>
      <c r="AK11" s="402">
        <v>0.96</v>
      </c>
      <c r="AL11" s="402">
        <v>19.11</v>
      </c>
      <c r="AM11" s="402"/>
      <c r="AN11" s="350"/>
      <c r="AO11" s="205">
        <f t="shared" si="3"/>
        <v>151</v>
      </c>
      <c r="AP11">
        <v>26.152</v>
      </c>
    </row>
    <row r="12" ht="24" hidden="1" spans="1:42">
      <c r="A12" s="284" t="s">
        <v>195</v>
      </c>
      <c r="B12" s="284" t="s">
        <v>199</v>
      </c>
      <c r="C12" s="284" t="s">
        <v>200</v>
      </c>
      <c r="D12" s="284" t="s">
        <v>201</v>
      </c>
      <c r="E12" s="402">
        <f t="shared" si="7"/>
        <v>72.02</v>
      </c>
      <c r="F12" s="402">
        <f t="shared" si="8"/>
        <v>0</v>
      </c>
      <c r="G12" s="402">
        <f t="shared" si="9"/>
        <v>0</v>
      </c>
      <c r="H12" s="402"/>
      <c r="I12" s="402"/>
      <c r="J12" s="402"/>
      <c r="K12" s="402"/>
      <c r="L12" s="402"/>
      <c r="M12" s="402">
        <f t="shared" si="10"/>
        <v>0</v>
      </c>
      <c r="N12" s="402"/>
      <c r="O12" s="402"/>
      <c r="P12" s="402"/>
      <c r="Q12" s="402">
        <f t="shared" si="11"/>
        <v>62.38</v>
      </c>
      <c r="R12" s="402">
        <f t="shared" si="12"/>
        <v>19.04</v>
      </c>
      <c r="S12" s="402">
        <v>13.24</v>
      </c>
      <c r="T12" s="402"/>
      <c r="U12" s="402">
        <v>5.8</v>
      </c>
      <c r="V12" s="402"/>
      <c r="W12" s="402"/>
      <c r="X12" s="402"/>
      <c r="Y12" s="402">
        <f t="shared" si="13"/>
        <v>43.34</v>
      </c>
      <c r="Z12" s="402">
        <v>3.48</v>
      </c>
      <c r="AA12" s="402"/>
      <c r="AB12" s="402">
        <v>14.86</v>
      </c>
      <c r="AC12" s="402"/>
      <c r="AD12" s="402"/>
      <c r="AE12" s="402">
        <v>25</v>
      </c>
      <c r="AF12" s="402">
        <f t="shared" si="14"/>
        <v>9.64</v>
      </c>
      <c r="AG12" s="402">
        <v>3.6</v>
      </c>
      <c r="AH12" s="402">
        <v>1.8</v>
      </c>
      <c r="AI12" s="402">
        <v>1.35</v>
      </c>
      <c r="AJ12" s="402">
        <v>0.05</v>
      </c>
      <c r="AK12" s="402">
        <v>0.14</v>
      </c>
      <c r="AL12" s="402">
        <v>2.7</v>
      </c>
      <c r="AM12" s="402"/>
      <c r="AN12" s="350"/>
      <c r="AO12" s="205">
        <f t="shared" si="3"/>
        <v>25</v>
      </c>
      <c r="AP12">
        <v>2</v>
      </c>
    </row>
    <row r="13" ht="24" hidden="1" spans="1:42">
      <c r="A13" s="284" t="s">
        <v>195</v>
      </c>
      <c r="B13" s="284" t="s">
        <v>196</v>
      </c>
      <c r="C13" s="284" t="s">
        <v>202</v>
      </c>
      <c r="D13" s="284" t="s">
        <v>203</v>
      </c>
      <c r="E13" s="402">
        <f t="shared" si="7"/>
        <v>427.36</v>
      </c>
      <c r="F13" s="402">
        <f t="shared" si="8"/>
        <v>354.72</v>
      </c>
      <c r="G13" s="402">
        <f t="shared" si="9"/>
        <v>175.86</v>
      </c>
      <c r="H13" s="402">
        <v>102.26</v>
      </c>
      <c r="I13" s="402">
        <v>64.29</v>
      </c>
      <c r="J13" s="402">
        <v>8.52</v>
      </c>
      <c r="K13" s="402"/>
      <c r="L13" s="402">
        <v>0.79</v>
      </c>
      <c r="M13" s="402">
        <f t="shared" si="10"/>
        <v>178.86</v>
      </c>
      <c r="N13" s="402">
        <v>14.86</v>
      </c>
      <c r="O13" s="402"/>
      <c r="P13" s="404">
        <v>164</v>
      </c>
      <c r="Q13" s="402">
        <f t="shared" si="11"/>
        <v>0</v>
      </c>
      <c r="R13" s="402">
        <f t="shared" si="12"/>
        <v>0</v>
      </c>
      <c r="S13" s="402"/>
      <c r="T13" s="402"/>
      <c r="U13" s="402"/>
      <c r="V13" s="402"/>
      <c r="W13" s="402"/>
      <c r="X13" s="402"/>
      <c r="Y13" s="402">
        <f t="shared" si="13"/>
        <v>0</v>
      </c>
      <c r="Z13" s="402"/>
      <c r="AA13" s="402"/>
      <c r="AB13" s="402"/>
      <c r="AC13" s="402"/>
      <c r="AD13" s="402"/>
      <c r="AE13" s="402"/>
      <c r="AF13" s="402">
        <f t="shared" si="14"/>
        <v>72.64</v>
      </c>
      <c r="AG13" s="402">
        <v>28.01</v>
      </c>
      <c r="AH13" s="402">
        <v>13.32</v>
      </c>
      <c r="AI13" s="402">
        <v>9.99</v>
      </c>
      <c r="AJ13" s="402">
        <v>0.33</v>
      </c>
      <c r="AK13" s="402">
        <v>1</v>
      </c>
      <c r="AL13" s="402">
        <v>19.99</v>
      </c>
      <c r="AM13" s="402"/>
      <c r="AN13" s="350"/>
      <c r="AO13" s="205">
        <f t="shared" si="3"/>
        <v>164</v>
      </c>
      <c r="AP13">
        <v>20.0022</v>
      </c>
    </row>
    <row r="14" ht="24" hidden="1" spans="1:42">
      <c r="A14" s="284" t="s">
        <v>195</v>
      </c>
      <c r="B14" s="284" t="s">
        <v>199</v>
      </c>
      <c r="C14" s="284" t="s">
        <v>204</v>
      </c>
      <c r="D14" s="284" t="s">
        <v>205</v>
      </c>
      <c r="E14" s="402">
        <f t="shared" si="7"/>
        <v>44.72</v>
      </c>
      <c r="F14" s="402">
        <f t="shared" si="8"/>
        <v>0</v>
      </c>
      <c r="G14" s="402">
        <f t="shared" si="9"/>
        <v>0</v>
      </c>
      <c r="H14" s="402"/>
      <c r="I14" s="402"/>
      <c r="J14" s="402"/>
      <c r="K14" s="402"/>
      <c r="L14" s="402"/>
      <c r="M14" s="402">
        <f t="shared" si="10"/>
        <v>0</v>
      </c>
      <c r="N14" s="402"/>
      <c r="O14" s="402"/>
      <c r="P14" s="402"/>
      <c r="Q14" s="402">
        <f t="shared" si="11"/>
        <v>37.01</v>
      </c>
      <c r="R14" s="402">
        <f t="shared" si="12"/>
        <v>15.37</v>
      </c>
      <c r="S14" s="402">
        <v>10.96</v>
      </c>
      <c r="T14" s="402"/>
      <c r="U14" s="402">
        <v>4.41</v>
      </c>
      <c r="V14" s="402"/>
      <c r="W14" s="402"/>
      <c r="X14" s="402"/>
      <c r="Y14" s="402">
        <f t="shared" si="13"/>
        <v>21.64</v>
      </c>
      <c r="Z14" s="402">
        <v>2.64</v>
      </c>
      <c r="AA14" s="402"/>
      <c r="AB14" s="402"/>
      <c r="AC14" s="402"/>
      <c r="AD14" s="402"/>
      <c r="AE14" s="404">
        <v>19</v>
      </c>
      <c r="AF14" s="402">
        <f t="shared" si="14"/>
        <v>7.71</v>
      </c>
      <c r="AG14" s="402">
        <v>2.88</v>
      </c>
      <c r="AH14" s="402">
        <v>1.44</v>
      </c>
      <c r="AI14" s="402">
        <v>1.08</v>
      </c>
      <c r="AJ14" s="402">
        <v>0.04</v>
      </c>
      <c r="AK14" s="402">
        <v>0.11</v>
      </c>
      <c r="AL14" s="402">
        <v>2.16</v>
      </c>
      <c r="AM14" s="402"/>
      <c r="AN14" s="350"/>
      <c r="AO14" s="205">
        <f t="shared" si="3"/>
        <v>19</v>
      </c>
      <c r="AP14">
        <v>1.5</v>
      </c>
    </row>
    <row r="15" ht="24" hidden="1" spans="1:42">
      <c r="A15" s="284" t="s">
        <v>195</v>
      </c>
      <c r="B15" s="284" t="s">
        <v>196</v>
      </c>
      <c r="C15" s="284" t="s">
        <v>206</v>
      </c>
      <c r="D15" s="284" t="s">
        <v>207</v>
      </c>
      <c r="E15" s="402">
        <f t="shared" si="7"/>
        <v>583.85</v>
      </c>
      <c r="F15" s="402">
        <f t="shared" si="8"/>
        <v>504.93</v>
      </c>
      <c r="G15" s="402">
        <f t="shared" si="9"/>
        <v>189.93</v>
      </c>
      <c r="H15" s="402">
        <v>106.25</v>
      </c>
      <c r="I15" s="402">
        <v>74.83</v>
      </c>
      <c r="J15" s="402">
        <v>8.85</v>
      </c>
      <c r="K15" s="402"/>
      <c r="L15" s="402"/>
      <c r="M15" s="402">
        <f t="shared" si="10"/>
        <v>315</v>
      </c>
      <c r="N15" s="402"/>
      <c r="O15" s="402"/>
      <c r="P15" s="404">
        <v>315</v>
      </c>
      <c r="Q15" s="402">
        <f t="shared" si="11"/>
        <v>0</v>
      </c>
      <c r="R15" s="402">
        <f t="shared" si="12"/>
        <v>0</v>
      </c>
      <c r="S15" s="402"/>
      <c r="T15" s="402"/>
      <c r="U15" s="402"/>
      <c r="V15" s="402"/>
      <c r="W15" s="402"/>
      <c r="X15" s="402"/>
      <c r="Y15" s="402">
        <f t="shared" si="13"/>
        <v>0</v>
      </c>
      <c r="Z15" s="402"/>
      <c r="AA15" s="402"/>
      <c r="AB15" s="402"/>
      <c r="AC15" s="402"/>
      <c r="AD15" s="402"/>
      <c r="AE15" s="402"/>
      <c r="AF15" s="402">
        <f t="shared" si="14"/>
        <v>78.92</v>
      </c>
      <c r="AG15" s="402">
        <v>30.39</v>
      </c>
      <c r="AH15" s="402">
        <v>14.49</v>
      </c>
      <c r="AI15" s="402">
        <v>10.86</v>
      </c>
      <c r="AJ15" s="402">
        <v>0.36</v>
      </c>
      <c r="AK15" s="402">
        <v>1.09</v>
      </c>
      <c r="AL15" s="402">
        <v>21.73</v>
      </c>
      <c r="AM15" s="402"/>
      <c r="AN15" s="350"/>
      <c r="AO15" s="205">
        <f t="shared" si="3"/>
        <v>315</v>
      </c>
      <c r="AP15">
        <v>45.9913</v>
      </c>
    </row>
    <row r="16" ht="24" hidden="1" spans="1:42">
      <c r="A16" s="284" t="s">
        <v>208</v>
      </c>
      <c r="B16" s="284" t="s">
        <v>196</v>
      </c>
      <c r="C16" s="284" t="s">
        <v>209</v>
      </c>
      <c r="D16" s="284" t="s">
        <v>207</v>
      </c>
      <c r="E16" s="402">
        <f t="shared" si="7"/>
        <v>85.197</v>
      </c>
      <c r="F16" s="402">
        <f t="shared" si="8"/>
        <v>75.647</v>
      </c>
      <c r="G16" s="402">
        <f t="shared" si="9"/>
        <v>22.977</v>
      </c>
      <c r="H16" s="402">
        <v>12.56</v>
      </c>
      <c r="I16" s="402">
        <v>9.37</v>
      </c>
      <c r="J16" s="402">
        <v>1.047</v>
      </c>
      <c r="K16" s="402"/>
      <c r="L16" s="402"/>
      <c r="M16" s="402">
        <f t="shared" si="10"/>
        <v>52.67</v>
      </c>
      <c r="N16" s="402">
        <v>34.67</v>
      </c>
      <c r="O16" s="402"/>
      <c r="P16" s="404">
        <v>18</v>
      </c>
      <c r="Q16" s="402">
        <f t="shared" si="11"/>
        <v>0</v>
      </c>
      <c r="R16" s="402">
        <f t="shared" si="12"/>
        <v>0</v>
      </c>
      <c r="S16" s="402"/>
      <c r="T16" s="402"/>
      <c r="U16" s="402"/>
      <c r="V16" s="402"/>
      <c r="W16" s="402"/>
      <c r="X16" s="402"/>
      <c r="Y16" s="402">
        <f t="shared" si="13"/>
        <v>0</v>
      </c>
      <c r="Z16" s="402"/>
      <c r="AA16" s="402"/>
      <c r="AB16" s="402"/>
      <c r="AC16" s="402"/>
      <c r="AD16" s="402"/>
      <c r="AE16" s="402"/>
      <c r="AF16" s="402">
        <f t="shared" si="14"/>
        <v>9.55</v>
      </c>
      <c r="AG16" s="402">
        <v>3.68</v>
      </c>
      <c r="AH16" s="402">
        <v>1.75</v>
      </c>
      <c r="AI16" s="402">
        <v>1.32</v>
      </c>
      <c r="AJ16" s="402">
        <v>0.04</v>
      </c>
      <c r="AK16" s="402">
        <v>0.13</v>
      </c>
      <c r="AL16" s="402">
        <v>2.63</v>
      </c>
      <c r="AM16" s="402"/>
      <c r="AN16" s="350"/>
      <c r="AO16" s="205">
        <f t="shared" si="3"/>
        <v>18</v>
      </c>
      <c r="AP16">
        <v>2.6136</v>
      </c>
    </row>
    <row r="17" ht="24" hidden="1" spans="1:42">
      <c r="A17" s="284" t="s">
        <v>195</v>
      </c>
      <c r="B17" s="284" t="s">
        <v>196</v>
      </c>
      <c r="C17" s="284" t="s">
        <v>210</v>
      </c>
      <c r="D17" s="284" t="s">
        <v>211</v>
      </c>
      <c r="E17" s="402">
        <f t="shared" si="7"/>
        <v>130.79</v>
      </c>
      <c r="F17" s="402">
        <f t="shared" si="8"/>
        <v>113.12</v>
      </c>
      <c r="G17" s="402">
        <f t="shared" si="9"/>
        <v>44.21</v>
      </c>
      <c r="H17" s="402">
        <v>23.41</v>
      </c>
      <c r="I17" s="402">
        <v>17.16</v>
      </c>
      <c r="J17" s="402">
        <v>1.95</v>
      </c>
      <c r="K17" s="402"/>
      <c r="L17" s="402">
        <v>1.69</v>
      </c>
      <c r="M17" s="402">
        <f t="shared" si="10"/>
        <v>68.91</v>
      </c>
      <c r="N17" s="402">
        <v>9.91</v>
      </c>
      <c r="O17" s="402"/>
      <c r="P17" s="404">
        <v>59</v>
      </c>
      <c r="Q17" s="402">
        <f t="shared" si="11"/>
        <v>0</v>
      </c>
      <c r="R17" s="402">
        <f t="shared" si="12"/>
        <v>0</v>
      </c>
      <c r="S17" s="402"/>
      <c r="T17" s="402"/>
      <c r="U17" s="402"/>
      <c r="V17" s="402"/>
      <c r="W17" s="402"/>
      <c r="X17" s="402"/>
      <c r="Y17" s="402">
        <f t="shared" si="13"/>
        <v>0</v>
      </c>
      <c r="Z17" s="402"/>
      <c r="AA17" s="402"/>
      <c r="AB17" s="402"/>
      <c r="AC17" s="402"/>
      <c r="AD17" s="402"/>
      <c r="AE17" s="402"/>
      <c r="AF17" s="402">
        <f t="shared" si="14"/>
        <v>17.67</v>
      </c>
      <c r="AG17" s="402">
        <v>6.8</v>
      </c>
      <c r="AH17" s="402">
        <v>3.25</v>
      </c>
      <c r="AI17" s="402">
        <v>2.43</v>
      </c>
      <c r="AJ17" s="402">
        <v>0.08</v>
      </c>
      <c r="AK17" s="402">
        <v>0.24</v>
      </c>
      <c r="AL17" s="402">
        <v>4.87</v>
      </c>
      <c r="AM17" s="402"/>
      <c r="AN17" s="350"/>
      <c r="AO17" s="205">
        <f t="shared" si="3"/>
        <v>59</v>
      </c>
      <c r="AP17">
        <v>7.543</v>
      </c>
    </row>
    <row r="18" ht="24" hidden="1" spans="1:41">
      <c r="A18" s="284" t="s">
        <v>195</v>
      </c>
      <c r="B18" s="284" t="s">
        <v>199</v>
      </c>
      <c r="C18" s="284" t="s">
        <v>212</v>
      </c>
      <c r="D18" s="284" t="s">
        <v>213</v>
      </c>
      <c r="E18" s="402">
        <f t="shared" si="7"/>
        <v>31.58</v>
      </c>
      <c r="F18" s="402">
        <f t="shared" si="8"/>
        <v>0</v>
      </c>
      <c r="G18" s="402">
        <f t="shared" si="9"/>
        <v>0</v>
      </c>
      <c r="H18" s="402"/>
      <c r="I18" s="402"/>
      <c r="J18" s="402"/>
      <c r="K18" s="402"/>
      <c r="L18" s="402"/>
      <c r="M18" s="402">
        <f t="shared" si="10"/>
        <v>0</v>
      </c>
      <c r="N18" s="402"/>
      <c r="O18" s="402"/>
      <c r="P18" s="402"/>
      <c r="Q18" s="402">
        <f t="shared" si="11"/>
        <v>22.12</v>
      </c>
      <c r="R18" s="402">
        <f t="shared" si="12"/>
        <v>18.72</v>
      </c>
      <c r="S18" s="402">
        <v>13.05</v>
      </c>
      <c r="T18" s="402"/>
      <c r="U18" s="402">
        <v>5.67</v>
      </c>
      <c r="V18" s="402"/>
      <c r="W18" s="402"/>
      <c r="X18" s="402"/>
      <c r="Y18" s="402">
        <f t="shared" si="13"/>
        <v>3.4</v>
      </c>
      <c r="Z18" s="402">
        <v>3.4</v>
      </c>
      <c r="AA18" s="402"/>
      <c r="AB18" s="402"/>
      <c r="AC18" s="402"/>
      <c r="AD18" s="402"/>
      <c r="AE18" s="402"/>
      <c r="AF18" s="402">
        <f t="shared" si="14"/>
        <v>9.46</v>
      </c>
      <c r="AG18" s="402">
        <v>3.54</v>
      </c>
      <c r="AH18" s="402">
        <v>1.77</v>
      </c>
      <c r="AI18" s="402">
        <v>1.33</v>
      </c>
      <c r="AJ18" s="402">
        <v>0.04</v>
      </c>
      <c r="AK18" s="402">
        <v>0.13</v>
      </c>
      <c r="AL18" s="402">
        <v>2.65</v>
      </c>
      <c r="AM18" s="402"/>
      <c r="AN18" s="350"/>
      <c r="AO18" s="205">
        <f t="shared" si="3"/>
        <v>0</v>
      </c>
    </row>
    <row r="19" ht="24" hidden="1" spans="1:41">
      <c r="A19" s="284" t="s">
        <v>195</v>
      </c>
      <c r="B19" s="284" t="s">
        <v>199</v>
      </c>
      <c r="C19" s="284" t="s">
        <v>214</v>
      </c>
      <c r="D19" s="284" t="s">
        <v>213</v>
      </c>
      <c r="E19" s="402">
        <f t="shared" si="7"/>
        <v>431.48</v>
      </c>
      <c r="F19" s="402">
        <f t="shared" si="8"/>
        <v>0</v>
      </c>
      <c r="G19" s="402">
        <f t="shared" si="9"/>
        <v>0</v>
      </c>
      <c r="H19" s="402"/>
      <c r="I19" s="402"/>
      <c r="J19" s="402"/>
      <c r="K19" s="402"/>
      <c r="L19" s="402"/>
      <c r="M19" s="402">
        <f t="shared" si="10"/>
        <v>0</v>
      </c>
      <c r="N19" s="402"/>
      <c r="O19" s="402"/>
      <c r="P19" s="402"/>
      <c r="Q19" s="402">
        <f t="shared" si="11"/>
        <v>425.17</v>
      </c>
      <c r="R19" s="402">
        <f t="shared" si="12"/>
        <v>12.39</v>
      </c>
      <c r="S19" s="402">
        <v>8.49</v>
      </c>
      <c r="T19" s="402"/>
      <c r="U19" s="402">
        <v>3.9</v>
      </c>
      <c r="V19" s="402"/>
      <c r="W19" s="402"/>
      <c r="X19" s="402"/>
      <c r="Y19" s="402">
        <f t="shared" si="13"/>
        <v>412.78</v>
      </c>
      <c r="Z19" s="402">
        <v>2.34</v>
      </c>
      <c r="AA19" s="402"/>
      <c r="AB19" s="402">
        <v>410.44</v>
      </c>
      <c r="AC19" s="402"/>
      <c r="AD19" s="402"/>
      <c r="AE19" s="404"/>
      <c r="AF19" s="402">
        <f t="shared" si="14"/>
        <v>6.31</v>
      </c>
      <c r="AG19" s="402">
        <v>2.36</v>
      </c>
      <c r="AH19" s="402">
        <v>1.18</v>
      </c>
      <c r="AI19" s="402">
        <v>0.88</v>
      </c>
      <c r="AJ19" s="402">
        <v>0.03</v>
      </c>
      <c r="AK19" s="402">
        <v>0.09</v>
      </c>
      <c r="AL19" s="402">
        <v>1.77</v>
      </c>
      <c r="AM19" s="402"/>
      <c r="AN19" s="350"/>
      <c r="AO19" s="205">
        <f t="shared" si="3"/>
        <v>0</v>
      </c>
    </row>
    <row r="20" ht="24" hidden="1" spans="1:41">
      <c r="A20" s="284" t="s">
        <v>195</v>
      </c>
      <c r="B20" s="284" t="s">
        <v>199</v>
      </c>
      <c r="C20" s="284" t="s">
        <v>215</v>
      </c>
      <c r="D20" s="284" t="s">
        <v>213</v>
      </c>
      <c r="E20" s="402">
        <f t="shared" si="7"/>
        <v>17.59</v>
      </c>
      <c r="F20" s="402">
        <f t="shared" si="8"/>
        <v>0</v>
      </c>
      <c r="G20" s="402">
        <f t="shared" si="9"/>
        <v>0</v>
      </c>
      <c r="H20" s="402"/>
      <c r="I20" s="402"/>
      <c r="J20" s="402"/>
      <c r="K20" s="402"/>
      <c r="L20" s="402"/>
      <c r="M20" s="402">
        <f t="shared" si="10"/>
        <v>0</v>
      </c>
      <c r="N20" s="402"/>
      <c r="O20" s="402"/>
      <c r="P20" s="402"/>
      <c r="Q20" s="402">
        <f t="shared" si="11"/>
        <v>12.32</v>
      </c>
      <c r="R20" s="402">
        <f t="shared" si="12"/>
        <v>10.6</v>
      </c>
      <c r="S20" s="402">
        <v>7.73</v>
      </c>
      <c r="T20" s="402"/>
      <c r="U20" s="402">
        <v>2.87</v>
      </c>
      <c r="V20" s="402"/>
      <c r="W20" s="402"/>
      <c r="X20" s="402"/>
      <c r="Y20" s="402">
        <f t="shared" si="13"/>
        <v>1.72</v>
      </c>
      <c r="Z20" s="402">
        <v>1.72</v>
      </c>
      <c r="AA20" s="402"/>
      <c r="AB20" s="402"/>
      <c r="AC20" s="402"/>
      <c r="AD20" s="402"/>
      <c r="AE20" s="402"/>
      <c r="AF20" s="402">
        <f t="shared" si="14"/>
        <v>5.27</v>
      </c>
      <c r="AG20" s="402">
        <v>1.97</v>
      </c>
      <c r="AH20" s="402">
        <v>0.99</v>
      </c>
      <c r="AI20" s="402">
        <v>0.74</v>
      </c>
      <c r="AJ20" s="402">
        <v>0.02</v>
      </c>
      <c r="AK20" s="402">
        <v>0.07</v>
      </c>
      <c r="AL20" s="402">
        <v>1.48</v>
      </c>
      <c r="AM20" s="402"/>
      <c r="AN20" s="350"/>
      <c r="AO20" s="205">
        <f t="shared" si="3"/>
        <v>0</v>
      </c>
    </row>
    <row r="21" ht="24" hidden="1" spans="1:41">
      <c r="A21" s="284" t="s">
        <v>195</v>
      </c>
      <c r="B21" s="284" t="s">
        <v>199</v>
      </c>
      <c r="C21" s="284" t="s">
        <v>216</v>
      </c>
      <c r="D21" s="284" t="s">
        <v>213</v>
      </c>
      <c r="E21" s="402">
        <f t="shared" si="7"/>
        <v>30.32</v>
      </c>
      <c r="F21" s="402">
        <f t="shared" si="8"/>
        <v>0</v>
      </c>
      <c r="G21" s="402">
        <f t="shared" si="9"/>
        <v>0</v>
      </c>
      <c r="H21" s="402"/>
      <c r="I21" s="402"/>
      <c r="J21" s="402"/>
      <c r="K21" s="402"/>
      <c r="L21" s="402"/>
      <c r="M21" s="402">
        <f t="shared" si="10"/>
        <v>0</v>
      </c>
      <c r="N21" s="402"/>
      <c r="O21" s="402"/>
      <c r="P21" s="402"/>
      <c r="Q21" s="402">
        <f t="shared" si="11"/>
        <v>21.23</v>
      </c>
      <c r="R21" s="402">
        <f t="shared" si="12"/>
        <v>17.72</v>
      </c>
      <c r="S21" s="402">
        <v>11.86</v>
      </c>
      <c r="T21" s="402"/>
      <c r="U21" s="402">
        <v>5.86</v>
      </c>
      <c r="V21" s="402"/>
      <c r="W21" s="402"/>
      <c r="X21" s="402"/>
      <c r="Y21" s="402">
        <f t="shared" si="13"/>
        <v>3.51</v>
      </c>
      <c r="Z21" s="402">
        <v>3.51</v>
      </c>
      <c r="AA21" s="402"/>
      <c r="AB21" s="402"/>
      <c r="AC21" s="402"/>
      <c r="AD21" s="402"/>
      <c r="AE21" s="402"/>
      <c r="AF21" s="402">
        <f t="shared" si="14"/>
        <v>9.09</v>
      </c>
      <c r="AG21" s="402">
        <v>3.4</v>
      </c>
      <c r="AH21" s="402">
        <v>1.7</v>
      </c>
      <c r="AI21" s="402">
        <v>1.27</v>
      </c>
      <c r="AJ21" s="402">
        <v>0.04</v>
      </c>
      <c r="AK21" s="402">
        <v>0.13</v>
      </c>
      <c r="AL21" s="402">
        <v>2.55</v>
      </c>
      <c r="AM21" s="402"/>
      <c r="AN21" s="350"/>
      <c r="AO21" s="205">
        <f t="shared" si="3"/>
        <v>0</v>
      </c>
    </row>
    <row r="22" ht="24" hidden="1" spans="1:41">
      <c r="A22" s="284" t="s">
        <v>195</v>
      </c>
      <c r="B22" s="284" t="s">
        <v>199</v>
      </c>
      <c r="C22" s="284" t="s">
        <v>217</v>
      </c>
      <c r="D22" s="284" t="s">
        <v>213</v>
      </c>
      <c r="E22" s="402">
        <f t="shared" si="7"/>
        <v>65.34</v>
      </c>
      <c r="F22" s="402">
        <f t="shared" si="8"/>
        <v>0</v>
      </c>
      <c r="G22" s="402">
        <f t="shared" si="9"/>
        <v>0</v>
      </c>
      <c r="H22" s="402"/>
      <c r="I22" s="402"/>
      <c r="J22" s="402"/>
      <c r="K22" s="402"/>
      <c r="L22" s="402"/>
      <c r="M22" s="402">
        <f t="shared" si="10"/>
        <v>0</v>
      </c>
      <c r="N22" s="402"/>
      <c r="O22" s="402"/>
      <c r="P22" s="402"/>
      <c r="Q22" s="402">
        <f t="shared" si="11"/>
        <v>45.76</v>
      </c>
      <c r="R22" s="402">
        <f t="shared" si="12"/>
        <v>38.84</v>
      </c>
      <c r="S22" s="402">
        <v>27.31</v>
      </c>
      <c r="T22" s="402"/>
      <c r="U22" s="402">
        <v>11.53</v>
      </c>
      <c r="V22" s="402"/>
      <c r="W22" s="402"/>
      <c r="X22" s="402"/>
      <c r="Y22" s="402">
        <f t="shared" si="13"/>
        <v>6.92</v>
      </c>
      <c r="Z22" s="402">
        <v>6.92</v>
      </c>
      <c r="AA22" s="402"/>
      <c r="AB22" s="402"/>
      <c r="AC22" s="402"/>
      <c r="AD22" s="402"/>
      <c r="AE22" s="402"/>
      <c r="AF22" s="402">
        <f t="shared" si="14"/>
        <v>19.58</v>
      </c>
      <c r="AG22" s="402">
        <v>7.32</v>
      </c>
      <c r="AH22" s="402">
        <v>3.66</v>
      </c>
      <c r="AI22" s="402">
        <v>2.75</v>
      </c>
      <c r="AJ22" s="402">
        <v>0.09</v>
      </c>
      <c r="AK22" s="402">
        <v>0.27</v>
      </c>
      <c r="AL22" s="402">
        <v>5.49</v>
      </c>
      <c r="AM22" s="402"/>
      <c r="AN22" s="350"/>
      <c r="AO22" s="205">
        <f t="shared" si="3"/>
        <v>0</v>
      </c>
    </row>
    <row r="23" ht="24" hidden="1" spans="1:41">
      <c r="A23" s="284" t="s">
        <v>195</v>
      </c>
      <c r="B23" s="284" t="s">
        <v>199</v>
      </c>
      <c r="C23" s="284" t="s">
        <v>218</v>
      </c>
      <c r="D23" s="284" t="s">
        <v>213</v>
      </c>
      <c r="E23" s="402">
        <f t="shared" si="7"/>
        <v>104.24</v>
      </c>
      <c r="F23" s="402">
        <f t="shared" si="8"/>
        <v>0</v>
      </c>
      <c r="G23" s="402">
        <f t="shared" si="9"/>
        <v>0</v>
      </c>
      <c r="H23" s="402"/>
      <c r="I23" s="402"/>
      <c r="J23" s="402"/>
      <c r="K23" s="402"/>
      <c r="L23" s="402"/>
      <c r="M23" s="402">
        <f t="shared" si="10"/>
        <v>0</v>
      </c>
      <c r="N23" s="402"/>
      <c r="O23" s="402"/>
      <c r="P23" s="402"/>
      <c r="Q23" s="402">
        <f t="shared" si="11"/>
        <v>72.99</v>
      </c>
      <c r="R23" s="402">
        <f t="shared" si="12"/>
        <v>61.41</v>
      </c>
      <c r="S23" s="402">
        <v>42.11</v>
      </c>
      <c r="T23" s="402"/>
      <c r="U23" s="402">
        <v>19.3</v>
      </c>
      <c r="V23" s="402"/>
      <c r="W23" s="402"/>
      <c r="X23" s="402"/>
      <c r="Y23" s="402">
        <f t="shared" si="13"/>
        <v>11.58</v>
      </c>
      <c r="Z23" s="402">
        <v>11.58</v>
      </c>
      <c r="AA23" s="402"/>
      <c r="AB23" s="402"/>
      <c r="AC23" s="402"/>
      <c r="AD23" s="402"/>
      <c r="AE23" s="402"/>
      <c r="AF23" s="402">
        <f t="shared" si="14"/>
        <v>31.25</v>
      </c>
      <c r="AG23" s="402">
        <v>11.68</v>
      </c>
      <c r="AH23" s="402">
        <v>5.84</v>
      </c>
      <c r="AI23" s="402">
        <v>4.38</v>
      </c>
      <c r="AJ23" s="402">
        <v>0.15</v>
      </c>
      <c r="AK23" s="402">
        <v>0.44</v>
      </c>
      <c r="AL23" s="402">
        <v>8.76</v>
      </c>
      <c r="AM23" s="402"/>
      <c r="AN23" s="350"/>
      <c r="AO23" s="205">
        <f t="shared" si="3"/>
        <v>0</v>
      </c>
    </row>
    <row r="24" ht="24" hidden="1" spans="1:42">
      <c r="A24" s="284" t="s">
        <v>208</v>
      </c>
      <c r="B24" s="284" t="s">
        <v>199</v>
      </c>
      <c r="C24" s="284" t="s">
        <v>219</v>
      </c>
      <c r="D24" s="284" t="s">
        <v>213</v>
      </c>
      <c r="E24" s="402">
        <f t="shared" si="7"/>
        <v>99.98</v>
      </c>
      <c r="F24" s="402">
        <f t="shared" si="8"/>
        <v>0</v>
      </c>
      <c r="G24" s="402">
        <f t="shared" si="9"/>
        <v>0</v>
      </c>
      <c r="H24" s="402"/>
      <c r="I24" s="402"/>
      <c r="J24" s="402"/>
      <c r="K24" s="402"/>
      <c r="L24" s="402"/>
      <c r="M24" s="402">
        <f t="shared" si="10"/>
        <v>0</v>
      </c>
      <c r="N24" s="402"/>
      <c r="O24" s="402"/>
      <c r="P24" s="402"/>
      <c r="Q24" s="402">
        <f t="shared" si="11"/>
        <v>82.07</v>
      </c>
      <c r="R24" s="402">
        <f t="shared" si="12"/>
        <v>35</v>
      </c>
      <c r="S24" s="402">
        <v>24.89</v>
      </c>
      <c r="T24" s="402"/>
      <c r="U24" s="402">
        <v>10.11</v>
      </c>
      <c r="V24" s="402"/>
      <c r="W24" s="402"/>
      <c r="X24" s="402"/>
      <c r="Y24" s="402">
        <f t="shared" si="13"/>
        <v>47.07</v>
      </c>
      <c r="Z24" s="404">
        <v>6.07</v>
      </c>
      <c r="AA24" s="402"/>
      <c r="AB24" s="402"/>
      <c r="AC24" s="402"/>
      <c r="AD24" s="402"/>
      <c r="AE24" s="402">
        <v>41</v>
      </c>
      <c r="AF24" s="402">
        <f t="shared" si="14"/>
        <v>17.91</v>
      </c>
      <c r="AG24" s="402">
        <v>6.7</v>
      </c>
      <c r="AH24" s="402">
        <v>3.35</v>
      </c>
      <c r="AI24" s="402">
        <v>2.51</v>
      </c>
      <c r="AJ24" s="402">
        <v>0.08</v>
      </c>
      <c r="AK24" s="402">
        <v>0.25</v>
      </c>
      <c r="AL24" s="402">
        <v>5.02</v>
      </c>
      <c r="AM24" s="402"/>
      <c r="AN24" s="350"/>
      <c r="AO24" s="205">
        <f t="shared" si="3"/>
        <v>41</v>
      </c>
      <c r="AP24">
        <v>3.5</v>
      </c>
    </row>
    <row r="25" ht="24" hidden="1" spans="1:42">
      <c r="A25" s="284" t="s">
        <v>208</v>
      </c>
      <c r="B25" s="284" t="s">
        <v>199</v>
      </c>
      <c r="C25" s="284" t="s">
        <v>220</v>
      </c>
      <c r="D25" s="284" t="s">
        <v>213</v>
      </c>
      <c r="E25" s="402">
        <f t="shared" si="7"/>
        <v>40.28</v>
      </c>
      <c r="F25" s="402">
        <f t="shared" si="8"/>
        <v>0</v>
      </c>
      <c r="G25" s="402">
        <f t="shared" si="9"/>
        <v>0</v>
      </c>
      <c r="H25" s="402"/>
      <c r="I25" s="402"/>
      <c r="J25" s="402"/>
      <c r="K25" s="402"/>
      <c r="L25" s="402"/>
      <c r="M25" s="402">
        <f t="shared" si="10"/>
        <v>0</v>
      </c>
      <c r="N25" s="402"/>
      <c r="O25" s="402"/>
      <c r="P25" s="402"/>
      <c r="Q25" s="402">
        <f t="shared" si="11"/>
        <v>33.6</v>
      </c>
      <c r="R25" s="402">
        <f t="shared" si="12"/>
        <v>13.15</v>
      </c>
      <c r="S25" s="402">
        <v>9.06</v>
      </c>
      <c r="T25" s="402"/>
      <c r="U25" s="402">
        <v>4.09</v>
      </c>
      <c r="V25" s="402"/>
      <c r="W25" s="402"/>
      <c r="X25" s="402"/>
      <c r="Y25" s="402">
        <f t="shared" si="13"/>
        <v>20.45</v>
      </c>
      <c r="Z25" s="402">
        <v>2.45</v>
      </c>
      <c r="AA25" s="402"/>
      <c r="AB25" s="402"/>
      <c r="AC25" s="402"/>
      <c r="AD25" s="402"/>
      <c r="AE25" s="402">
        <v>18</v>
      </c>
      <c r="AF25" s="402">
        <f t="shared" si="14"/>
        <v>6.68</v>
      </c>
      <c r="AG25" s="402">
        <v>2.5</v>
      </c>
      <c r="AH25" s="402">
        <v>1.25</v>
      </c>
      <c r="AI25" s="402">
        <v>0.94</v>
      </c>
      <c r="AJ25" s="402">
        <v>0.03</v>
      </c>
      <c r="AK25" s="402">
        <v>0.09</v>
      </c>
      <c r="AL25" s="402">
        <v>1.87</v>
      </c>
      <c r="AM25" s="402"/>
      <c r="AN25" s="350"/>
      <c r="AO25" s="205">
        <f t="shared" si="3"/>
        <v>18</v>
      </c>
      <c r="AP25">
        <v>1.5</v>
      </c>
    </row>
    <row r="26" ht="24" hidden="1" spans="1:42">
      <c r="A26" s="284" t="s">
        <v>221</v>
      </c>
      <c r="B26" s="284" t="s">
        <v>196</v>
      </c>
      <c r="C26" s="284" t="s">
        <v>222</v>
      </c>
      <c r="D26" s="284" t="s">
        <v>207</v>
      </c>
      <c r="E26" s="402">
        <f t="shared" si="7"/>
        <v>505.04</v>
      </c>
      <c r="F26" s="402">
        <f t="shared" si="8"/>
        <v>394.72</v>
      </c>
      <c r="G26" s="402">
        <f t="shared" si="9"/>
        <v>188.79</v>
      </c>
      <c r="H26" s="402">
        <v>105.31</v>
      </c>
      <c r="I26" s="402">
        <v>74.44</v>
      </c>
      <c r="J26" s="402">
        <v>8.78</v>
      </c>
      <c r="K26" s="402"/>
      <c r="L26" s="402">
        <v>0.26</v>
      </c>
      <c r="M26" s="402">
        <f t="shared" si="10"/>
        <v>205.93</v>
      </c>
      <c r="N26" s="402">
        <v>156.93</v>
      </c>
      <c r="O26" s="402"/>
      <c r="P26" s="402">
        <v>49</v>
      </c>
      <c r="Q26" s="402">
        <f t="shared" si="11"/>
        <v>0</v>
      </c>
      <c r="R26" s="402">
        <f t="shared" si="12"/>
        <v>0</v>
      </c>
      <c r="S26" s="402"/>
      <c r="T26" s="402"/>
      <c r="U26" s="402"/>
      <c r="V26" s="402"/>
      <c r="W26" s="402"/>
      <c r="X26" s="402"/>
      <c r="Y26" s="402">
        <f t="shared" si="13"/>
        <v>0</v>
      </c>
      <c r="Z26" s="402"/>
      <c r="AA26" s="402"/>
      <c r="AB26" s="402"/>
      <c r="AC26" s="402"/>
      <c r="AD26" s="402"/>
      <c r="AE26" s="402"/>
      <c r="AF26" s="402">
        <f t="shared" si="14"/>
        <v>110.32</v>
      </c>
      <c r="AG26" s="402">
        <v>42.12</v>
      </c>
      <c r="AH26" s="402">
        <v>20.36</v>
      </c>
      <c r="AI26" s="402">
        <v>15.27</v>
      </c>
      <c r="AJ26" s="402">
        <v>0.51</v>
      </c>
      <c r="AK26" s="402">
        <v>1.53</v>
      </c>
      <c r="AL26" s="402">
        <v>30.53</v>
      </c>
      <c r="AM26" s="402"/>
      <c r="AN26" s="350"/>
      <c r="AO26" s="205">
        <f t="shared" si="3"/>
        <v>49</v>
      </c>
      <c r="AP26">
        <v>24.5742</v>
      </c>
    </row>
    <row r="27" ht="24" hidden="1" spans="1:42">
      <c r="A27" s="284" t="s">
        <v>221</v>
      </c>
      <c r="B27" s="284" t="s">
        <v>199</v>
      </c>
      <c r="C27" s="284" t="s">
        <v>223</v>
      </c>
      <c r="D27" s="284" t="s">
        <v>213</v>
      </c>
      <c r="E27" s="402">
        <f t="shared" si="7"/>
        <v>81.54</v>
      </c>
      <c r="F27" s="402">
        <f t="shared" si="8"/>
        <v>0</v>
      </c>
      <c r="G27" s="402">
        <f t="shared" si="9"/>
        <v>0</v>
      </c>
      <c r="H27" s="402"/>
      <c r="I27" s="402"/>
      <c r="J27" s="402"/>
      <c r="K27" s="402"/>
      <c r="L27" s="402"/>
      <c r="M27" s="402">
        <f t="shared" si="10"/>
        <v>0</v>
      </c>
      <c r="N27" s="402"/>
      <c r="O27" s="402"/>
      <c r="P27" s="402"/>
      <c r="Q27" s="402">
        <f t="shared" si="11"/>
        <v>61.3</v>
      </c>
      <c r="R27" s="402">
        <f t="shared" si="12"/>
        <v>40.82</v>
      </c>
      <c r="S27" s="402">
        <v>30.02</v>
      </c>
      <c r="T27" s="402"/>
      <c r="U27" s="402">
        <v>10.8</v>
      </c>
      <c r="V27" s="402"/>
      <c r="W27" s="402"/>
      <c r="X27" s="402"/>
      <c r="Y27" s="402">
        <f t="shared" si="13"/>
        <v>20.48</v>
      </c>
      <c r="Z27" s="402">
        <v>6.48</v>
      </c>
      <c r="AA27" s="402"/>
      <c r="AB27" s="402"/>
      <c r="AC27" s="402"/>
      <c r="AD27" s="402"/>
      <c r="AE27" s="402">
        <v>14</v>
      </c>
      <c r="AF27" s="402">
        <f t="shared" si="14"/>
        <v>20.24</v>
      </c>
      <c r="AG27" s="402">
        <v>7.57</v>
      </c>
      <c r="AH27" s="402">
        <v>3.78</v>
      </c>
      <c r="AI27" s="402">
        <v>2.84</v>
      </c>
      <c r="AJ27" s="402">
        <v>0.09</v>
      </c>
      <c r="AK27" s="402">
        <v>0.28</v>
      </c>
      <c r="AL27" s="402">
        <v>5.68</v>
      </c>
      <c r="AM27" s="402"/>
      <c r="AN27" s="350"/>
      <c r="AO27" s="205">
        <f t="shared" si="3"/>
        <v>14</v>
      </c>
      <c r="AP27">
        <v>4.35</v>
      </c>
    </row>
    <row r="28" ht="24" hidden="1" spans="1:42">
      <c r="A28" s="284" t="s">
        <v>221</v>
      </c>
      <c r="B28" s="284" t="s">
        <v>199</v>
      </c>
      <c r="C28" s="284" t="s">
        <v>224</v>
      </c>
      <c r="D28" s="284" t="s">
        <v>213</v>
      </c>
      <c r="E28" s="402">
        <f t="shared" si="7"/>
        <v>102.4</v>
      </c>
      <c r="F28" s="402">
        <f t="shared" si="8"/>
        <v>0</v>
      </c>
      <c r="G28" s="402">
        <f t="shared" si="9"/>
        <v>0</v>
      </c>
      <c r="H28" s="402"/>
      <c r="I28" s="402"/>
      <c r="J28" s="402"/>
      <c r="K28" s="402"/>
      <c r="L28" s="402"/>
      <c r="M28" s="402">
        <f t="shared" si="10"/>
        <v>0</v>
      </c>
      <c r="N28" s="402"/>
      <c r="O28" s="402"/>
      <c r="P28" s="402"/>
      <c r="Q28" s="402">
        <f t="shared" si="11"/>
        <v>77.26</v>
      </c>
      <c r="R28" s="402">
        <f t="shared" si="12"/>
        <v>51.27</v>
      </c>
      <c r="S28" s="402">
        <v>37.43</v>
      </c>
      <c r="T28" s="402"/>
      <c r="U28" s="402">
        <v>13.31</v>
      </c>
      <c r="V28" s="402"/>
      <c r="W28" s="402"/>
      <c r="X28" s="402">
        <v>0.53</v>
      </c>
      <c r="Y28" s="402">
        <f t="shared" si="13"/>
        <v>25.99</v>
      </c>
      <c r="Z28" s="402">
        <v>7.99</v>
      </c>
      <c r="AA28" s="402"/>
      <c r="AB28" s="402"/>
      <c r="AC28" s="402"/>
      <c r="AD28" s="402"/>
      <c r="AE28" s="402">
        <v>18</v>
      </c>
      <c r="AF28" s="402">
        <f t="shared" si="14"/>
        <v>25.14</v>
      </c>
      <c r="AG28" s="402">
        <v>9.4</v>
      </c>
      <c r="AH28" s="402">
        <v>4.7</v>
      </c>
      <c r="AI28" s="402">
        <v>3.52</v>
      </c>
      <c r="AJ28" s="402">
        <v>0.12</v>
      </c>
      <c r="AK28" s="402">
        <v>0.35</v>
      </c>
      <c r="AL28" s="402">
        <v>7.05</v>
      </c>
      <c r="AM28" s="402"/>
      <c r="AN28" s="350"/>
      <c r="AO28" s="205">
        <f t="shared" si="3"/>
        <v>18</v>
      </c>
      <c r="AP28">
        <v>5</v>
      </c>
    </row>
    <row r="29" ht="24" hidden="1" spans="1:42">
      <c r="A29" s="284" t="s">
        <v>221</v>
      </c>
      <c r="B29" s="284" t="s">
        <v>199</v>
      </c>
      <c r="C29" s="284" t="s">
        <v>225</v>
      </c>
      <c r="D29" s="284" t="s">
        <v>213</v>
      </c>
      <c r="E29" s="402">
        <f t="shared" si="7"/>
        <v>224.71</v>
      </c>
      <c r="F29" s="402">
        <f t="shared" si="8"/>
        <v>0</v>
      </c>
      <c r="G29" s="402">
        <f t="shared" si="9"/>
        <v>0</v>
      </c>
      <c r="H29" s="402"/>
      <c r="I29" s="402"/>
      <c r="J29" s="402"/>
      <c r="K29" s="402"/>
      <c r="L29" s="402"/>
      <c r="M29" s="402">
        <f t="shared" si="10"/>
        <v>0</v>
      </c>
      <c r="N29" s="402"/>
      <c r="O29" s="402"/>
      <c r="P29" s="402"/>
      <c r="Q29" s="402">
        <f t="shared" si="11"/>
        <v>167.68</v>
      </c>
      <c r="R29" s="402">
        <f t="shared" si="12"/>
        <v>115.88</v>
      </c>
      <c r="S29" s="402">
        <v>85.32</v>
      </c>
      <c r="T29" s="402">
        <v>0.45</v>
      </c>
      <c r="U29" s="402">
        <v>29.66</v>
      </c>
      <c r="V29" s="402"/>
      <c r="W29" s="402"/>
      <c r="X29" s="402">
        <v>0.45</v>
      </c>
      <c r="Y29" s="402">
        <f t="shared" si="13"/>
        <v>51.8</v>
      </c>
      <c r="Z29" s="402">
        <v>17.8</v>
      </c>
      <c r="AA29" s="402"/>
      <c r="AB29" s="402"/>
      <c r="AC29" s="402"/>
      <c r="AD29" s="402"/>
      <c r="AE29" s="404">
        <v>34</v>
      </c>
      <c r="AF29" s="402">
        <f t="shared" si="14"/>
        <v>57.03</v>
      </c>
      <c r="AG29" s="402">
        <v>21.32</v>
      </c>
      <c r="AH29" s="402">
        <v>10.66</v>
      </c>
      <c r="AI29" s="402">
        <v>7.99</v>
      </c>
      <c r="AJ29" s="402">
        <v>0.27</v>
      </c>
      <c r="AK29" s="402">
        <v>0.8</v>
      </c>
      <c r="AL29" s="402">
        <v>15.99</v>
      </c>
      <c r="AM29" s="402"/>
      <c r="AN29" s="350"/>
      <c r="AO29" s="205">
        <f t="shared" si="3"/>
        <v>34</v>
      </c>
      <c r="AP29">
        <v>9.7917</v>
      </c>
    </row>
    <row r="30" ht="24" hidden="1" spans="1:42">
      <c r="A30" s="284" t="s">
        <v>221</v>
      </c>
      <c r="B30" s="284" t="s">
        <v>196</v>
      </c>
      <c r="C30" s="284" t="s">
        <v>226</v>
      </c>
      <c r="D30" s="284" t="s">
        <v>207</v>
      </c>
      <c r="E30" s="402">
        <f t="shared" si="7"/>
        <v>453.74</v>
      </c>
      <c r="F30" s="402">
        <f t="shared" si="8"/>
        <v>358.09</v>
      </c>
      <c r="G30" s="402">
        <f t="shared" si="9"/>
        <v>238.15</v>
      </c>
      <c r="H30" s="402">
        <v>128.89</v>
      </c>
      <c r="I30" s="402">
        <v>90.55</v>
      </c>
      <c r="J30" s="402">
        <v>10.74</v>
      </c>
      <c r="K30" s="402">
        <v>7.44</v>
      </c>
      <c r="L30" s="402">
        <v>0.53</v>
      </c>
      <c r="M30" s="402">
        <f t="shared" si="10"/>
        <v>119.94</v>
      </c>
      <c r="N30" s="402">
        <v>63.94</v>
      </c>
      <c r="O30" s="402"/>
      <c r="P30" s="404">
        <v>56</v>
      </c>
      <c r="Q30" s="402">
        <f t="shared" si="11"/>
        <v>0</v>
      </c>
      <c r="R30" s="402">
        <f t="shared" si="12"/>
        <v>0</v>
      </c>
      <c r="S30" s="402"/>
      <c r="T30" s="402"/>
      <c r="U30" s="402"/>
      <c r="V30" s="402"/>
      <c r="W30" s="402"/>
      <c r="X30" s="402"/>
      <c r="Y30" s="402">
        <f t="shared" si="13"/>
        <v>0</v>
      </c>
      <c r="Z30" s="402"/>
      <c r="AA30" s="402"/>
      <c r="AB30" s="402"/>
      <c r="AC30" s="402"/>
      <c r="AD30" s="402"/>
      <c r="AE30" s="402"/>
      <c r="AF30" s="402">
        <f t="shared" si="14"/>
        <v>95.65</v>
      </c>
      <c r="AG30" s="402">
        <v>36.83</v>
      </c>
      <c r="AH30" s="402">
        <v>17.56</v>
      </c>
      <c r="AI30" s="402">
        <v>13.17</v>
      </c>
      <c r="AJ30" s="402">
        <v>0.44</v>
      </c>
      <c r="AK30" s="402">
        <v>1.32</v>
      </c>
      <c r="AL30" s="402">
        <v>26.33</v>
      </c>
      <c r="AM30" s="402"/>
      <c r="AN30" s="350"/>
      <c r="AO30" s="205">
        <f t="shared" si="3"/>
        <v>56</v>
      </c>
      <c r="AP30">
        <v>30.6028</v>
      </c>
    </row>
    <row r="31" ht="24" hidden="1" spans="1:42">
      <c r="A31" s="284" t="s">
        <v>221</v>
      </c>
      <c r="B31" s="284" t="s">
        <v>199</v>
      </c>
      <c r="C31" s="284" t="s">
        <v>227</v>
      </c>
      <c r="D31" s="284" t="s">
        <v>213</v>
      </c>
      <c r="E31" s="402">
        <f t="shared" si="7"/>
        <v>41.04</v>
      </c>
      <c r="F31" s="402">
        <f t="shared" si="8"/>
        <v>0</v>
      </c>
      <c r="G31" s="402">
        <f t="shared" si="9"/>
        <v>0</v>
      </c>
      <c r="H31" s="402"/>
      <c r="I31" s="402"/>
      <c r="J31" s="402"/>
      <c r="K31" s="402"/>
      <c r="L31" s="402"/>
      <c r="M31" s="402">
        <f t="shared" si="10"/>
        <v>0</v>
      </c>
      <c r="N31" s="402"/>
      <c r="O31" s="402"/>
      <c r="P31" s="404"/>
      <c r="Q31" s="402">
        <f t="shared" si="11"/>
        <v>31.05</v>
      </c>
      <c r="R31" s="402">
        <f t="shared" si="12"/>
        <v>20.58</v>
      </c>
      <c r="S31" s="402">
        <v>14.08</v>
      </c>
      <c r="T31" s="402"/>
      <c r="U31" s="402">
        <v>5.78</v>
      </c>
      <c r="V31" s="402">
        <v>0.72</v>
      </c>
      <c r="W31" s="402"/>
      <c r="X31" s="402"/>
      <c r="Y31" s="402">
        <f t="shared" si="13"/>
        <v>10.47</v>
      </c>
      <c r="Z31" s="402">
        <v>3.47</v>
      </c>
      <c r="AA31" s="402"/>
      <c r="AB31" s="402"/>
      <c r="AC31" s="402"/>
      <c r="AD31" s="402"/>
      <c r="AE31" s="402">
        <v>7</v>
      </c>
      <c r="AF31" s="402">
        <f t="shared" si="14"/>
        <v>9.99</v>
      </c>
      <c r="AG31" s="402">
        <v>3.73</v>
      </c>
      <c r="AH31" s="402">
        <v>1.87</v>
      </c>
      <c r="AI31" s="402">
        <v>1.4</v>
      </c>
      <c r="AJ31" s="402">
        <v>0.05</v>
      </c>
      <c r="AK31" s="402">
        <v>0.14</v>
      </c>
      <c r="AL31" s="402">
        <v>2.8</v>
      </c>
      <c r="AM31" s="402"/>
      <c r="AN31" s="350"/>
      <c r="AO31" s="205">
        <f t="shared" si="3"/>
        <v>7</v>
      </c>
      <c r="AP31">
        <v>2.85</v>
      </c>
    </row>
    <row r="32" ht="24" hidden="1" spans="1:42">
      <c r="A32" s="284" t="s">
        <v>221</v>
      </c>
      <c r="B32" s="284" t="s">
        <v>199</v>
      </c>
      <c r="C32" s="284" t="s">
        <v>228</v>
      </c>
      <c r="D32" s="284" t="s">
        <v>213</v>
      </c>
      <c r="E32" s="402">
        <f t="shared" si="7"/>
        <v>67.5</v>
      </c>
      <c r="F32" s="402">
        <f t="shared" si="8"/>
        <v>0</v>
      </c>
      <c r="G32" s="402">
        <f t="shared" si="9"/>
        <v>0</v>
      </c>
      <c r="H32" s="402"/>
      <c r="I32" s="402"/>
      <c r="J32" s="402"/>
      <c r="K32" s="402"/>
      <c r="L32" s="402"/>
      <c r="M32" s="402">
        <f t="shared" si="10"/>
        <v>0</v>
      </c>
      <c r="N32" s="402"/>
      <c r="O32" s="402"/>
      <c r="P32" s="404"/>
      <c r="Q32" s="402">
        <f t="shared" si="11"/>
        <v>51.67</v>
      </c>
      <c r="R32" s="402">
        <f t="shared" si="12"/>
        <v>33.36</v>
      </c>
      <c r="S32" s="402">
        <v>22.83</v>
      </c>
      <c r="T32" s="402"/>
      <c r="U32" s="402">
        <v>8.85</v>
      </c>
      <c r="V32" s="402">
        <v>1.68</v>
      </c>
      <c r="W32" s="402"/>
      <c r="X32" s="402"/>
      <c r="Y32" s="402">
        <f t="shared" si="13"/>
        <v>18.31</v>
      </c>
      <c r="Z32" s="402">
        <v>5.31</v>
      </c>
      <c r="AA32" s="402"/>
      <c r="AB32" s="402"/>
      <c r="AC32" s="402"/>
      <c r="AD32" s="402"/>
      <c r="AE32" s="402">
        <v>13</v>
      </c>
      <c r="AF32" s="402">
        <f t="shared" si="14"/>
        <v>15.83</v>
      </c>
      <c r="AG32" s="402">
        <v>5.92</v>
      </c>
      <c r="AH32" s="402">
        <v>2.96</v>
      </c>
      <c r="AI32" s="402">
        <v>2.22</v>
      </c>
      <c r="AJ32" s="402">
        <v>0.07</v>
      </c>
      <c r="AK32" s="402">
        <v>0.22</v>
      </c>
      <c r="AL32" s="402">
        <v>4.44</v>
      </c>
      <c r="AM32" s="402"/>
      <c r="AN32" s="350"/>
      <c r="AO32" s="205">
        <f t="shared" si="3"/>
        <v>13</v>
      </c>
      <c r="AP32">
        <v>3</v>
      </c>
    </row>
    <row r="33" ht="24" hidden="1" spans="1:42">
      <c r="A33" s="284" t="s">
        <v>221</v>
      </c>
      <c r="B33" s="284" t="s">
        <v>199</v>
      </c>
      <c r="C33" s="284" t="s">
        <v>229</v>
      </c>
      <c r="D33" s="284" t="s">
        <v>213</v>
      </c>
      <c r="E33" s="402">
        <f t="shared" si="7"/>
        <v>365.87</v>
      </c>
      <c r="F33" s="402">
        <f t="shared" si="8"/>
        <v>0</v>
      </c>
      <c r="G33" s="402">
        <f t="shared" si="9"/>
        <v>0</v>
      </c>
      <c r="H33" s="402"/>
      <c r="I33" s="402"/>
      <c r="J33" s="402"/>
      <c r="K33" s="402"/>
      <c r="L33" s="402"/>
      <c r="M33" s="402">
        <f t="shared" si="10"/>
        <v>0</v>
      </c>
      <c r="N33" s="402"/>
      <c r="O33" s="402"/>
      <c r="P33" s="404"/>
      <c r="Q33" s="402">
        <f t="shared" si="11"/>
        <v>274.63</v>
      </c>
      <c r="R33" s="402">
        <f t="shared" si="12"/>
        <v>192.5</v>
      </c>
      <c r="S33" s="402">
        <v>138.15</v>
      </c>
      <c r="T33" s="402"/>
      <c r="U33" s="402">
        <v>46.89</v>
      </c>
      <c r="V33" s="402">
        <v>7.2</v>
      </c>
      <c r="W33" s="402"/>
      <c r="X33" s="402">
        <v>0.26</v>
      </c>
      <c r="Y33" s="402">
        <f t="shared" si="13"/>
        <v>82.13</v>
      </c>
      <c r="Z33" s="402">
        <v>28.13</v>
      </c>
      <c r="AA33" s="402"/>
      <c r="AB33" s="402"/>
      <c r="AC33" s="402"/>
      <c r="AD33" s="402"/>
      <c r="AE33" s="402">
        <v>54</v>
      </c>
      <c r="AF33" s="402">
        <f t="shared" si="14"/>
        <v>91.24</v>
      </c>
      <c r="AG33" s="402">
        <v>34.11</v>
      </c>
      <c r="AH33" s="402">
        <v>17.05</v>
      </c>
      <c r="AI33" s="402">
        <v>12.79</v>
      </c>
      <c r="AJ33" s="402">
        <v>0.43</v>
      </c>
      <c r="AK33" s="402">
        <v>1.28</v>
      </c>
      <c r="AL33" s="402">
        <v>25.58</v>
      </c>
      <c r="AM33" s="402"/>
      <c r="AN33" s="350"/>
      <c r="AO33" s="205">
        <f t="shared" si="3"/>
        <v>54</v>
      </c>
      <c r="AP33">
        <v>15.9083</v>
      </c>
    </row>
    <row r="34" ht="24" hidden="1" spans="1:42">
      <c r="A34" s="284" t="s">
        <v>221</v>
      </c>
      <c r="B34" s="284" t="s">
        <v>196</v>
      </c>
      <c r="C34" s="284" t="s">
        <v>230</v>
      </c>
      <c r="D34" s="284" t="s">
        <v>207</v>
      </c>
      <c r="E34" s="402">
        <f t="shared" si="7"/>
        <v>220.83</v>
      </c>
      <c r="F34" s="402">
        <f t="shared" si="8"/>
        <v>173.36</v>
      </c>
      <c r="G34" s="402">
        <f t="shared" si="9"/>
        <v>118.85</v>
      </c>
      <c r="H34" s="402">
        <v>63.04</v>
      </c>
      <c r="I34" s="402">
        <v>45.56</v>
      </c>
      <c r="J34" s="402">
        <v>6.15</v>
      </c>
      <c r="K34" s="402">
        <v>3.84</v>
      </c>
      <c r="L34" s="402">
        <v>0.26</v>
      </c>
      <c r="M34" s="402">
        <f t="shared" si="10"/>
        <v>54.51</v>
      </c>
      <c r="N34" s="402">
        <v>8.51</v>
      </c>
      <c r="O34" s="402"/>
      <c r="P34" s="402">
        <v>46</v>
      </c>
      <c r="Q34" s="402">
        <f t="shared" si="11"/>
        <v>0</v>
      </c>
      <c r="R34" s="402">
        <f t="shared" si="12"/>
        <v>0</v>
      </c>
      <c r="S34" s="402"/>
      <c r="T34" s="402"/>
      <c r="U34" s="402"/>
      <c r="V34" s="402"/>
      <c r="W34" s="402"/>
      <c r="X34" s="402"/>
      <c r="Y34" s="402">
        <f t="shared" si="13"/>
        <v>0</v>
      </c>
      <c r="Z34" s="402"/>
      <c r="AA34" s="402"/>
      <c r="AB34" s="402"/>
      <c r="AC34" s="402"/>
      <c r="AD34" s="402"/>
      <c r="AE34" s="402"/>
      <c r="AF34" s="402">
        <f t="shared" si="14"/>
        <v>47.47</v>
      </c>
      <c r="AG34" s="402">
        <v>18.36</v>
      </c>
      <c r="AH34" s="402">
        <v>8.69</v>
      </c>
      <c r="AI34" s="402">
        <v>6.52</v>
      </c>
      <c r="AJ34" s="402">
        <v>0.22</v>
      </c>
      <c r="AK34" s="402">
        <v>0.65</v>
      </c>
      <c r="AL34" s="402">
        <v>13.03</v>
      </c>
      <c r="AM34" s="402"/>
      <c r="AN34" s="350"/>
      <c r="AO34" s="205">
        <f t="shared" si="3"/>
        <v>46</v>
      </c>
      <c r="AP34">
        <v>17.3164</v>
      </c>
    </row>
    <row r="35" ht="24" hidden="1" spans="1:42">
      <c r="A35" s="284" t="s">
        <v>221</v>
      </c>
      <c r="B35" s="284" t="s">
        <v>199</v>
      </c>
      <c r="C35" s="284" t="s">
        <v>231</v>
      </c>
      <c r="D35" s="284" t="s">
        <v>213</v>
      </c>
      <c r="E35" s="402">
        <f t="shared" si="7"/>
        <v>67.07</v>
      </c>
      <c r="F35" s="402">
        <f t="shared" si="8"/>
        <v>0</v>
      </c>
      <c r="G35" s="402">
        <f t="shared" si="9"/>
        <v>0</v>
      </c>
      <c r="H35" s="402"/>
      <c r="I35" s="402"/>
      <c r="J35" s="402"/>
      <c r="K35" s="402"/>
      <c r="L35" s="402"/>
      <c r="M35" s="402">
        <f t="shared" si="10"/>
        <v>0</v>
      </c>
      <c r="N35" s="402"/>
      <c r="O35" s="402"/>
      <c r="P35" s="402"/>
      <c r="Q35" s="402">
        <f t="shared" si="11"/>
        <v>52.19</v>
      </c>
      <c r="R35" s="402">
        <f t="shared" si="12"/>
        <v>31.08</v>
      </c>
      <c r="S35" s="402">
        <v>21.13</v>
      </c>
      <c r="T35" s="402"/>
      <c r="U35" s="402">
        <v>8.51</v>
      </c>
      <c r="V35" s="402">
        <v>1.44</v>
      </c>
      <c r="W35" s="402"/>
      <c r="X35" s="402"/>
      <c r="Y35" s="402">
        <f t="shared" si="13"/>
        <v>21.11</v>
      </c>
      <c r="Z35" s="402">
        <v>5.11</v>
      </c>
      <c r="AA35" s="402"/>
      <c r="AB35" s="402"/>
      <c r="AC35" s="402"/>
      <c r="AD35" s="402"/>
      <c r="AE35" s="402">
        <v>16</v>
      </c>
      <c r="AF35" s="402">
        <f t="shared" si="14"/>
        <v>14.88</v>
      </c>
      <c r="AG35" s="402">
        <v>5.56</v>
      </c>
      <c r="AH35" s="402">
        <v>2.78</v>
      </c>
      <c r="AI35" s="402">
        <v>2.09</v>
      </c>
      <c r="AJ35" s="402">
        <v>0.07</v>
      </c>
      <c r="AK35" s="402">
        <v>0.21</v>
      </c>
      <c r="AL35" s="402">
        <v>4.17</v>
      </c>
      <c r="AM35" s="402"/>
      <c r="AN35" s="350"/>
      <c r="AO35" s="205">
        <f t="shared" si="3"/>
        <v>16</v>
      </c>
      <c r="AP35">
        <v>2.85</v>
      </c>
    </row>
    <row r="36" ht="24" hidden="1" spans="1:42">
      <c r="A36" s="284" t="s">
        <v>221</v>
      </c>
      <c r="B36" s="284" t="s">
        <v>199</v>
      </c>
      <c r="C36" s="284" t="s">
        <v>232</v>
      </c>
      <c r="D36" s="284" t="s">
        <v>213</v>
      </c>
      <c r="E36" s="402">
        <f t="shared" si="7"/>
        <v>91.65</v>
      </c>
      <c r="F36" s="402">
        <f t="shared" si="8"/>
        <v>0</v>
      </c>
      <c r="G36" s="402">
        <f t="shared" si="9"/>
        <v>0</v>
      </c>
      <c r="H36" s="402"/>
      <c r="I36" s="402"/>
      <c r="J36" s="402"/>
      <c r="K36" s="402"/>
      <c r="L36" s="402"/>
      <c r="M36" s="402">
        <f t="shared" si="10"/>
        <v>0</v>
      </c>
      <c r="N36" s="402"/>
      <c r="O36" s="402"/>
      <c r="P36" s="402"/>
      <c r="Q36" s="402">
        <f t="shared" si="11"/>
        <v>71.43</v>
      </c>
      <c r="R36" s="402">
        <f t="shared" si="12"/>
        <v>42.85</v>
      </c>
      <c r="S36" s="402">
        <v>29.7</v>
      </c>
      <c r="T36" s="402"/>
      <c r="U36" s="402">
        <v>10.97</v>
      </c>
      <c r="V36" s="402">
        <v>1.92</v>
      </c>
      <c r="W36" s="402"/>
      <c r="X36" s="402">
        <v>0.26</v>
      </c>
      <c r="Y36" s="402">
        <f t="shared" si="13"/>
        <v>28.58</v>
      </c>
      <c r="Z36" s="402">
        <v>6.58</v>
      </c>
      <c r="AA36" s="402"/>
      <c r="AB36" s="402"/>
      <c r="AC36" s="402"/>
      <c r="AD36" s="402"/>
      <c r="AE36" s="402">
        <v>22</v>
      </c>
      <c r="AF36" s="402">
        <f t="shared" si="14"/>
        <v>20.22</v>
      </c>
      <c r="AG36" s="402">
        <v>7.56</v>
      </c>
      <c r="AH36" s="402">
        <v>3.78</v>
      </c>
      <c r="AI36" s="402">
        <v>2.84</v>
      </c>
      <c r="AJ36" s="402">
        <v>0.09</v>
      </c>
      <c r="AK36" s="402">
        <v>0.28</v>
      </c>
      <c r="AL36" s="402">
        <v>5.67</v>
      </c>
      <c r="AM36" s="402"/>
      <c r="AN36" s="350"/>
      <c r="AO36" s="205">
        <f t="shared" si="3"/>
        <v>22</v>
      </c>
      <c r="AP36">
        <v>4</v>
      </c>
    </row>
    <row r="37" ht="24" hidden="1" spans="1:42">
      <c r="A37" s="284" t="s">
        <v>221</v>
      </c>
      <c r="B37" s="284" t="s">
        <v>199</v>
      </c>
      <c r="C37" s="284" t="s">
        <v>233</v>
      </c>
      <c r="D37" s="284" t="s">
        <v>213</v>
      </c>
      <c r="E37" s="402">
        <f t="shared" si="7"/>
        <v>244.31</v>
      </c>
      <c r="F37" s="402">
        <f t="shared" si="8"/>
        <v>0</v>
      </c>
      <c r="G37" s="402">
        <f t="shared" si="9"/>
        <v>0</v>
      </c>
      <c r="H37" s="402"/>
      <c r="I37" s="402"/>
      <c r="J37" s="402"/>
      <c r="K37" s="402"/>
      <c r="L37" s="402"/>
      <c r="M37" s="402">
        <f t="shared" si="10"/>
        <v>0</v>
      </c>
      <c r="N37" s="402"/>
      <c r="O37" s="402"/>
      <c r="P37" s="402"/>
      <c r="Q37" s="402">
        <f t="shared" si="11"/>
        <v>189.67</v>
      </c>
      <c r="R37" s="402">
        <f t="shared" si="12"/>
        <v>114.2</v>
      </c>
      <c r="S37" s="402">
        <v>77.73</v>
      </c>
      <c r="T37" s="402"/>
      <c r="U37" s="402">
        <v>30.78</v>
      </c>
      <c r="V37" s="402">
        <v>4.8</v>
      </c>
      <c r="W37" s="402"/>
      <c r="X37" s="402">
        <v>0.89</v>
      </c>
      <c r="Y37" s="402">
        <f t="shared" si="13"/>
        <v>75.47</v>
      </c>
      <c r="Z37" s="402">
        <v>18.47</v>
      </c>
      <c r="AA37" s="402"/>
      <c r="AB37" s="402"/>
      <c r="AC37" s="402"/>
      <c r="AD37" s="402"/>
      <c r="AE37" s="402">
        <v>57</v>
      </c>
      <c r="AF37" s="402">
        <f t="shared" si="14"/>
        <v>54.64</v>
      </c>
      <c r="AG37" s="402">
        <v>20.42</v>
      </c>
      <c r="AH37" s="402">
        <v>10.21</v>
      </c>
      <c r="AI37" s="402">
        <v>7.66</v>
      </c>
      <c r="AJ37" s="402">
        <v>0.26</v>
      </c>
      <c r="AK37" s="402">
        <v>0.77</v>
      </c>
      <c r="AL37" s="402">
        <v>15.32</v>
      </c>
      <c r="AM37" s="402"/>
      <c r="AN37" s="350"/>
      <c r="AO37" s="205">
        <f t="shared" si="3"/>
        <v>57</v>
      </c>
      <c r="AP37">
        <v>10.9334</v>
      </c>
    </row>
    <row r="38" ht="24" hidden="1" spans="1:42">
      <c r="A38" s="284" t="s">
        <v>221</v>
      </c>
      <c r="B38" s="284" t="s">
        <v>196</v>
      </c>
      <c r="C38" s="284" t="s">
        <v>234</v>
      </c>
      <c r="D38" s="284" t="s">
        <v>207</v>
      </c>
      <c r="E38" s="402">
        <f t="shared" si="7"/>
        <v>340.41</v>
      </c>
      <c r="F38" s="402">
        <f t="shared" si="8"/>
        <v>266</v>
      </c>
      <c r="G38" s="402">
        <f t="shared" si="9"/>
        <v>187.49</v>
      </c>
      <c r="H38" s="402">
        <v>98.64</v>
      </c>
      <c r="I38" s="402">
        <v>71.97</v>
      </c>
      <c r="J38" s="402">
        <v>8.7</v>
      </c>
      <c r="K38" s="402">
        <v>7.92</v>
      </c>
      <c r="L38" s="402">
        <v>0.26</v>
      </c>
      <c r="M38" s="402">
        <f t="shared" si="10"/>
        <v>78.51</v>
      </c>
      <c r="N38" s="402">
        <v>8.51</v>
      </c>
      <c r="O38" s="402"/>
      <c r="P38" s="404">
        <v>70</v>
      </c>
      <c r="Q38" s="402">
        <f t="shared" si="11"/>
        <v>0</v>
      </c>
      <c r="R38" s="402">
        <f t="shared" si="12"/>
        <v>0</v>
      </c>
      <c r="S38" s="402"/>
      <c r="T38" s="402"/>
      <c r="U38" s="402"/>
      <c r="V38" s="402"/>
      <c r="W38" s="402"/>
      <c r="X38" s="402"/>
      <c r="Y38" s="402">
        <f t="shared" si="13"/>
        <v>0</v>
      </c>
      <c r="Z38" s="402"/>
      <c r="AA38" s="402"/>
      <c r="AB38" s="402"/>
      <c r="AC38" s="402"/>
      <c r="AD38" s="402"/>
      <c r="AE38" s="402"/>
      <c r="AF38" s="402">
        <f t="shared" si="14"/>
        <v>74.41</v>
      </c>
      <c r="AG38" s="402">
        <v>28.69</v>
      </c>
      <c r="AH38" s="402">
        <v>13.65</v>
      </c>
      <c r="AI38" s="402">
        <v>10.24</v>
      </c>
      <c r="AJ38" s="402">
        <v>0.34</v>
      </c>
      <c r="AK38" s="402">
        <v>1.02</v>
      </c>
      <c r="AL38" s="402">
        <v>20.47</v>
      </c>
      <c r="AM38" s="402"/>
      <c r="AN38" s="350"/>
      <c r="AO38" s="205">
        <f t="shared" si="3"/>
        <v>70</v>
      </c>
      <c r="AP38">
        <v>20.0809</v>
      </c>
    </row>
    <row r="39" ht="24" hidden="1" spans="1:42">
      <c r="A39" s="284" t="s">
        <v>221</v>
      </c>
      <c r="B39" s="284" t="s">
        <v>199</v>
      </c>
      <c r="C39" s="284" t="s">
        <v>235</v>
      </c>
      <c r="D39" s="284" t="s">
        <v>213</v>
      </c>
      <c r="E39" s="402">
        <f t="shared" si="7"/>
        <v>76.35</v>
      </c>
      <c r="F39" s="402">
        <f t="shared" si="8"/>
        <v>0</v>
      </c>
      <c r="G39" s="402">
        <f t="shared" si="9"/>
        <v>0</v>
      </c>
      <c r="H39" s="402"/>
      <c r="I39" s="402"/>
      <c r="J39" s="402"/>
      <c r="K39" s="402"/>
      <c r="L39" s="402"/>
      <c r="M39" s="402">
        <f t="shared" si="10"/>
        <v>0</v>
      </c>
      <c r="N39" s="402"/>
      <c r="O39" s="402"/>
      <c r="P39" s="402"/>
      <c r="Q39" s="402">
        <f t="shared" si="11"/>
        <v>59.52</v>
      </c>
      <c r="R39" s="402">
        <f t="shared" si="12"/>
        <v>34.81</v>
      </c>
      <c r="S39" s="402">
        <v>22.76</v>
      </c>
      <c r="T39" s="402">
        <v>9.53</v>
      </c>
      <c r="U39" s="402"/>
      <c r="V39" s="402">
        <v>2.52</v>
      </c>
      <c r="W39" s="402"/>
      <c r="X39" s="402"/>
      <c r="Y39" s="402">
        <f t="shared" si="13"/>
        <v>24.71</v>
      </c>
      <c r="Z39" s="402">
        <v>5.71</v>
      </c>
      <c r="AA39" s="402"/>
      <c r="AB39" s="402"/>
      <c r="AC39" s="402"/>
      <c r="AD39" s="402"/>
      <c r="AE39" s="402">
        <v>19</v>
      </c>
      <c r="AF39" s="402">
        <f t="shared" si="14"/>
        <v>16.83</v>
      </c>
      <c r="AG39" s="402">
        <v>6.64</v>
      </c>
      <c r="AH39" s="402">
        <v>3.04</v>
      </c>
      <c r="AI39" s="402">
        <v>2.28</v>
      </c>
      <c r="AJ39" s="402">
        <v>0.08</v>
      </c>
      <c r="AK39" s="402">
        <v>0.23</v>
      </c>
      <c r="AL39" s="402">
        <v>4.56</v>
      </c>
      <c r="AM39" s="402"/>
      <c r="AN39" s="350"/>
      <c r="AO39" s="205">
        <f t="shared" si="3"/>
        <v>19</v>
      </c>
      <c r="AP39">
        <v>3.7917</v>
      </c>
    </row>
    <row r="40" ht="24" hidden="1" spans="1:42">
      <c r="A40" s="284" t="s">
        <v>221</v>
      </c>
      <c r="B40" s="284" t="s">
        <v>199</v>
      </c>
      <c r="C40" s="284" t="s">
        <v>236</v>
      </c>
      <c r="D40" s="284" t="s">
        <v>213</v>
      </c>
      <c r="E40" s="402">
        <f t="shared" si="7"/>
        <v>113.11</v>
      </c>
      <c r="F40" s="402">
        <f t="shared" si="8"/>
        <v>0</v>
      </c>
      <c r="G40" s="402">
        <f t="shared" si="9"/>
        <v>0</v>
      </c>
      <c r="H40" s="402"/>
      <c r="I40" s="402"/>
      <c r="J40" s="402"/>
      <c r="K40" s="402"/>
      <c r="L40" s="402"/>
      <c r="M40" s="402">
        <f t="shared" si="10"/>
        <v>0</v>
      </c>
      <c r="N40" s="402"/>
      <c r="O40" s="402"/>
      <c r="P40" s="402"/>
      <c r="Q40" s="402">
        <f t="shared" si="11"/>
        <v>88.01</v>
      </c>
      <c r="R40" s="402">
        <f t="shared" si="12"/>
        <v>52.96</v>
      </c>
      <c r="S40" s="402">
        <v>35.18</v>
      </c>
      <c r="T40" s="402">
        <v>13.56</v>
      </c>
      <c r="U40" s="402"/>
      <c r="V40" s="402">
        <v>3.6</v>
      </c>
      <c r="W40" s="402"/>
      <c r="X40" s="402">
        <v>0.62</v>
      </c>
      <c r="Y40" s="402">
        <f t="shared" si="13"/>
        <v>35.05</v>
      </c>
      <c r="Z40" s="402">
        <v>8.05</v>
      </c>
      <c r="AA40" s="402"/>
      <c r="AB40" s="402"/>
      <c r="AC40" s="402"/>
      <c r="AD40" s="402"/>
      <c r="AE40" s="402">
        <v>27</v>
      </c>
      <c r="AF40" s="402">
        <f t="shared" si="14"/>
        <v>25.1</v>
      </c>
      <c r="AG40" s="402">
        <v>9.89</v>
      </c>
      <c r="AH40" s="402">
        <v>4.54</v>
      </c>
      <c r="AI40" s="402">
        <v>3.41</v>
      </c>
      <c r="AJ40" s="402">
        <v>0.11</v>
      </c>
      <c r="AK40" s="402">
        <v>0.34</v>
      </c>
      <c r="AL40" s="402">
        <v>6.81</v>
      </c>
      <c r="AM40" s="402"/>
      <c r="AN40" s="350"/>
      <c r="AO40" s="205">
        <f t="shared" si="3"/>
        <v>27</v>
      </c>
      <c r="AP40">
        <v>5</v>
      </c>
    </row>
    <row r="41" ht="24" hidden="1" spans="1:42">
      <c r="A41" s="284" t="s">
        <v>221</v>
      </c>
      <c r="B41" s="284" t="s">
        <v>199</v>
      </c>
      <c r="C41" s="284" t="s">
        <v>237</v>
      </c>
      <c r="D41" s="284" t="s">
        <v>213</v>
      </c>
      <c r="E41" s="402">
        <f t="shared" si="7"/>
        <v>256.81</v>
      </c>
      <c r="F41" s="402">
        <f t="shared" si="8"/>
        <v>0</v>
      </c>
      <c r="G41" s="402">
        <f t="shared" si="9"/>
        <v>0</v>
      </c>
      <c r="H41" s="402"/>
      <c r="I41" s="402"/>
      <c r="J41" s="402"/>
      <c r="K41" s="402"/>
      <c r="L41" s="402"/>
      <c r="M41" s="402">
        <f t="shared" si="10"/>
        <v>0</v>
      </c>
      <c r="N41" s="402"/>
      <c r="O41" s="402"/>
      <c r="P41" s="402"/>
      <c r="Q41" s="402">
        <f t="shared" si="11"/>
        <v>198.72</v>
      </c>
      <c r="R41" s="402">
        <f t="shared" si="12"/>
        <v>120.78</v>
      </c>
      <c r="S41" s="402">
        <v>79.86</v>
      </c>
      <c r="T41" s="402">
        <v>32.69</v>
      </c>
      <c r="U41" s="402"/>
      <c r="V41" s="402">
        <v>7.92</v>
      </c>
      <c r="W41" s="402"/>
      <c r="X41" s="402">
        <v>0.31</v>
      </c>
      <c r="Y41" s="402">
        <f t="shared" si="13"/>
        <v>77.94</v>
      </c>
      <c r="Z41" s="404">
        <v>18.94</v>
      </c>
      <c r="AA41" s="402"/>
      <c r="AB41" s="402"/>
      <c r="AC41" s="402"/>
      <c r="AD41" s="402"/>
      <c r="AE41" s="402">
        <v>59</v>
      </c>
      <c r="AF41" s="402">
        <f t="shared" si="14"/>
        <v>58.09</v>
      </c>
      <c r="AG41" s="402">
        <v>22.82</v>
      </c>
      <c r="AH41" s="402">
        <v>10.53</v>
      </c>
      <c r="AI41" s="402">
        <v>7.9</v>
      </c>
      <c r="AJ41" s="402">
        <v>0.26</v>
      </c>
      <c r="AK41" s="402">
        <v>0.79</v>
      </c>
      <c r="AL41" s="402">
        <v>15.79</v>
      </c>
      <c r="AM41" s="402"/>
      <c r="AN41" s="350"/>
      <c r="AO41" s="205">
        <f t="shared" si="3"/>
        <v>59</v>
      </c>
      <c r="AP41">
        <v>11.3333</v>
      </c>
    </row>
    <row r="42" ht="24" hidden="1" spans="1:42">
      <c r="A42" s="284" t="s">
        <v>221</v>
      </c>
      <c r="B42" s="284" t="s">
        <v>196</v>
      </c>
      <c r="C42" s="284" t="s">
        <v>238</v>
      </c>
      <c r="D42" s="284" t="s">
        <v>207</v>
      </c>
      <c r="E42" s="402">
        <f t="shared" si="7"/>
        <v>314.62</v>
      </c>
      <c r="F42" s="402">
        <f t="shared" si="8"/>
        <v>245.46</v>
      </c>
      <c r="G42" s="402">
        <f t="shared" si="9"/>
        <v>171.95</v>
      </c>
      <c r="H42" s="402">
        <v>92.69</v>
      </c>
      <c r="I42" s="402">
        <v>66</v>
      </c>
      <c r="J42" s="402">
        <v>7.72</v>
      </c>
      <c r="K42" s="402">
        <v>5.28</v>
      </c>
      <c r="L42" s="402">
        <v>0.26</v>
      </c>
      <c r="M42" s="402">
        <f t="shared" si="10"/>
        <v>73.51</v>
      </c>
      <c r="N42" s="402">
        <v>8.51</v>
      </c>
      <c r="O42" s="402"/>
      <c r="P42" s="404">
        <v>65</v>
      </c>
      <c r="Q42" s="402">
        <f t="shared" si="11"/>
        <v>0</v>
      </c>
      <c r="R42" s="402">
        <f t="shared" si="12"/>
        <v>0</v>
      </c>
      <c r="S42" s="402"/>
      <c r="T42" s="402"/>
      <c r="U42" s="402"/>
      <c r="V42" s="402"/>
      <c r="W42" s="402"/>
      <c r="X42" s="402"/>
      <c r="Y42" s="402">
        <f t="shared" si="13"/>
        <v>0</v>
      </c>
      <c r="Z42" s="402"/>
      <c r="AA42" s="402"/>
      <c r="AB42" s="402"/>
      <c r="AC42" s="402"/>
      <c r="AD42" s="402"/>
      <c r="AE42" s="402"/>
      <c r="AF42" s="402">
        <f t="shared" si="14"/>
        <v>69.16</v>
      </c>
      <c r="AG42" s="402">
        <v>26.63</v>
      </c>
      <c r="AH42" s="402">
        <v>12.7</v>
      </c>
      <c r="AI42" s="402">
        <v>9.52</v>
      </c>
      <c r="AJ42" s="402">
        <v>0.32</v>
      </c>
      <c r="AK42" s="402">
        <v>0.95</v>
      </c>
      <c r="AL42" s="402">
        <v>19.04</v>
      </c>
      <c r="AM42" s="402"/>
      <c r="AN42" s="350"/>
      <c r="AO42" s="205">
        <f t="shared" si="3"/>
        <v>65</v>
      </c>
      <c r="AP42">
        <v>21.1908</v>
      </c>
    </row>
    <row r="43" ht="24" hidden="1" spans="1:42">
      <c r="A43" s="284" t="s">
        <v>221</v>
      </c>
      <c r="B43" s="284" t="s">
        <v>199</v>
      </c>
      <c r="C43" s="284" t="s">
        <v>239</v>
      </c>
      <c r="D43" s="284" t="s">
        <v>213</v>
      </c>
      <c r="E43" s="402">
        <f t="shared" si="7"/>
        <v>58.63</v>
      </c>
      <c r="F43" s="402">
        <f t="shared" si="8"/>
        <v>0</v>
      </c>
      <c r="G43" s="402">
        <f t="shared" si="9"/>
        <v>0</v>
      </c>
      <c r="H43" s="402"/>
      <c r="I43" s="402"/>
      <c r="J43" s="402"/>
      <c r="K43" s="402"/>
      <c r="L43" s="402"/>
      <c r="M43" s="402">
        <f t="shared" si="10"/>
        <v>0</v>
      </c>
      <c r="N43" s="402"/>
      <c r="O43" s="402"/>
      <c r="P43" s="402"/>
      <c r="Q43" s="402">
        <f t="shared" si="11"/>
        <v>45.49</v>
      </c>
      <c r="R43" s="402">
        <f t="shared" si="12"/>
        <v>27.18</v>
      </c>
      <c r="S43" s="402">
        <v>18.8</v>
      </c>
      <c r="T43" s="402"/>
      <c r="U43" s="402">
        <v>7.18</v>
      </c>
      <c r="V43" s="402">
        <v>1.2</v>
      </c>
      <c r="W43" s="402"/>
      <c r="X43" s="402"/>
      <c r="Y43" s="402">
        <f t="shared" si="13"/>
        <v>18.31</v>
      </c>
      <c r="Z43" s="402">
        <v>4.31</v>
      </c>
      <c r="AA43" s="402"/>
      <c r="AB43" s="402"/>
      <c r="AC43" s="402"/>
      <c r="AD43" s="402"/>
      <c r="AE43" s="402">
        <v>14</v>
      </c>
      <c r="AF43" s="402">
        <f t="shared" si="14"/>
        <v>13.14</v>
      </c>
      <c r="AG43" s="402">
        <v>4.85</v>
      </c>
      <c r="AH43" s="402">
        <v>2.42</v>
      </c>
      <c r="AI43" s="402">
        <v>1.82</v>
      </c>
      <c r="AJ43" s="402">
        <v>0.06</v>
      </c>
      <c r="AK43" s="402">
        <v>0.36</v>
      </c>
      <c r="AL43" s="402">
        <v>3.63</v>
      </c>
      <c r="AM43" s="402"/>
      <c r="AN43" s="350"/>
      <c r="AO43" s="205">
        <f t="shared" si="3"/>
        <v>14</v>
      </c>
      <c r="AP43">
        <v>2.85</v>
      </c>
    </row>
    <row r="44" ht="24" hidden="1" spans="1:42">
      <c r="A44" s="284" t="s">
        <v>221</v>
      </c>
      <c r="B44" s="284" t="s">
        <v>199</v>
      </c>
      <c r="C44" s="284" t="s">
        <v>240</v>
      </c>
      <c r="D44" s="284" t="s">
        <v>213</v>
      </c>
      <c r="E44" s="402">
        <f t="shared" si="7"/>
        <v>76.28</v>
      </c>
      <c r="F44" s="402">
        <f t="shared" si="8"/>
        <v>0</v>
      </c>
      <c r="G44" s="402">
        <f t="shared" si="9"/>
        <v>0</v>
      </c>
      <c r="H44" s="402"/>
      <c r="I44" s="402"/>
      <c r="J44" s="402"/>
      <c r="K44" s="402"/>
      <c r="L44" s="402"/>
      <c r="M44" s="402">
        <f t="shared" si="10"/>
        <v>0</v>
      </c>
      <c r="N44" s="402"/>
      <c r="O44" s="402"/>
      <c r="P44" s="402"/>
      <c r="Q44" s="402">
        <f t="shared" si="11"/>
        <v>59.77</v>
      </c>
      <c r="R44" s="402">
        <f t="shared" si="12"/>
        <v>35.16</v>
      </c>
      <c r="S44" s="402">
        <v>23.55</v>
      </c>
      <c r="T44" s="402"/>
      <c r="U44" s="402">
        <v>9.4</v>
      </c>
      <c r="V44" s="402">
        <v>1.68</v>
      </c>
      <c r="W44" s="402"/>
      <c r="X44" s="402">
        <v>0.53</v>
      </c>
      <c r="Y44" s="402">
        <f t="shared" si="13"/>
        <v>24.61</v>
      </c>
      <c r="Z44" s="402">
        <v>5.61</v>
      </c>
      <c r="AA44" s="402"/>
      <c r="AB44" s="402"/>
      <c r="AC44" s="402"/>
      <c r="AD44" s="402"/>
      <c r="AE44" s="402">
        <v>19</v>
      </c>
      <c r="AF44" s="402">
        <f t="shared" si="14"/>
        <v>16.51</v>
      </c>
      <c r="AG44" s="402">
        <v>6.17</v>
      </c>
      <c r="AH44" s="402">
        <v>3.09</v>
      </c>
      <c r="AI44" s="402">
        <v>2.31</v>
      </c>
      <c r="AJ44" s="402">
        <v>0.08</v>
      </c>
      <c r="AK44" s="402">
        <v>0.23</v>
      </c>
      <c r="AL44" s="402">
        <v>4.63</v>
      </c>
      <c r="AM44" s="402"/>
      <c r="AN44" s="350"/>
      <c r="AO44" s="205">
        <f t="shared" si="3"/>
        <v>19</v>
      </c>
      <c r="AP44">
        <v>3.3917</v>
      </c>
    </row>
    <row r="45" ht="24" hidden="1" spans="1:42">
      <c r="A45" s="284" t="s">
        <v>221</v>
      </c>
      <c r="B45" s="284" t="s">
        <v>199</v>
      </c>
      <c r="C45" s="284" t="s">
        <v>241</v>
      </c>
      <c r="D45" s="284" t="s">
        <v>213</v>
      </c>
      <c r="E45" s="402">
        <f t="shared" si="7"/>
        <v>372.02</v>
      </c>
      <c r="F45" s="402">
        <f t="shared" si="8"/>
        <v>0</v>
      </c>
      <c r="G45" s="402">
        <f t="shared" si="9"/>
        <v>0</v>
      </c>
      <c r="H45" s="402"/>
      <c r="I45" s="402"/>
      <c r="J45" s="402"/>
      <c r="K45" s="402"/>
      <c r="L45" s="402"/>
      <c r="M45" s="402">
        <f t="shared" si="10"/>
        <v>0</v>
      </c>
      <c r="N45" s="402"/>
      <c r="O45" s="402"/>
      <c r="P45" s="402"/>
      <c r="Q45" s="402">
        <f t="shared" si="11"/>
        <v>288.18</v>
      </c>
      <c r="R45" s="402">
        <f t="shared" si="12"/>
        <v>176.89</v>
      </c>
      <c r="S45" s="402">
        <v>123.29</v>
      </c>
      <c r="T45" s="402"/>
      <c r="U45" s="402">
        <v>45.32</v>
      </c>
      <c r="V45" s="402">
        <v>6.72</v>
      </c>
      <c r="W45" s="402"/>
      <c r="X45" s="402">
        <v>1.56</v>
      </c>
      <c r="Y45" s="402">
        <f t="shared" si="13"/>
        <v>111.29</v>
      </c>
      <c r="Z45" s="402">
        <v>27.29</v>
      </c>
      <c r="AA45" s="402"/>
      <c r="AB45" s="402"/>
      <c r="AC45" s="402"/>
      <c r="AD45" s="402"/>
      <c r="AE45" s="402">
        <v>84</v>
      </c>
      <c r="AF45" s="402">
        <f t="shared" si="14"/>
        <v>83.84</v>
      </c>
      <c r="AG45" s="402">
        <v>31.34</v>
      </c>
      <c r="AH45" s="402">
        <v>15.67</v>
      </c>
      <c r="AI45" s="402">
        <v>11.75</v>
      </c>
      <c r="AJ45" s="402">
        <v>0.39</v>
      </c>
      <c r="AK45" s="402">
        <v>1.18</v>
      </c>
      <c r="AL45" s="402">
        <v>23.51</v>
      </c>
      <c r="AM45" s="402"/>
      <c r="AN45" s="350"/>
      <c r="AO45" s="205">
        <f t="shared" si="3"/>
        <v>84</v>
      </c>
      <c r="AP45">
        <v>15.5</v>
      </c>
    </row>
    <row r="46" ht="24" hidden="1" spans="1:42">
      <c r="A46" s="284" t="s">
        <v>221</v>
      </c>
      <c r="B46" s="284" t="s">
        <v>196</v>
      </c>
      <c r="C46" s="284" t="s">
        <v>242</v>
      </c>
      <c r="D46" s="284" t="s">
        <v>207</v>
      </c>
      <c r="E46" s="402">
        <f t="shared" si="7"/>
        <v>217.46</v>
      </c>
      <c r="F46" s="402">
        <f t="shared" si="8"/>
        <v>172.76</v>
      </c>
      <c r="G46" s="402">
        <f t="shared" si="9"/>
        <v>115.42</v>
      </c>
      <c r="H46" s="402">
        <v>58.95</v>
      </c>
      <c r="I46" s="402">
        <v>43.62</v>
      </c>
      <c r="J46" s="402">
        <v>4.91</v>
      </c>
      <c r="K46" s="402">
        <v>7.68</v>
      </c>
      <c r="L46" s="402">
        <v>0.26</v>
      </c>
      <c r="M46" s="402">
        <f t="shared" si="10"/>
        <v>57.34</v>
      </c>
      <c r="N46" s="402">
        <v>11.34</v>
      </c>
      <c r="O46" s="402"/>
      <c r="P46" s="404">
        <v>46</v>
      </c>
      <c r="Q46" s="402">
        <f t="shared" si="11"/>
        <v>0</v>
      </c>
      <c r="R46" s="402">
        <f t="shared" si="12"/>
        <v>0</v>
      </c>
      <c r="S46" s="402"/>
      <c r="T46" s="402"/>
      <c r="U46" s="402"/>
      <c r="V46" s="402"/>
      <c r="W46" s="402"/>
      <c r="X46" s="402"/>
      <c r="Y46" s="402">
        <f t="shared" si="13"/>
        <v>0</v>
      </c>
      <c r="Z46" s="402"/>
      <c r="AA46" s="402"/>
      <c r="AB46" s="402"/>
      <c r="AC46" s="402"/>
      <c r="AD46" s="402"/>
      <c r="AE46" s="402"/>
      <c r="AF46" s="402">
        <f t="shared" si="14"/>
        <v>44.7</v>
      </c>
      <c r="AG46" s="402">
        <v>17.2</v>
      </c>
      <c r="AH46" s="402">
        <v>8.21</v>
      </c>
      <c r="AI46" s="402">
        <v>6.15</v>
      </c>
      <c r="AJ46" s="402">
        <v>0.21</v>
      </c>
      <c r="AK46" s="402">
        <v>0.62</v>
      </c>
      <c r="AL46" s="402">
        <v>12.31</v>
      </c>
      <c r="AM46" s="402"/>
      <c r="AN46" s="350"/>
      <c r="AO46" s="205">
        <f t="shared" si="3"/>
        <v>46</v>
      </c>
      <c r="AP46">
        <v>11.2184</v>
      </c>
    </row>
    <row r="47" ht="24" hidden="1" spans="1:42">
      <c r="A47" s="284" t="s">
        <v>221</v>
      </c>
      <c r="B47" s="284" t="s">
        <v>199</v>
      </c>
      <c r="C47" s="284" t="s">
        <v>243</v>
      </c>
      <c r="D47" s="284" t="s">
        <v>213</v>
      </c>
      <c r="E47" s="402">
        <f t="shared" si="7"/>
        <v>39.71</v>
      </c>
      <c r="F47" s="402">
        <f t="shared" si="8"/>
        <v>0</v>
      </c>
      <c r="G47" s="402">
        <f t="shared" si="9"/>
        <v>0</v>
      </c>
      <c r="H47" s="402"/>
      <c r="I47" s="402"/>
      <c r="J47" s="402"/>
      <c r="K47" s="402"/>
      <c r="L47" s="402"/>
      <c r="M47" s="402">
        <f t="shared" si="10"/>
        <v>0</v>
      </c>
      <c r="N47" s="402"/>
      <c r="O47" s="402"/>
      <c r="P47" s="402"/>
      <c r="Q47" s="402">
        <f t="shared" si="11"/>
        <v>31.08</v>
      </c>
      <c r="R47" s="402">
        <f t="shared" si="12"/>
        <v>18.81</v>
      </c>
      <c r="S47" s="402">
        <v>11.43</v>
      </c>
      <c r="T47" s="402"/>
      <c r="U47" s="402">
        <v>5.46</v>
      </c>
      <c r="V47" s="402">
        <v>1.92</v>
      </c>
      <c r="W47" s="402"/>
      <c r="X47" s="402"/>
      <c r="Y47" s="402">
        <f t="shared" si="13"/>
        <v>12.27</v>
      </c>
      <c r="Z47" s="402">
        <v>3.27</v>
      </c>
      <c r="AA47" s="402"/>
      <c r="AB47" s="402"/>
      <c r="AC47" s="402"/>
      <c r="AD47" s="402"/>
      <c r="AE47" s="402">
        <v>9</v>
      </c>
      <c r="AF47" s="402">
        <f t="shared" si="14"/>
        <v>8.63</v>
      </c>
      <c r="AG47" s="402">
        <v>3.23</v>
      </c>
      <c r="AH47" s="402">
        <v>1.61</v>
      </c>
      <c r="AI47" s="402">
        <v>1.21</v>
      </c>
      <c r="AJ47" s="402">
        <v>0.04</v>
      </c>
      <c r="AK47" s="402">
        <v>0.12</v>
      </c>
      <c r="AL47" s="402">
        <v>2.42</v>
      </c>
      <c r="AM47" s="402"/>
      <c r="AN47" s="350"/>
      <c r="AO47" s="205">
        <f t="shared" si="3"/>
        <v>9</v>
      </c>
      <c r="AP47">
        <v>2.6</v>
      </c>
    </row>
    <row r="48" ht="24" hidden="1" spans="1:42">
      <c r="A48" s="284" t="s">
        <v>221</v>
      </c>
      <c r="B48" s="284" t="s">
        <v>199</v>
      </c>
      <c r="C48" s="284" t="s">
        <v>244</v>
      </c>
      <c r="D48" s="284" t="s">
        <v>213</v>
      </c>
      <c r="E48" s="402">
        <f t="shared" si="7"/>
        <v>51.83</v>
      </c>
      <c r="F48" s="402">
        <f t="shared" si="8"/>
        <v>0</v>
      </c>
      <c r="G48" s="402">
        <f t="shared" si="9"/>
        <v>0</v>
      </c>
      <c r="H48" s="402"/>
      <c r="I48" s="402"/>
      <c r="J48" s="402"/>
      <c r="K48" s="402"/>
      <c r="L48" s="402"/>
      <c r="M48" s="402">
        <f t="shared" si="10"/>
        <v>0</v>
      </c>
      <c r="N48" s="402"/>
      <c r="O48" s="402"/>
      <c r="P48" s="402"/>
      <c r="Q48" s="402">
        <f t="shared" si="11"/>
        <v>40.48</v>
      </c>
      <c r="R48" s="402">
        <f t="shared" si="12"/>
        <v>25.38</v>
      </c>
      <c r="S48" s="402">
        <v>15.62</v>
      </c>
      <c r="T48" s="402"/>
      <c r="U48" s="402">
        <v>6.83</v>
      </c>
      <c r="V48" s="402">
        <v>2.4</v>
      </c>
      <c r="W48" s="402"/>
      <c r="X48" s="402">
        <v>0.53</v>
      </c>
      <c r="Y48" s="402">
        <f t="shared" si="13"/>
        <v>15.1</v>
      </c>
      <c r="Z48" s="402">
        <v>4.1</v>
      </c>
      <c r="AA48" s="402"/>
      <c r="AB48" s="402"/>
      <c r="AC48" s="402"/>
      <c r="AD48" s="402"/>
      <c r="AE48" s="402">
        <v>11</v>
      </c>
      <c r="AF48" s="402">
        <f t="shared" si="14"/>
        <v>11.35</v>
      </c>
      <c r="AG48" s="402">
        <v>4.25</v>
      </c>
      <c r="AH48" s="402">
        <v>2.12</v>
      </c>
      <c r="AI48" s="402">
        <v>1.59</v>
      </c>
      <c r="AJ48" s="402">
        <v>0.05</v>
      </c>
      <c r="AK48" s="402">
        <v>0.16</v>
      </c>
      <c r="AL48" s="402">
        <v>3.18</v>
      </c>
      <c r="AM48" s="402"/>
      <c r="AN48" s="350"/>
      <c r="AO48" s="205">
        <f t="shared" si="3"/>
        <v>11</v>
      </c>
      <c r="AP48">
        <v>2.5417</v>
      </c>
    </row>
    <row r="49" ht="24" hidden="1" spans="1:42">
      <c r="A49" s="284" t="s">
        <v>221</v>
      </c>
      <c r="B49" s="284" t="s">
        <v>199</v>
      </c>
      <c r="C49" s="284" t="s">
        <v>245</v>
      </c>
      <c r="D49" s="284" t="s">
        <v>213</v>
      </c>
      <c r="E49" s="402">
        <f t="shared" si="7"/>
        <v>130.47</v>
      </c>
      <c r="F49" s="402">
        <f t="shared" si="8"/>
        <v>0</v>
      </c>
      <c r="G49" s="402">
        <f t="shared" si="9"/>
        <v>0</v>
      </c>
      <c r="H49" s="402"/>
      <c r="I49" s="402"/>
      <c r="J49" s="402"/>
      <c r="K49" s="402"/>
      <c r="L49" s="402"/>
      <c r="M49" s="402">
        <f t="shared" si="10"/>
        <v>0</v>
      </c>
      <c r="N49" s="402"/>
      <c r="O49" s="402"/>
      <c r="P49" s="402"/>
      <c r="Q49" s="402">
        <f t="shared" si="11"/>
        <v>102.02</v>
      </c>
      <c r="R49" s="402">
        <f t="shared" si="12"/>
        <v>62.44</v>
      </c>
      <c r="S49" s="402">
        <v>37.95</v>
      </c>
      <c r="T49" s="402">
        <v>0.31</v>
      </c>
      <c r="U49" s="402">
        <v>17.63</v>
      </c>
      <c r="V49" s="402">
        <v>6.24</v>
      </c>
      <c r="W49" s="402"/>
      <c r="X49" s="402">
        <v>0.31</v>
      </c>
      <c r="Y49" s="402">
        <f t="shared" si="13"/>
        <v>39.58</v>
      </c>
      <c r="Z49" s="402">
        <v>10.58</v>
      </c>
      <c r="AA49" s="402"/>
      <c r="AB49" s="402"/>
      <c r="AC49" s="402"/>
      <c r="AD49" s="402"/>
      <c r="AE49" s="402">
        <v>29</v>
      </c>
      <c r="AF49" s="402">
        <f t="shared" si="14"/>
        <v>28.45</v>
      </c>
      <c r="AG49" s="402">
        <v>10.63</v>
      </c>
      <c r="AH49" s="402">
        <v>5.32</v>
      </c>
      <c r="AI49" s="402">
        <v>3.99</v>
      </c>
      <c r="AJ49" s="402">
        <v>0.13</v>
      </c>
      <c r="AK49" s="402">
        <v>0.4</v>
      </c>
      <c r="AL49" s="402">
        <v>7.98</v>
      </c>
      <c r="AM49" s="402"/>
      <c r="AN49" s="350"/>
      <c r="AO49" s="205">
        <f t="shared" si="3"/>
        <v>29</v>
      </c>
      <c r="AP49">
        <v>6.5834</v>
      </c>
    </row>
    <row r="50" ht="24" hidden="1" spans="1:42">
      <c r="A50" s="284" t="s">
        <v>221</v>
      </c>
      <c r="B50" s="284" t="s">
        <v>196</v>
      </c>
      <c r="C50" s="284" t="s">
        <v>246</v>
      </c>
      <c r="D50" s="284" t="s">
        <v>207</v>
      </c>
      <c r="E50" s="402">
        <f t="shared" si="7"/>
        <v>210.35</v>
      </c>
      <c r="F50" s="402">
        <f t="shared" si="8"/>
        <v>167.64</v>
      </c>
      <c r="G50" s="402">
        <f t="shared" si="9"/>
        <v>110.46</v>
      </c>
      <c r="H50" s="402">
        <v>56.25</v>
      </c>
      <c r="I50" s="402">
        <v>41.79</v>
      </c>
      <c r="J50" s="402">
        <v>4.69</v>
      </c>
      <c r="K50" s="402">
        <v>7.2</v>
      </c>
      <c r="L50" s="402">
        <v>0.53</v>
      </c>
      <c r="M50" s="402">
        <f t="shared" si="10"/>
        <v>57.18</v>
      </c>
      <c r="N50" s="402">
        <v>14.18</v>
      </c>
      <c r="O50" s="402"/>
      <c r="P50" s="404">
        <v>43</v>
      </c>
      <c r="Q50" s="402">
        <f t="shared" si="11"/>
        <v>0</v>
      </c>
      <c r="R50" s="402">
        <f t="shared" si="12"/>
        <v>0</v>
      </c>
      <c r="S50" s="402"/>
      <c r="T50" s="402"/>
      <c r="U50" s="402"/>
      <c r="V50" s="402"/>
      <c r="W50" s="402"/>
      <c r="X50" s="402"/>
      <c r="Y50" s="402">
        <f t="shared" si="13"/>
        <v>0</v>
      </c>
      <c r="Z50" s="402"/>
      <c r="AA50" s="402"/>
      <c r="AB50" s="402"/>
      <c r="AC50" s="402"/>
      <c r="AD50" s="402"/>
      <c r="AE50" s="402"/>
      <c r="AF50" s="402">
        <f t="shared" si="14"/>
        <v>42.71</v>
      </c>
      <c r="AG50" s="402">
        <v>16.44</v>
      </c>
      <c r="AH50" s="402">
        <v>7.84</v>
      </c>
      <c r="AI50" s="402">
        <v>5.88</v>
      </c>
      <c r="AJ50" s="402">
        <v>0.2</v>
      </c>
      <c r="AK50" s="402">
        <v>0.59</v>
      </c>
      <c r="AL50" s="402">
        <v>11.76</v>
      </c>
      <c r="AM50" s="402"/>
      <c r="AN50" s="350"/>
      <c r="AO50" s="205">
        <f t="shared" si="3"/>
        <v>43</v>
      </c>
      <c r="AP50">
        <v>11.6946</v>
      </c>
    </row>
    <row r="51" ht="24" hidden="1" spans="1:42">
      <c r="A51" s="284" t="s">
        <v>221</v>
      </c>
      <c r="B51" s="284" t="s">
        <v>199</v>
      </c>
      <c r="C51" s="284" t="s">
        <v>247</v>
      </c>
      <c r="D51" s="284" t="s">
        <v>213</v>
      </c>
      <c r="E51" s="402">
        <f t="shared" si="7"/>
        <v>53.22</v>
      </c>
      <c r="F51" s="402">
        <f t="shared" si="8"/>
        <v>0</v>
      </c>
      <c r="G51" s="402">
        <f t="shared" si="9"/>
        <v>0</v>
      </c>
      <c r="H51" s="402"/>
      <c r="I51" s="402"/>
      <c r="J51" s="402"/>
      <c r="K51" s="402"/>
      <c r="L51" s="402"/>
      <c r="M51" s="402">
        <f t="shared" si="10"/>
        <v>0</v>
      </c>
      <c r="N51" s="402"/>
      <c r="O51" s="402"/>
      <c r="P51" s="402"/>
      <c r="Q51" s="402">
        <f t="shared" si="11"/>
        <v>42.04</v>
      </c>
      <c r="R51" s="402">
        <f t="shared" si="12"/>
        <v>23.66</v>
      </c>
      <c r="S51" s="402">
        <v>14.37</v>
      </c>
      <c r="T51" s="402">
        <v>0.07</v>
      </c>
      <c r="U51" s="402">
        <v>7.3</v>
      </c>
      <c r="V51" s="402">
        <v>1.92</v>
      </c>
      <c r="W51" s="402"/>
      <c r="X51" s="402"/>
      <c r="Y51" s="402">
        <f t="shared" si="13"/>
        <v>18.38</v>
      </c>
      <c r="Z51" s="402">
        <v>4.38</v>
      </c>
      <c r="AA51" s="402"/>
      <c r="AB51" s="402"/>
      <c r="AC51" s="402"/>
      <c r="AD51" s="402"/>
      <c r="AE51" s="402">
        <v>14</v>
      </c>
      <c r="AF51" s="402">
        <f t="shared" si="14"/>
        <v>11.18</v>
      </c>
      <c r="AG51" s="402">
        <v>4.18</v>
      </c>
      <c r="AH51" s="402">
        <v>2.09</v>
      </c>
      <c r="AI51" s="402">
        <v>1.57</v>
      </c>
      <c r="AJ51" s="402">
        <v>0.05</v>
      </c>
      <c r="AK51" s="402">
        <v>0.16</v>
      </c>
      <c r="AL51" s="402">
        <v>3.13</v>
      </c>
      <c r="AM51" s="402"/>
      <c r="AN51" s="350"/>
      <c r="AO51" s="205">
        <f t="shared" si="3"/>
        <v>14</v>
      </c>
      <c r="AP51">
        <v>2.0417</v>
      </c>
    </row>
    <row r="52" ht="24" hidden="1" spans="1:42">
      <c r="A52" s="284" t="s">
        <v>221</v>
      </c>
      <c r="B52" s="284" t="s">
        <v>199</v>
      </c>
      <c r="C52" s="284" t="s">
        <v>248</v>
      </c>
      <c r="D52" s="284" t="s">
        <v>213</v>
      </c>
      <c r="E52" s="402">
        <f t="shared" si="7"/>
        <v>41.04</v>
      </c>
      <c r="F52" s="402">
        <f t="shared" si="8"/>
        <v>0</v>
      </c>
      <c r="G52" s="402">
        <f t="shared" si="9"/>
        <v>0</v>
      </c>
      <c r="H52" s="402"/>
      <c r="I52" s="402"/>
      <c r="J52" s="402"/>
      <c r="K52" s="402"/>
      <c r="L52" s="402"/>
      <c r="M52" s="402">
        <f t="shared" si="10"/>
        <v>0</v>
      </c>
      <c r="N52" s="402"/>
      <c r="O52" s="402"/>
      <c r="P52" s="402"/>
      <c r="Q52" s="402">
        <f t="shared" si="11"/>
        <v>32.69</v>
      </c>
      <c r="R52" s="402">
        <f t="shared" si="12"/>
        <v>18.54</v>
      </c>
      <c r="S52" s="402">
        <v>11.11</v>
      </c>
      <c r="T52" s="402"/>
      <c r="U52" s="402">
        <v>5.25</v>
      </c>
      <c r="V52" s="402">
        <v>1.92</v>
      </c>
      <c r="W52" s="402"/>
      <c r="X52" s="402">
        <v>0.26</v>
      </c>
      <c r="Y52" s="402">
        <f t="shared" si="13"/>
        <v>14.15</v>
      </c>
      <c r="Z52" s="402">
        <v>3.15</v>
      </c>
      <c r="AA52" s="402"/>
      <c r="AB52" s="402"/>
      <c r="AC52" s="402"/>
      <c r="AD52" s="402"/>
      <c r="AE52" s="402">
        <v>11</v>
      </c>
      <c r="AF52" s="402">
        <f t="shared" si="14"/>
        <v>8.35</v>
      </c>
      <c r="AG52" s="402">
        <v>3.12</v>
      </c>
      <c r="AH52" s="402">
        <v>1.56</v>
      </c>
      <c r="AI52" s="402">
        <v>1.17</v>
      </c>
      <c r="AJ52" s="402">
        <v>0.04</v>
      </c>
      <c r="AK52" s="402">
        <v>0.12</v>
      </c>
      <c r="AL52" s="402">
        <v>2.34</v>
      </c>
      <c r="AM52" s="402"/>
      <c r="AN52" s="350"/>
      <c r="AO52" s="205">
        <f t="shared" si="3"/>
        <v>11</v>
      </c>
      <c r="AP52">
        <v>2</v>
      </c>
    </row>
    <row r="53" ht="24" hidden="1" spans="1:42">
      <c r="A53" s="284" t="s">
        <v>221</v>
      </c>
      <c r="B53" s="284" t="s">
        <v>199</v>
      </c>
      <c r="C53" s="284" t="s">
        <v>249</v>
      </c>
      <c r="D53" s="284" t="s">
        <v>213</v>
      </c>
      <c r="E53" s="402">
        <f t="shared" si="7"/>
        <v>156.71</v>
      </c>
      <c r="F53" s="402">
        <f t="shared" si="8"/>
        <v>0</v>
      </c>
      <c r="G53" s="402">
        <f t="shared" si="9"/>
        <v>0</v>
      </c>
      <c r="H53" s="402"/>
      <c r="I53" s="402"/>
      <c r="J53" s="402"/>
      <c r="K53" s="402"/>
      <c r="L53" s="402"/>
      <c r="M53" s="402">
        <f t="shared" si="10"/>
        <v>0</v>
      </c>
      <c r="N53" s="402"/>
      <c r="O53" s="402"/>
      <c r="P53" s="402"/>
      <c r="Q53" s="402">
        <f t="shared" si="11"/>
        <v>124.13</v>
      </c>
      <c r="R53" s="402">
        <f t="shared" si="12"/>
        <v>71.16</v>
      </c>
      <c r="S53" s="402">
        <v>43.95</v>
      </c>
      <c r="T53" s="402">
        <v>0.24</v>
      </c>
      <c r="U53" s="402">
        <v>19.94</v>
      </c>
      <c r="V53" s="402">
        <v>6.72</v>
      </c>
      <c r="W53" s="402"/>
      <c r="X53" s="402">
        <v>0.31</v>
      </c>
      <c r="Y53" s="402">
        <f t="shared" si="13"/>
        <v>52.97</v>
      </c>
      <c r="Z53" s="402">
        <v>11.97</v>
      </c>
      <c r="AA53" s="402"/>
      <c r="AB53" s="402"/>
      <c r="AC53" s="402"/>
      <c r="AD53" s="402"/>
      <c r="AE53" s="402">
        <v>41</v>
      </c>
      <c r="AF53" s="402">
        <f t="shared" si="14"/>
        <v>32.58</v>
      </c>
      <c r="AG53" s="402">
        <v>12.18</v>
      </c>
      <c r="AH53" s="402">
        <v>6.09</v>
      </c>
      <c r="AI53" s="402">
        <v>4.57</v>
      </c>
      <c r="AJ53" s="402">
        <v>0.15</v>
      </c>
      <c r="AK53" s="402">
        <v>0.46</v>
      </c>
      <c r="AL53" s="402">
        <v>9.13</v>
      </c>
      <c r="AM53" s="402"/>
      <c r="AN53" s="350"/>
      <c r="AO53" s="205">
        <f t="shared" si="3"/>
        <v>41</v>
      </c>
      <c r="AP53">
        <v>7.9751</v>
      </c>
    </row>
    <row r="54" ht="24" hidden="1" spans="1:42">
      <c r="A54" s="284" t="s">
        <v>221</v>
      </c>
      <c r="B54" s="284" t="s">
        <v>196</v>
      </c>
      <c r="C54" s="284" t="s">
        <v>250</v>
      </c>
      <c r="D54" s="284" t="s">
        <v>207</v>
      </c>
      <c r="E54" s="402">
        <f t="shared" si="7"/>
        <v>206.728348</v>
      </c>
      <c r="F54" s="402">
        <f t="shared" si="8"/>
        <v>162.088348</v>
      </c>
      <c r="G54" s="402">
        <f t="shared" si="9"/>
        <v>115.58</v>
      </c>
      <c r="H54" s="402">
        <v>58.76</v>
      </c>
      <c r="I54" s="402">
        <v>43.71</v>
      </c>
      <c r="J54" s="402">
        <v>4.9</v>
      </c>
      <c r="K54" s="402">
        <v>7.68</v>
      </c>
      <c r="L54" s="402">
        <v>0.53</v>
      </c>
      <c r="M54" s="402">
        <f t="shared" si="10"/>
        <v>46.508348</v>
      </c>
      <c r="N54" s="402">
        <v>8.508348</v>
      </c>
      <c r="O54" s="402"/>
      <c r="P54" s="404">
        <v>38</v>
      </c>
      <c r="Q54" s="402">
        <f t="shared" si="11"/>
        <v>0</v>
      </c>
      <c r="R54" s="402">
        <f t="shared" si="12"/>
        <v>0</v>
      </c>
      <c r="S54" s="402"/>
      <c r="T54" s="402"/>
      <c r="U54" s="402"/>
      <c r="V54" s="402"/>
      <c r="W54" s="402"/>
      <c r="X54" s="402"/>
      <c r="Y54" s="402">
        <f t="shared" si="13"/>
        <v>0</v>
      </c>
      <c r="Z54" s="402"/>
      <c r="AA54" s="402"/>
      <c r="AB54" s="402"/>
      <c r="AC54" s="402"/>
      <c r="AD54" s="402"/>
      <c r="AE54" s="402"/>
      <c r="AF54" s="402">
        <f t="shared" si="14"/>
        <v>44.64</v>
      </c>
      <c r="AG54" s="402">
        <v>17.18</v>
      </c>
      <c r="AH54" s="402">
        <v>8.2</v>
      </c>
      <c r="AI54" s="402">
        <v>6.15</v>
      </c>
      <c r="AJ54" s="402">
        <v>0.2</v>
      </c>
      <c r="AK54" s="402">
        <v>0.61</v>
      </c>
      <c r="AL54" s="402">
        <v>12.3</v>
      </c>
      <c r="AM54" s="402"/>
      <c r="AN54" s="350"/>
      <c r="AO54" s="205">
        <f t="shared" si="3"/>
        <v>38</v>
      </c>
      <c r="AP54">
        <v>12.1774</v>
      </c>
    </row>
    <row r="55" ht="24" hidden="1" spans="1:42">
      <c r="A55" s="284" t="s">
        <v>221</v>
      </c>
      <c r="B55" s="284" t="s">
        <v>199</v>
      </c>
      <c r="C55" s="284" t="s">
        <v>251</v>
      </c>
      <c r="D55" s="284" t="s">
        <v>213</v>
      </c>
      <c r="E55" s="402">
        <f t="shared" si="7"/>
        <v>60.94</v>
      </c>
      <c r="F55" s="402">
        <f t="shared" si="8"/>
        <v>0</v>
      </c>
      <c r="G55" s="402">
        <f t="shared" si="9"/>
        <v>0</v>
      </c>
      <c r="H55" s="402"/>
      <c r="I55" s="402"/>
      <c r="J55" s="402"/>
      <c r="K55" s="402"/>
      <c r="L55" s="402"/>
      <c r="M55" s="402">
        <f t="shared" si="10"/>
        <v>0</v>
      </c>
      <c r="N55" s="402"/>
      <c r="O55" s="402"/>
      <c r="P55" s="402"/>
      <c r="Q55" s="402">
        <f t="shared" si="11"/>
        <v>47.73</v>
      </c>
      <c r="R55" s="402">
        <f t="shared" si="12"/>
        <v>28.94</v>
      </c>
      <c r="S55" s="402">
        <v>18.07</v>
      </c>
      <c r="T55" s="402"/>
      <c r="U55" s="402">
        <v>7.99</v>
      </c>
      <c r="V55" s="402">
        <v>2.88</v>
      </c>
      <c r="W55" s="402"/>
      <c r="X55" s="402"/>
      <c r="Y55" s="402">
        <f t="shared" si="13"/>
        <v>18.79</v>
      </c>
      <c r="Z55" s="402">
        <v>4.79</v>
      </c>
      <c r="AA55" s="402"/>
      <c r="AB55" s="402"/>
      <c r="AC55" s="402"/>
      <c r="AD55" s="402"/>
      <c r="AE55" s="402">
        <v>14</v>
      </c>
      <c r="AF55" s="402">
        <f t="shared" si="14"/>
        <v>13.21</v>
      </c>
      <c r="AG55" s="402">
        <v>4.94</v>
      </c>
      <c r="AH55" s="402">
        <v>2.47</v>
      </c>
      <c r="AI55" s="402">
        <v>1.85</v>
      </c>
      <c r="AJ55" s="402">
        <v>0.06</v>
      </c>
      <c r="AK55" s="402">
        <v>0.19</v>
      </c>
      <c r="AL55" s="402">
        <v>3.7</v>
      </c>
      <c r="AM55" s="402"/>
      <c r="AN55" s="350"/>
      <c r="AO55" s="205">
        <f t="shared" si="3"/>
        <v>14</v>
      </c>
      <c r="AP55">
        <v>3</v>
      </c>
    </row>
    <row r="56" ht="24" hidden="1" spans="1:42">
      <c r="A56" s="284" t="s">
        <v>221</v>
      </c>
      <c r="B56" s="284" t="s">
        <v>199</v>
      </c>
      <c r="C56" s="284" t="s">
        <v>252</v>
      </c>
      <c r="D56" s="284" t="s">
        <v>213</v>
      </c>
      <c r="E56" s="402">
        <f t="shared" si="7"/>
        <v>50.03</v>
      </c>
      <c r="F56" s="402">
        <f t="shared" si="8"/>
        <v>0</v>
      </c>
      <c r="G56" s="402">
        <f t="shared" si="9"/>
        <v>0</v>
      </c>
      <c r="H56" s="402"/>
      <c r="I56" s="402"/>
      <c r="J56" s="402"/>
      <c r="K56" s="402"/>
      <c r="L56" s="402"/>
      <c r="M56" s="402">
        <f t="shared" si="10"/>
        <v>0</v>
      </c>
      <c r="N56" s="402"/>
      <c r="O56" s="402"/>
      <c r="P56" s="402"/>
      <c r="Q56" s="402">
        <f t="shared" si="11"/>
        <v>39.13</v>
      </c>
      <c r="R56" s="402">
        <f t="shared" si="12"/>
        <v>24.16</v>
      </c>
      <c r="S56" s="402">
        <v>14.88</v>
      </c>
      <c r="T56" s="402"/>
      <c r="U56" s="402">
        <v>6.62</v>
      </c>
      <c r="V56" s="402">
        <v>2.4</v>
      </c>
      <c r="W56" s="402"/>
      <c r="X56" s="402">
        <v>0.26</v>
      </c>
      <c r="Y56" s="402">
        <f t="shared" si="13"/>
        <v>14.97</v>
      </c>
      <c r="Z56" s="402">
        <v>3.97</v>
      </c>
      <c r="AA56" s="402"/>
      <c r="AB56" s="402"/>
      <c r="AC56" s="402"/>
      <c r="AD56" s="402"/>
      <c r="AE56" s="402">
        <v>11</v>
      </c>
      <c r="AF56" s="402">
        <f t="shared" si="14"/>
        <v>10.9</v>
      </c>
      <c r="AG56" s="402">
        <v>4.07</v>
      </c>
      <c r="AH56" s="402">
        <v>2.04</v>
      </c>
      <c r="AI56" s="402">
        <v>1.53</v>
      </c>
      <c r="AJ56" s="402">
        <v>0.05</v>
      </c>
      <c r="AK56" s="402">
        <v>0.15</v>
      </c>
      <c r="AL56" s="402">
        <v>3.06</v>
      </c>
      <c r="AM56" s="402"/>
      <c r="AN56" s="350"/>
      <c r="AO56" s="205">
        <f t="shared" si="3"/>
        <v>11</v>
      </c>
      <c r="AP56">
        <v>2.625</v>
      </c>
    </row>
    <row r="57" ht="24" hidden="1" spans="1:42">
      <c r="A57" s="284" t="s">
        <v>221</v>
      </c>
      <c r="B57" s="284" t="s">
        <v>199</v>
      </c>
      <c r="C57" s="284" t="s">
        <v>253</v>
      </c>
      <c r="D57" s="284" t="s">
        <v>213</v>
      </c>
      <c r="E57" s="402">
        <f t="shared" si="7"/>
        <v>176.66</v>
      </c>
      <c r="F57" s="402">
        <f t="shared" si="8"/>
        <v>0</v>
      </c>
      <c r="G57" s="402">
        <f t="shared" si="9"/>
        <v>0</v>
      </c>
      <c r="H57" s="402"/>
      <c r="I57" s="402"/>
      <c r="J57" s="402"/>
      <c r="K57" s="402"/>
      <c r="L57" s="402"/>
      <c r="M57" s="402">
        <f t="shared" si="10"/>
        <v>0</v>
      </c>
      <c r="N57" s="402"/>
      <c r="O57" s="402"/>
      <c r="P57" s="402"/>
      <c r="Q57" s="402">
        <f t="shared" si="11"/>
        <v>137.57</v>
      </c>
      <c r="R57" s="402">
        <f t="shared" si="12"/>
        <v>85.92</v>
      </c>
      <c r="S57" s="402">
        <v>54.53</v>
      </c>
      <c r="T57" s="402">
        <v>0.38</v>
      </c>
      <c r="U57" s="402">
        <v>22.75</v>
      </c>
      <c r="V57" s="402">
        <v>7.68</v>
      </c>
      <c r="W57" s="402"/>
      <c r="X57" s="402">
        <v>0.58</v>
      </c>
      <c r="Y57" s="402">
        <f t="shared" si="13"/>
        <v>51.65</v>
      </c>
      <c r="Z57" s="402">
        <v>13.65</v>
      </c>
      <c r="AA57" s="402"/>
      <c r="AB57" s="402"/>
      <c r="AC57" s="402"/>
      <c r="AD57" s="402"/>
      <c r="AE57" s="402">
        <v>38</v>
      </c>
      <c r="AF57" s="402">
        <f t="shared" si="14"/>
        <v>39.09</v>
      </c>
      <c r="AG57" s="402">
        <v>14.61</v>
      </c>
      <c r="AH57" s="402">
        <v>7.31</v>
      </c>
      <c r="AI57" s="402">
        <v>5.48</v>
      </c>
      <c r="AJ57" s="402">
        <v>0.18</v>
      </c>
      <c r="AK57" s="402">
        <v>0.55</v>
      </c>
      <c r="AL57" s="402">
        <v>10.96</v>
      </c>
      <c r="AM57" s="402"/>
      <c r="AN57" s="350"/>
      <c r="AO57" s="205">
        <f t="shared" si="3"/>
        <v>38</v>
      </c>
      <c r="AP57">
        <v>8.6251</v>
      </c>
    </row>
    <row r="58" ht="24" hidden="1" spans="1:42">
      <c r="A58" s="284" t="s">
        <v>221</v>
      </c>
      <c r="B58" s="284" t="s">
        <v>196</v>
      </c>
      <c r="C58" s="284" t="s">
        <v>254</v>
      </c>
      <c r="D58" s="284" t="s">
        <v>207</v>
      </c>
      <c r="E58" s="402">
        <f t="shared" si="7"/>
        <v>475.62</v>
      </c>
      <c r="F58" s="402">
        <f t="shared" si="8"/>
        <v>372.19</v>
      </c>
      <c r="G58" s="402">
        <f t="shared" si="9"/>
        <v>266.5</v>
      </c>
      <c r="H58" s="402">
        <v>138.96</v>
      </c>
      <c r="I58" s="402">
        <v>107.56</v>
      </c>
      <c r="J58" s="402">
        <v>10.79</v>
      </c>
      <c r="K58" s="402">
        <v>8.4</v>
      </c>
      <c r="L58" s="402">
        <v>0.79</v>
      </c>
      <c r="M58" s="402">
        <f t="shared" si="10"/>
        <v>105.69</v>
      </c>
      <c r="N58" s="402">
        <v>22.69</v>
      </c>
      <c r="O58" s="402"/>
      <c r="P58" s="404">
        <v>83</v>
      </c>
      <c r="Q58" s="402">
        <f t="shared" si="11"/>
        <v>0</v>
      </c>
      <c r="R58" s="402">
        <f t="shared" si="12"/>
        <v>0</v>
      </c>
      <c r="S58" s="402"/>
      <c r="T58" s="402"/>
      <c r="U58" s="402"/>
      <c r="V58" s="402"/>
      <c r="W58" s="402"/>
      <c r="X58" s="402"/>
      <c r="Y58" s="402">
        <f t="shared" si="13"/>
        <v>0</v>
      </c>
      <c r="Z58" s="402"/>
      <c r="AA58" s="402"/>
      <c r="AB58" s="402"/>
      <c r="AC58" s="402"/>
      <c r="AD58" s="402"/>
      <c r="AE58" s="402"/>
      <c r="AF58" s="402">
        <f t="shared" si="14"/>
        <v>103.43</v>
      </c>
      <c r="AG58" s="402">
        <v>39.74</v>
      </c>
      <c r="AH58" s="402">
        <v>19.01</v>
      </c>
      <c r="AI58" s="402">
        <v>14.26</v>
      </c>
      <c r="AJ58" s="402">
        <v>0.48</v>
      </c>
      <c r="AK58" s="402">
        <v>1.43</v>
      </c>
      <c r="AL58" s="402">
        <v>28.51</v>
      </c>
      <c r="AM58" s="402"/>
      <c r="AN58" s="350"/>
      <c r="AO58" s="205">
        <f t="shared" si="3"/>
        <v>83</v>
      </c>
      <c r="AP58">
        <v>30.0754</v>
      </c>
    </row>
    <row r="59" ht="24" hidden="1" spans="1:42">
      <c r="A59" s="284" t="s">
        <v>221</v>
      </c>
      <c r="B59" s="284" t="s">
        <v>199</v>
      </c>
      <c r="C59" s="284" t="s">
        <v>255</v>
      </c>
      <c r="D59" s="284" t="s">
        <v>213</v>
      </c>
      <c r="E59" s="402">
        <f t="shared" si="7"/>
        <v>103</v>
      </c>
      <c r="F59" s="402">
        <f t="shared" si="8"/>
        <v>0</v>
      </c>
      <c r="G59" s="402">
        <f t="shared" si="9"/>
        <v>0</v>
      </c>
      <c r="H59" s="402"/>
      <c r="I59" s="402"/>
      <c r="J59" s="402"/>
      <c r="K59" s="402"/>
      <c r="L59" s="402"/>
      <c r="M59" s="402">
        <f t="shared" si="10"/>
        <v>0</v>
      </c>
      <c r="N59" s="402"/>
      <c r="O59" s="402"/>
      <c r="P59" s="402"/>
      <c r="Q59" s="402">
        <f t="shared" si="11"/>
        <v>79.74</v>
      </c>
      <c r="R59" s="402">
        <f t="shared" si="12"/>
        <v>48.82</v>
      </c>
      <c r="S59" s="402">
        <v>33.22</v>
      </c>
      <c r="T59" s="402"/>
      <c r="U59" s="402">
        <v>13.2</v>
      </c>
      <c r="V59" s="402">
        <v>2.4</v>
      </c>
      <c r="W59" s="402"/>
      <c r="X59" s="402"/>
      <c r="Y59" s="402">
        <f t="shared" si="13"/>
        <v>30.92</v>
      </c>
      <c r="Z59" s="402">
        <v>7.92</v>
      </c>
      <c r="AA59" s="402"/>
      <c r="AB59" s="402"/>
      <c r="AC59" s="402"/>
      <c r="AD59" s="402"/>
      <c r="AE59" s="402">
        <v>23</v>
      </c>
      <c r="AF59" s="402">
        <f t="shared" si="14"/>
        <v>23.26</v>
      </c>
      <c r="AG59" s="402">
        <v>8.69</v>
      </c>
      <c r="AH59" s="402">
        <v>4.35</v>
      </c>
      <c r="AI59" s="402">
        <v>3.26</v>
      </c>
      <c r="AJ59" s="402">
        <v>0.11</v>
      </c>
      <c r="AK59" s="402">
        <v>0.33</v>
      </c>
      <c r="AL59" s="402">
        <v>6.52</v>
      </c>
      <c r="AM59" s="402"/>
      <c r="AN59" s="350"/>
      <c r="AO59" s="205">
        <f t="shared" si="3"/>
        <v>23</v>
      </c>
      <c r="AP59">
        <v>5.0417</v>
      </c>
    </row>
    <row r="60" ht="24" hidden="1" spans="1:42">
      <c r="A60" s="284" t="s">
        <v>221</v>
      </c>
      <c r="B60" s="284" t="s">
        <v>199</v>
      </c>
      <c r="C60" s="284" t="s">
        <v>256</v>
      </c>
      <c r="D60" s="284" t="s">
        <v>213</v>
      </c>
      <c r="E60" s="402">
        <f t="shared" si="7"/>
        <v>102.29</v>
      </c>
      <c r="F60" s="402">
        <f t="shared" si="8"/>
        <v>0</v>
      </c>
      <c r="G60" s="402">
        <f t="shared" si="9"/>
        <v>0</v>
      </c>
      <c r="H60" s="402"/>
      <c r="I60" s="402"/>
      <c r="J60" s="402"/>
      <c r="K60" s="402"/>
      <c r="L60" s="402"/>
      <c r="M60" s="402">
        <f t="shared" si="10"/>
        <v>0</v>
      </c>
      <c r="N60" s="402"/>
      <c r="O60" s="402"/>
      <c r="P60" s="402"/>
      <c r="Q60" s="402">
        <f t="shared" si="11"/>
        <v>79.25</v>
      </c>
      <c r="R60" s="402">
        <f t="shared" si="12"/>
        <v>48.44</v>
      </c>
      <c r="S60" s="402">
        <v>32.83</v>
      </c>
      <c r="T60" s="402"/>
      <c r="U60" s="402">
        <v>13.19</v>
      </c>
      <c r="V60" s="402">
        <v>2.16</v>
      </c>
      <c r="W60" s="402"/>
      <c r="X60" s="402">
        <v>0.26</v>
      </c>
      <c r="Y60" s="402">
        <f t="shared" si="13"/>
        <v>30.81</v>
      </c>
      <c r="Z60" s="402">
        <v>7.81</v>
      </c>
      <c r="AA60" s="402"/>
      <c r="AB60" s="402"/>
      <c r="AC60" s="402"/>
      <c r="AD60" s="402"/>
      <c r="AE60" s="402">
        <v>23</v>
      </c>
      <c r="AF60" s="402">
        <f t="shared" si="14"/>
        <v>23.04</v>
      </c>
      <c r="AG60" s="402">
        <v>8.61</v>
      </c>
      <c r="AH60" s="402">
        <v>4.31</v>
      </c>
      <c r="AI60" s="402">
        <v>3.23</v>
      </c>
      <c r="AJ60" s="402">
        <v>0.11</v>
      </c>
      <c r="AK60" s="402">
        <v>0.32</v>
      </c>
      <c r="AL60" s="402">
        <v>6.46</v>
      </c>
      <c r="AM60" s="402"/>
      <c r="AN60" s="350"/>
      <c r="AO60" s="205">
        <f t="shared" si="3"/>
        <v>23</v>
      </c>
      <c r="AP60">
        <v>5.0417</v>
      </c>
    </row>
    <row r="61" ht="24" hidden="1" spans="1:42">
      <c r="A61" s="284" t="s">
        <v>221</v>
      </c>
      <c r="B61" s="284" t="s">
        <v>199</v>
      </c>
      <c r="C61" s="284" t="s">
        <v>257</v>
      </c>
      <c r="D61" s="284" t="s">
        <v>213</v>
      </c>
      <c r="E61" s="402">
        <f t="shared" si="7"/>
        <v>296.88</v>
      </c>
      <c r="F61" s="402">
        <f t="shared" si="8"/>
        <v>0</v>
      </c>
      <c r="G61" s="402">
        <f t="shared" si="9"/>
        <v>0</v>
      </c>
      <c r="H61" s="402"/>
      <c r="I61" s="402"/>
      <c r="J61" s="402"/>
      <c r="K61" s="402"/>
      <c r="L61" s="402"/>
      <c r="M61" s="402">
        <f t="shared" si="10"/>
        <v>0</v>
      </c>
      <c r="N61" s="402"/>
      <c r="O61" s="402"/>
      <c r="P61" s="402"/>
      <c r="Q61" s="402">
        <f t="shared" si="11"/>
        <v>227.11</v>
      </c>
      <c r="R61" s="402">
        <f t="shared" si="12"/>
        <v>149.09</v>
      </c>
      <c r="S61" s="402">
        <v>104.29</v>
      </c>
      <c r="T61" s="402"/>
      <c r="U61" s="402">
        <v>36.7</v>
      </c>
      <c r="V61" s="402">
        <v>5.76</v>
      </c>
      <c r="W61" s="402"/>
      <c r="X61" s="402">
        <v>2.34</v>
      </c>
      <c r="Y61" s="402">
        <f t="shared" si="13"/>
        <v>78.02</v>
      </c>
      <c r="Z61" s="402">
        <v>22.02</v>
      </c>
      <c r="AA61" s="402"/>
      <c r="AB61" s="402"/>
      <c r="AC61" s="402"/>
      <c r="AD61" s="402"/>
      <c r="AE61" s="402">
        <v>56</v>
      </c>
      <c r="AF61" s="402">
        <f t="shared" si="14"/>
        <v>69.77</v>
      </c>
      <c r="AG61" s="402">
        <v>26.08</v>
      </c>
      <c r="AH61" s="402">
        <v>13.04</v>
      </c>
      <c r="AI61" s="402">
        <v>9.78</v>
      </c>
      <c r="AJ61" s="402">
        <v>0.33</v>
      </c>
      <c r="AK61" s="402">
        <v>0.98</v>
      </c>
      <c r="AL61" s="402">
        <v>19.56</v>
      </c>
      <c r="AM61" s="402"/>
      <c r="AN61" s="350"/>
      <c r="AO61" s="205">
        <f t="shared" si="3"/>
        <v>56</v>
      </c>
      <c r="AP61">
        <v>11.5834</v>
      </c>
    </row>
    <row r="62" ht="24" hidden="1" spans="1:42">
      <c r="A62" s="284" t="s">
        <v>221</v>
      </c>
      <c r="B62" s="284" t="s">
        <v>196</v>
      </c>
      <c r="C62" s="284" t="s">
        <v>258</v>
      </c>
      <c r="D62" s="284" t="s">
        <v>207</v>
      </c>
      <c r="E62" s="402">
        <f t="shared" si="7"/>
        <v>208.29</v>
      </c>
      <c r="F62" s="402">
        <f t="shared" si="8"/>
        <v>160.37</v>
      </c>
      <c r="G62" s="402">
        <f t="shared" si="9"/>
        <v>121.28</v>
      </c>
      <c r="H62" s="402">
        <v>62.85</v>
      </c>
      <c r="I62" s="402">
        <v>47.17</v>
      </c>
      <c r="J62" s="402">
        <v>5.24</v>
      </c>
      <c r="K62" s="402">
        <v>5.76</v>
      </c>
      <c r="L62" s="402">
        <v>0.26</v>
      </c>
      <c r="M62" s="402">
        <f t="shared" si="10"/>
        <v>39.09</v>
      </c>
      <c r="N62" s="402">
        <v>7.09</v>
      </c>
      <c r="O62" s="402"/>
      <c r="P62" s="404">
        <v>32</v>
      </c>
      <c r="Q62" s="402">
        <f t="shared" si="11"/>
        <v>0</v>
      </c>
      <c r="R62" s="402">
        <f t="shared" si="12"/>
        <v>0</v>
      </c>
      <c r="S62" s="402"/>
      <c r="T62" s="402"/>
      <c r="U62" s="402"/>
      <c r="V62" s="402"/>
      <c r="W62" s="402"/>
      <c r="X62" s="402"/>
      <c r="Y62" s="402">
        <f t="shared" si="13"/>
        <v>0</v>
      </c>
      <c r="Z62" s="402"/>
      <c r="AA62" s="402"/>
      <c r="AB62" s="402"/>
      <c r="AC62" s="402"/>
      <c r="AD62" s="402"/>
      <c r="AE62" s="402"/>
      <c r="AF62" s="402">
        <f t="shared" si="14"/>
        <v>47.92</v>
      </c>
      <c r="AG62" s="402">
        <v>18.44</v>
      </c>
      <c r="AH62" s="402">
        <v>8.8</v>
      </c>
      <c r="AI62" s="402">
        <v>6.6</v>
      </c>
      <c r="AJ62" s="402">
        <v>0.22</v>
      </c>
      <c r="AK62" s="402">
        <v>0.66</v>
      </c>
      <c r="AL62" s="402">
        <v>13.2</v>
      </c>
      <c r="AM62" s="402"/>
      <c r="AN62" s="350"/>
      <c r="AO62" s="205">
        <f t="shared" si="3"/>
        <v>32</v>
      </c>
      <c r="AP62">
        <v>16.7626</v>
      </c>
    </row>
    <row r="63" ht="24" hidden="1" spans="1:42">
      <c r="A63" s="284" t="s">
        <v>221</v>
      </c>
      <c r="B63" s="284" t="s">
        <v>199</v>
      </c>
      <c r="C63" s="284" t="s">
        <v>259</v>
      </c>
      <c r="D63" s="284" t="s">
        <v>213</v>
      </c>
      <c r="E63" s="402">
        <f t="shared" si="7"/>
        <v>73.03</v>
      </c>
      <c r="F63" s="402">
        <f t="shared" si="8"/>
        <v>0</v>
      </c>
      <c r="G63" s="402">
        <f t="shared" si="9"/>
        <v>0</v>
      </c>
      <c r="H63" s="402"/>
      <c r="I63" s="402"/>
      <c r="J63" s="402"/>
      <c r="K63" s="402"/>
      <c r="L63" s="402"/>
      <c r="M63" s="402">
        <f t="shared" si="10"/>
        <v>0</v>
      </c>
      <c r="N63" s="402"/>
      <c r="O63" s="402"/>
      <c r="P63" s="402"/>
      <c r="Q63" s="402">
        <f t="shared" si="11"/>
        <v>55.88</v>
      </c>
      <c r="R63" s="402">
        <f t="shared" si="12"/>
        <v>35.56</v>
      </c>
      <c r="S63" s="402">
        <v>22.68</v>
      </c>
      <c r="T63" s="402">
        <v>0.55</v>
      </c>
      <c r="U63" s="402">
        <v>10.53</v>
      </c>
      <c r="V63" s="402">
        <v>1.8</v>
      </c>
      <c r="W63" s="402"/>
      <c r="X63" s="402"/>
      <c r="Y63" s="402">
        <f t="shared" si="13"/>
        <v>20.32</v>
      </c>
      <c r="Z63" s="402">
        <v>6.32</v>
      </c>
      <c r="AA63" s="402"/>
      <c r="AB63" s="402"/>
      <c r="AC63" s="402"/>
      <c r="AD63" s="402"/>
      <c r="AE63" s="402">
        <v>14</v>
      </c>
      <c r="AF63" s="402">
        <f t="shared" si="14"/>
        <v>17.15</v>
      </c>
      <c r="AG63" s="402">
        <v>6.41</v>
      </c>
      <c r="AH63" s="402">
        <v>3.21</v>
      </c>
      <c r="AI63" s="402">
        <v>2.4</v>
      </c>
      <c r="AJ63" s="402">
        <v>0.08</v>
      </c>
      <c r="AK63" s="402">
        <v>0.24</v>
      </c>
      <c r="AL63" s="402">
        <v>4.81</v>
      </c>
      <c r="AM63" s="402"/>
      <c r="AN63" s="350"/>
      <c r="AO63" s="205">
        <f t="shared" si="3"/>
        <v>14</v>
      </c>
      <c r="AP63">
        <v>3.5417</v>
      </c>
    </row>
    <row r="64" ht="24" hidden="1" spans="1:42">
      <c r="A64" s="284" t="s">
        <v>221</v>
      </c>
      <c r="B64" s="284" t="s">
        <v>199</v>
      </c>
      <c r="C64" s="284" t="s">
        <v>260</v>
      </c>
      <c r="D64" s="284" t="s">
        <v>213</v>
      </c>
      <c r="E64" s="402">
        <f t="shared" si="7"/>
        <v>70.48</v>
      </c>
      <c r="F64" s="402">
        <f t="shared" si="8"/>
        <v>0</v>
      </c>
      <c r="G64" s="402">
        <f t="shared" si="9"/>
        <v>0</v>
      </c>
      <c r="H64" s="402"/>
      <c r="I64" s="402"/>
      <c r="J64" s="402"/>
      <c r="K64" s="402"/>
      <c r="L64" s="402"/>
      <c r="M64" s="402">
        <f t="shared" si="10"/>
        <v>0</v>
      </c>
      <c r="N64" s="402"/>
      <c r="O64" s="402"/>
      <c r="P64" s="402"/>
      <c r="Q64" s="402">
        <f t="shared" si="11"/>
        <v>54</v>
      </c>
      <c r="R64" s="402">
        <f t="shared" si="12"/>
        <v>35.21</v>
      </c>
      <c r="S64" s="402">
        <v>23.04</v>
      </c>
      <c r="T64" s="402"/>
      <c r="U64" s="402">
        <v>9.65</v>
      </c>
      <c r="V64" s="402">
        <v>2.52</v>
      </c>
      <c r="W64" s="402"/>
      <c r="X64" s="402"/>
      <c r="Y64" s="402">
        <f t="shared" si="13"/>
        <v>18.79</v>
      </c>
      <c r="Z64" s="402">
        <v>5.79</v>
      </c>
      <c r="AA64" s="402"/>
      <c r="AB64" s="402"/>
      <c r="AC64" s="402"/>
      <c r="AD64" s="402"/>
      <c r="AE64" s="402">
        <v>13</v>
      </c>
      <c r="AF64" s="402">
        <f t="shared" si="14"/>
        <v>16.48</v>
      </c>
      <c r="AG64" s="402">
        <v>6.16</v>
      </c>
      <c r="AH64" s="402">
        <v>3.08</v>
      </c>
      <c r="AI64" s="402">
        <v>2.31</v>
      </c>
      <c r="AJ64" s="402">
        <v>0.08</v>
      </c>
      <c r="AK64" s="402">
        <v>0.23</v>
      </c>
      <c r="AL64" s="402">
        <v>4.62</v>
      </c>
      <c r="AM64" s="402"/>
      <c r="AN64" s="350"/>
      <c r="AO64" s="205">
        <f t="shared" si="3"/>
        <v>13</v>
      </c>
      <c r="AP64">
        <v>3.625</v>
      </c>
    </row>
    <row r="65" ht="24" hidden="1" spans="1:42">
      <c r="A65" s="284" t="s">
        <v>221</v>
      </c>
      <c r="B65" s="284" t="s">
        <v>199</v>
      </c>
      <c r="C65" s="284" t="s">
        <v>261</v>
      </c>
      <c r="D65" s="284" t="s">
        <v>213</v>
      </c>
      <c r="E65" s="402">
        <f t="shared" si="7"/>
        <v>156.38</v>
      </c>
      <c r="F65" s="402">
        <f t="shared" si="8"/>
        <v>0</v>
      </c>
      <c r="G65" s="402">
        <f t="shared" si="9"/>
        <v>0</v>
      </c>
      <c r="H65" s="402"/>
      <c r="I65" s="402"/>
      <c r="J65" s="402"/>
      <c r="K65" s="402"/>
      <c r="L65" s="402"/>
      <c r="M65" s="402">
        <f t="shared" si="10"/>
        <v>0</v>
      </c>
      <c r="N65" s="402"/>
      <c r="O65" s="402"/>
      <c r="P65" s="402"/>
      <c r="Q65" s="402">
        <f t="shared" si="11"/>
        <v>119.5</v>
      </c>
      <c r="R65" s="402">
        <f t="shared" si="12"/>
        <v>79.74</v>
      </c>
      <c r="S65" s="402">
        <v>51.68</v>
      </c>
      <c r="T65" s="402">
        <v>0.46</v>
      </c>
      <c r="U65" s="402">
        <v>21.26</v>
      </c>
      <c r="V65" s="402">
        <v>5.4</v>
      </c>
      <c r="W65" s="402"/>
      <c r="X65" s="402">
        <v>0.94</v>
      </c>
      <c r="Y65" s="402">
        <f t="shared" si="13"/>
        <v>39.76</v>
      </c>
      <c r="Z65" s="402">
        <v>12.76</v>
      </c>
      <c r="AA65" s="402"/>
      <c r="AB65" s="402"/>
      <c r="AC65" s="402"/>
      <c r="AD65" s="402"/>
      <c r="AE65" s="402">
        <v>27</v>
      </c>
      <c r="AF65" s="402">
        <f t="shared" si="14"/>
        <v>36.88</v>
      </c>
      <c r="AG65" s="402">
        <v>13.79</v>
      </c>
      <c r="AH65" s="402">
        <v>6.89</v>
      </c>
      <c r="AI65" s="402">
        <v>5.17</v>
      </c>
      <c r="AJ65" s="402">
        <v>0.17</v>
      </c>
      <c r="AK65" s="402">
        <v>0.52</v>
      </c>
      <c r="AL65" s="402">
        <v>10.34</v>
      </c>
      <c r="AM65" s="402"/>
      <c r="AN65" s="350"/>
      <c r="AO65" s="205">
        <f t="shared" si="3"/>
        <v>27</v>
      </c>
      <c r="AP65">
        <v>7.7084</v>
      </c>
    </row>
    <row r="66" ht="24" hidden="1" spans="1:42">
      <c r="A66" s="284" t="s">
        <v>221</v>
      </c>
      <c r="B66" s="284" t="s">
        <v>196</v>
      </c>
      <c r="C66" s="284" t="s">
        <v>262</v>
      </c>
      <c r="D66" s="284" t="s">
        <v>207</v>
      </c>
      <c r="E66" s="402">
        <f t="shared" si="7"/>
        <v>366.16</v>
      </c>
      <c r="F66" s="402">
        <f t="shared" si="8"/>
        <v>286.44</v>
      </c>
      <c r="G66" s="402">
        <f t="shared" si="9"/>
        <v>198.75</v>
      </c>
      <c r="H66" s="402">
        <v>105.74</v>
      </c>
      <c r="I66" s="402">
        <v>77.22</v>
      </c>
      <c r="J66" s="402">
        <v>8.81</v>
      </c>
      <c r="K66" s="402">
        <v>6.72</v>
      </c>
      <c r="L66" s="402">
        <v>0.26</v>
      </c>
      <c r="M66" s="402">
        <f t="shared" si="10"/>
        <v>87.69</v>
      </c>
      <c r="N66" s="402">
        <v>22.69</v>
      </c>
      <c r="O66" s="402"/>
      <c r="P66" s="404">
        <v>65</v>
      </c>
      <c r="Q66" s="402">
        <f t="shared" si="11"/>
        <v>0</v>
      </c>
      <c r="R66" s="402">
        <f t="shared" si="12"/>
        <v>0</v>
      </c>
      <c r="S66" s="402"/>
      <c r="T66" s="402"/>
      <c r="U66" s="402"/>
      <c r="V66" s="402"/>
      <c r="W66" s="402"/>
      <c r="X66" s="402"/>
      <c r="Y66" s="402">
        <f t="shared" si="13"/>
        <v>0</v>
      </c>
      <c r="Z66" s="402"/>
      <c r="AA66" s="402"/>
      <c r="AB66" s="402"/>
      <c r="AC66" s="402"/>
      <c r="AD66" s="402"/>
      <c r="AE66" s="402"/>
      <c r="AF66" s="402">
        <f t="shared" si="14"/>
        <v>79.72</v>
      </c>
      <c r="AG66" s="402">
        <v>30.68</v>
      </c>
      <c r="AH66" s="402">
        <v>14.64</v>
      </c>
      <c r="AI66" s="402">
        <v>10.98</v>
      </c>
      <c r="AJ66" s="402">
        <v>0.37</v>
      </c>
      <c r="AK66" s="402">
        <v>1.1</v>
      </c>
      <c r="AL66" s="402">
        <v>21.95</v>
      </c>
      <c r="AM66" s="402"/>
      <c r="AN66" s="350"/>
      <c r="AO66" s="205">
        <f t="shared" si="3"/>
        <v>65</v>
      </c>
      <c r="AP66">
        <v>27.8844</v>
      </c>
    </row>
    <row r="67" ht="24" hidden="1" spans="1:42">
      <c r="A67" s="284" t="s">
        <v>221</v>
      </c>
      <c r="B67" s="284" t="s">
        <v>199</v>
      </c>
      <c r="C67" s="284" t="s">
        <v>263</v>
      </c>
      <c r="D67" s="284" t="s">
        <v>213</v>
      </c>
      <c r="E67" s="402">
        <f t="shared" si="7"/>
        <v>81.72</v>
      </c>
      <c r="F67" s="402">
        <f t="shared" si="8"/>
        <v>0</v>
      </c>
      <c r="G67" s="402">
        <f t="shared" si="9"/>
        <v>0</v>
      </c>
      <c r="H67" s="402"/>
      <c r="I67" s="402"/>
      <c r="J67" s="402"/>
      <c r="K67" s="402"/>
      <c r="L67" s="402"/>
      <c r="M67" s="402">
        <f t="shared" si="10"/>
        <v>0</v>
      </c>
      <c r="N67" s="402"/>
      <c r="O67" s="402"/>
      <c r="P67" s="402"/>
      <c r="Q67" s="402">
        <f t="shared" si="11"/>
        <v>63.12</v>
      </c>
      <c r="R67" s="402">
        <f t="shared" si="12"/>
        <v>38.54</v>
      </c>
      <c r="S67" s="402">
        <v>25.89</v>
      </c>
      <c r="T67" s="402"/>
      <c r="U67" s="402">
        <v>10.97</v>
      </c>
      <c r="V67" s="402">
        <v>1.68</v>
      </c>
      <c r="W67" s="402"/>
      <c r="X67" s="402"/>
      <c r="Y67" s="402">
        <f t="shared" si="13"/>
        <v>24.58</v>
      </c>
      <c r="Z67" s="402">
        <v>6.58</v>
      </c>
      <c r="AA67" s="402"/>
      <c r="AB67" s="402"/>
      <c r="AC67" s="402"/>
      <c r="AD67" s="402"/>
      <c r="AE67" s="402">
        <v>18</v>
      </c>
      <c r="AF67" s="402">
        <f t="shared" si="14"/>
        <v>18.6</v>
      </c>
      <c r="AG67" s="402">
        <v>6.95</v>
      </c>
      <c r="AH67" s="402">
        <v>3.48</v>
      </c>
      <c r="AI67" s="402">
        <v>2.61</v>
      </c>
      <c r="AJ67" s="402">
        <v>0.09</v>
      </c>
      <c r="AK67" s="402">
        <v>0.26</v>
      </c>
      <c r="AL67" s="402">
        <v>5.21</v>
      </c>
      <c r="AM67" s="402"/>
      <c r="AN67" s="350"/>
      <c r="AO67" s="205">
        <f t="shared" si="3"/>
        <v>18</v>
      </c>
      <c r="AP67">
        <v>4</v>
      </c>
    </row>
    <row r="68" ht="24" hidden="1" spans="1:42">
      <c r="A68" s="284" t="s">
        <v>221</v>
      </c>
      <c r="B68" s="284" t="s">
        <v>199</v>
      </c>
      <c r="C68" s="284" t="s">
        <v>264</v>
      </c>
      <c r="D68" s="284" t="s">
        <v>213</v>
      </c>
      <c r="E68" s="402">
        <f t="shared" si="7"/>
        <v>110.75</v>
      </c>
      <c r="F68" s="402">
        <f t="shared" si="8"/>
        <v>0</v>
      </c>
      <c r="G68" s="402">
        <f t="shared" si="9"/>
        <v>0</v>
      </c>
      <c r="H68" s="402"/>
      <c r="I68" s="402"/>
      <c r="J68" s="402"/>
      <c r="K68" s="402"/>
      <c r="L68" s="402"/>
      <c r="M68" s="402">
        <f t="shared" si="10"/>
        <v>0</v>
      </c>
      <c r="N68" s="402"/>
      <c r="O68" s="402"/>
      <c r="P68" s="402"/>
      <c r="Q68" s="402">
        <f t="shared" si="11"/>
        <v>85.84</v>
      </c>
      <c r="R68" s="402">
        <f t="shared" si="12"/>
        <v>52.26</v>
      </c>
      <c r="S68" s="402">
        <v>35.32</v>
      </c>
      <c r="T68" s="402"/>
      <c r="U68" s="402">
        <v>14.3</v>
      </c>
      <c r="V68" s="402">
        <v>2.64</v>
      </c>
      <c r="W68" s="402"/>
      <c r="X68" s="402"/>
      <c r="Y68" s="402">
        <f t="shared" si="13"/>
        <v>33.58</v>
      </c>
      <c r="Z68" s="402">
        <v>8.58</v>
      </c>
      <c r="AA68" s="402"/>
      <c r="AB68" s="402"/>
      <c r="AC68" s="402"/>
      <c r="AD68" s="402"/>
      <c r="AE68" s="402">
        <v>25</v>
      </c>
      <c r="AF68" s="402">
        <f t="shared" si="14"/>
        <v>24.91</v>
      </c>
      <c r="AG68" s="402">
        <v>9.31</v>
      </c>
      <c r="AH68" s="402">
        <v>4.66</v>
      </c>
      <c r="AI68" s="402">
        <v>3.49</v>
      </c>
      <c r="AJ68" s="402">
        <v>0.12</v>
      </c>
      <c r="AK68" s="402">
        <v>0.35</v>
      </c>
      <c r="AL68" s="402">
        <v>6.98</v>
      </c>
      <c r="AM68" s="402"/>
      <c r="AN68" s="350"/>
      <c r="AO68" s="205">
        <f t="shared" si="3"/>
        <v>25</v>
      </c>
      <c r="AP68">
        <v>5.125</v>
      </c>
    </row>
    <row r="69" ht="24" hidden="1" spans="1:42">
      <c r="A69" s="284" t="s">
        <v>221</v>
      </c>
      <c r="B69" s="284" t="s">
        <v>199</v>
      </c>
      <c r="C69" s="284" t="s">
        <v>265</v>
      </c>
      <c r="D69" s="284" t="s">
        <v>213</v>
      </c>
      <c r="E69" s="402">
        <f t="shared" si="7"/>
        <v>260.8</v>
      </c>
      <c r="F69" s="402">
        <f t="shared" si="8"/>
        <v>0</v>
      </c>
      <c r="G69" s="402">
        <f t="shared" si="9"/>
        <v>0</v>
      </c>
      <c r="H69" s="402"/>
      <c r="I69" s="402"/>
      <c r="J69" s="402"/>
      <c r="K69" s="402"/>
      <c r="L69" s="402"/>
      <c r="M69" s="402">
        <f t="shared" si="10"/>
        <v>0</v>
      </c>
      <c r="N69" s="402"/>
      <c r="O69" s="402"/>
      <c r="P69" s="402"/>
      <c r="Q69" s="402">
        <f t="shared" si="11"/>
        <v>200.92</v>
      </c>
      <c r="R69" s="402">
        <f t="shared" si="12"/>
        <v>126.11</v>
      </c>
      <c r="S69" s="402">
        <v>83.61</v>
      </c>
      <c r="T69" s="402">
        <v>0.81</v>
      </c>
      <c r="U69" s="402">
        <v>34.68</v>
      </c>
      <c r="V69" s="402">
        <v>5.76</v>
      </c>
      <c r="W69" s="402"/>
      <c r="X69" s="402">
        <v>1.25</v>
      </c>
      <c r="Y69" s="402">
        <f t="shared" si="13"/>
        <v>74.81</v>
      </c>
      <c r="Z69" s="402">
        <v>20.81</v>
      </c>
      <c r="AA69" s="402"/>
      <c r="AB69" s="402"/>
      <c r="AC69" s="402"/>
      <c r="AD69" s="402"/>
      <c r="AE69" s="402">
        <v>54</v>
      </c>
      <c r="AF69" s="402">
        <f t="shared" si="14"/>
        <v>59.88</v>
      </c>
      <c r="AG69" s="402">
        <v>22.39</v>
      </c>
      <c r="AH69" s="402">
        <v>11.19</v>
      </c>
      <c r="AI69" s="402">
        <v>8.39</v>
      </c>
      <c r="AJ69" s="402">
        <v>0.28</v>
      </c>
      <c r="AK69" s="402">
        <v>0.84</v>
      </c>
      <c r="AL69" s="402">
        <v>16.79</v>
      </c>
      <c r="AM69" s="402"/>
      <c r="AN69" s="350"/>
      <c r="AO69" s="205">
        <f t="shared" si="3"/>
        <v>54</v>
      </c>
      <c r="AP69">
        <v>12.0001</v>
      </c>
    </row>
    <row r="70" ht="24" hidden="1" spans="1:42">
      <c r="A70" s="284" t="s">
        <v>221</v>
      </c>
      <c r="B70" s="284" t="s">
        <v>196</v>
      </c>
      <c r="C70" s="284" t="s">
        <v>266</v>
      </c>
      <c r="D70" s="284" t="s">
        <v>207</v>
      </c>
      <c r="E70" s="402">
        <f t="shared" si="7"/>
        <v>309.24</v>
      </c>
      <c r="F70" s="402">
        <f t="shared" si="8"/>
        <v>238.72</v>
      </c>
      <c r="G70" s="402">
        <f t="shared" si="9"/>
        <v>180.21</v>
      </c>
      <c r="H70" s="402">
        <v>92.32</v>
      </c>
      <c r="I70" s="402">
        <v>69.59</v>
      </c>
      <c r="J70" s="402">
        <v>7.69</v>
      </c>
      <c r="K70" s="402">
        <v>10.08</v>
      </c>
      <c r="L70" s="402">
        <v>0.53</v>
      </c>
      <c r="M70" s="402">
        <f t="shared" si="10"/>
        <v>58.51</v>
      </c>
      <c r="N70" s="402">
        <v>8.51</v>
      </c>
      <c r="O70" s="402"/>
      <c r="P70" s="404">
        <v>50</v>
      </c>
      <c r="Q70" s="402">
        <f t="shared" si="11"/>
        <v>0</v>
      </c>
      <c r="R70" s="402">
        <f t="shared" si="12"/>
        <v>0</v>
      </c>
      <c r="S70" s="402"/>
      <c r="T70" s="402"/>
      <c r="U70" s="402"/>
      <c r="V70" s="402"/>
      <c r="W70" s="402"/>
      <c r="X70" s="402"/>
      <c r="Y70" s="402">
        <f t="shared" si="13"/>
        <v>0</v>
      </c>
      <c r="Z70" s="402"/>
      <c r="AA70" s="402"/>
      <c r="AB70" s="402"/>
      <c r="AC70" s="402"/>
      <c r="AD70" s="402"/>
      <c r="AE70" s="402"/>
      <c r="AF70" s="402">
        <f t="shared" si="14"/>
        <v>70.52</v>
      </c>
      <c r="AG70" s="402">
        <v>27.14</v>
      </c>
      <c r="AH70" s="402">
        <v>12.95</v>
      </c>
      <c r="AI70" s="402">
        <v>9.71</v>
      </c>
      <c r="AJ70" s="402">
        <v>0.32</v>
      </c>
      <c r="AK70" s="402">
        <v>0.97</v>
      </c>
      <c r="AL70" s="402">
        <v>19.43</v>
      </c>
      <c r="AM70" s="402"/>
      <c r="AN70" s="350"/>
      <c r="AO70" s="205">
        <f t="shared" si="3"/>
        <v>50</v>
      </c>
      <c r="AP70">
        <v>20.4691</v>
      </c>
    </row>
    <row r="71" ht="24" hidden="1" spans="1:42">
      <c r="A71" s="284" t="s">
        <v>221</v>
      </c>
      <c r="B71" s="284" t="s">
        <v>199</v>
      </c>
      <c r="C71" s="284" t="s">
        <v>267</v>
      </c>
      <c r="D71" s="284" t="s">
        <v>213</v>
      </c>
      <c r="E71" s="402">
        <f t="shared" si="7"/>
        <v>61.99</v>
      </c>
      <c r="F71" s="402">
        <f t="shared" si="8"/>
        <v>0</v>
      </c>
      <c r="G71" s="402">
        <f t="shared" si="9"/>
        <v>0</v>
      </c>
      <c r="H71" s="402"/>
      <c r="I71" s="402"/>
      <c r="J71" s="402"/>
      <c r="K71" s="402"/>
      <c r="L71" s="402"/>
      <c r="M71" s="402">
        <f t="shared" si="10"/>
        <v>0</v>
      </c>
      <c r="N71" s="402"/>
      <c r="O71" s="402"/>
      <c r="P71" s="402"/>
      <c r="Q71" s="402">
        <f t="shared" si="11"/>
        <v>47.24</v>
      </c>
      <c r="R71" s="402">
        <f t="shared" si="12"/>
        <v>31.21</v>
      </c>
      <c r="S71" s="402">
        <v>21.03</v>
      </c>
      <c r="T71" s="402"/>
      <c r="U71" s="402">
        <v>8.38</v>
      </c>
      <c r="V71" s="402">
        <v>1.8</v>
      </c>
      <c r="W71" s="402"/>
      <c r="X71" s="402"/>
      <c r="Y71" s="402">
        <f t="shared" si="13"/>
        <v>16.03</v>
      </c>
      <c r="Z71" s="402">
        <v>5.03</v>
      </c>
      <c r="AA71" s="402"/>
      <c r="AB71" s="402"/>
      <c r="AC71" s="402"/>
      <c r="AD71" s="402"/>
      <c r="AE71" s="402">
        <v>11</v>
      </c>
      <c r="AF71" s="402">
        <f t="shared" si="14"/>
        <v>14.75</v>
      </c>
      <c r="AG71" s="402">
        <v>5.51</v>
      </c>
      <c r="AH71" s="402">
        <v>2.76</v>
      </c>
      <c r="AI71" s="402">
        <v>2.07</v>
      </c>
      <c r="AJ71" s="402">
        <v>0.07</v>
      </c>
      <c r="AK71" s="402">
        <v>0.21</v>
      </c>
      <c r="AL71" s="402">
        <v>4.13</v>
      </c>
      <c r="AM71" s="402"/>
      <c r="AN71" s="350"/>
      <c r="AO71" s="205">
        <f t="shared" si="3"/>
        <v>11</v>
      </c>
      <c r="AP71">
        <v>3.6417</v>
      </c>
    </row>
    <row r="72" ht="24" hidden="1" spans="1:42">
      <c r="A72" s="284" t="s">
        <v>221</v>
      </c>
      <c r="B72" s="284" t="s">
        <v>199</v>
      </c>
      <c r="C72" s="284" t="s">
        <v>268</v>
      </c>
      <c r="D72" s="284" t="s">
        <v>213</v>
      </c>
      <c r="E72" s="402">
        <f t="shared" si="7"/>
        <v>50.65</v>
      </c>
      <c r="F72" s="402">
        <f t="shared" si="8"/>
        <v>0</v>
      </c>
      <c r="G72" s="402">
        <f t="shared" si="9"/>
        <v>0</v>
      </c>
      <c r="H72" s="402"/>
      <c r="I72" s="402"/>
      <c r="J72" s="402"/>
      <c r="K72" s="402"/>
      <c r="L72" s="402"/>
      <c r="M72" s="402">
        <f t="shared" si="10"/>
        <v>0</v>
      </c>
      <c r="N72" s="402"/>
      <c r="O72" s="402"/>
      <c r="P72" s="402"/>
      <c r="Q72" s="402">
        <f t="shared" si="11"/>
        <v>39.31</v>
      </c>
      <c r="R72" s="402">
        <f t="shared" si="12"/>
        <v>24.31</v>
      </c>
      <c r="S72" s="402">
        <v>15.84</v>
      </c>
      <c r="T72" s="402"/>
      <c r="U72" s="402">
        <v>6.67</v>
      </c>
      <c r="V72" s="402">
        <v>1.8</v>
      </c>
      <c r="W72" s="402"/>
      <c r="X72" s="402"/>
      <c r="Y72" s="402">
        <f t="shared" si="13"/>
        <v>15</v>
      </c>
      <c r="Z72" s="402">
        <v>4</v>
      </c>
      <c r="AA72" s="402"/>
      <c r="AB72" s="402"/>
      <c r="AC72" s="402"/>
      <c r="AD72" s="402"/>
      <c r="AE72" s="402">
        <v>11</v>
      </c>
      <c r="AF72" s="402">
        <f t="shared" si="14"/>
        <v>11.34</v>
      </c>
      <c r="AG72" s="402">
        <v>4.24</v>
      </c>
      <c r="AH72" s="402">
        <v>2.12</v>
      </c>
      <c r="AI72" s="402">
        <v>1.59</v>
      </c>
      <c r="AJ72" s="402">
        <v>0.05</v>
      </c>
      <c r="AK72" s="402">
        <v>0.16</v>
      </c>
      <c r="AL72" s="402">
        <v>3.18</v>
      </c>
      <c r="AM72" s="402"/>
      <c r="AN72" s="350"/>
      <c r="AO72" s="205">
        <f t="shared" si="3"/>
        <v>11</v>
      </c>
      <c r="AP72">
        <v>2.5417</v>
      </c>
    </row>
    <row r="73" ht="24" hidden="1" spans="1:42">
      <c r="A73" s="284" t="s">
        <v>221</v>
      </c>
      <c r="B73" s="284" t="s">
        <v>199</v>
      </c>
      <c r="C73" s="284" t="s">
        <v>269</v>
      </c>
      <c r="D73" s="284" t="s">
        <v>213</v>
      </c>
      <c r="E73" s="402">
        <f t="shared" si="7"/>
        <v>217.42</v>
      </c>
      <c r="F73" s="402">
        <f t="shared" si="8"/>
        <v>0</v>
      </c>
      <c r="G73" s="402">
        <f t="shared" si="9"/>
        <v>0</v>
      </c>
      <c r="H73" s="402"/>
      <c r="I73" s="402"/>
      <c r="J73" s="402"/>
      <c r="K73" s="402"/>
      <c r="L73" s="402"/>
      <c r="M73" s="402">
        <f t="shared" si="10"/>
        <v>0</v>
      </c>
      <c r="N73" s="402"/>
      <c r="O73" s="402"/>
      <c r="P73" s="402"/>
      <c r="Q73" s="402">
        <f t="shared" si="11"/>
        <v>166.72</v>
      </c>
      <c r="R73" s="402">
        <f t="shared" si="12"/>
        <v>108.65</v>
      </c>
      <c r="S73" s="402">
        <v>70.28</v>
      </c>
      <c r="T73" s="402"/>
      <c r="U73" s="402">
        <v>30.11</v>
      </c>
      <c r="V73" s="402">
        <v>7.56</v>
      </c>
      <c r="W73" s="402"/>
      <c r="X73" s="402">
        <v>0.7</v>
      </c>
      <c r="Y73" s="402">
        <f t="shared" si="13"/>
        <v>58.07</v>
      </c>
      <c r="Z73" s="402">
        <v>18.07</v>
      </c>
      <c r="AA73" s="402"/>
      <c r="AB73" s="402"/>
      <c r="AC73" s="402"/>
      <c r="AD73" s="402"/>
      <c r="AE73" s="402">
        <v>40</v>
      </c>
      <c r="AF73" s="402">
        <f t="shared" si="14"/>
        <v>50.7</v>
      </c>
      <c r="AG73" s="402">
        <v>18.95</v>
      </c>
      <c r="AH73" s="402">
        <v>9.48</v>
      </c>
      <c r="AI73" s="402">
        <v>7.11</v>
      </c>
      <c r="AJ73" s="402">
        <v>0.24</v>
      </c>
      <c r="AK73" s="402">
        <v>0.71</v>
      </c>
      <c r="AL73" s="402">
        <v>14.21</v>
      </c>
      <c r="AM73" s="402"/>
      <c r="AN73" s="350"/>
      <c r="AO73" s="205">
        <f t="shared" ref="AO73:AO90" si="15">P73+AE73</f>
        <v>40</v>
      </c>
      <c r="AP73">
        <v>10.875</v>
      </c>
    </row>
    <row r="74" ht="24" hidden="1" spans="1:42">
      <c r="A74" s="284" t="s">
        <v>221</v>
      </c>
      <c r="B74" s="284" t="s">
        <v>196</v>
      </c>
      <c r="C74" s="284" t="s">
        <v>270</v>
      </c>
      <c r="D74" s="284" t="s">
        <v>207</v>
      </c>
      <c r="E74" s="402">
        <f t="shared" si="7"/>
        <v>333.5</v>
      </c>
      <c r="F74" s="402">
        <f t="shared" si="8"/>
        <v>264.15</v>
      </c>
      <c r="G74" s="402">
        <f t="shared" si="9"/>
        <v>176.81</v>
      </c>
      <c r="H74" s="402">
        <v>89.59</v>
      </c>
      <c r="I74" s="402">
        <v>69.62</v>
      </c>
      <c r="J74" s="402">
        <v>7.47</v>
      </c>
      <c r="K74" s="402">
        <v>9.6</v>
      </c>
      <c r="L74" s="402">
        <v>0.53</v>
      </c>
      <c r="M74" s="402">
        <f t="shared" si="10"/>
        <v>87.34</v>
      </c>
      <c r="N74" s="402">
        <v>11.34</v>
      </c>
      <c r="O74" s="402"/>
      <c r="P74" s="402">
        <v>76</v>
      </c>
      <c r="Q74" s="402">
        <f t="shared" si="11"/>
        <v>0</v>
      </c>
      <c r="R74" s="402">
        <f t="shared" si="12"/>
        <v>0</v>
      </c>
      <c r="S74" s="402"/>
      <c r="T74" s="402"/>
      <c r="U74" s="402"/>
      <c r="V74" s="402"/>
      <c r="W74" s="402"/>
      <c r="X74" s="402"/>
      <c r="Y74" s="402">
        <f t="shared" si="13"/>
        <v>0</v>
      </c>
      <c r="Z74" s="402"/>
      <c r="AA74" s="402"/>
      <c r="AB74" s="402"/>
      <c r="AC74" s="402"/>
      <c r="AD74" s="402"/>
      <c r="AE74" s="402"/>
      <c r="AF74" s="402">
        <f t="shared" si="14"/>
        <v>69.35</v>
      </c>
      <c r="AG74" s="402">
        <v>26.67</v>
      </c>
      <c r="AH74" s="402">
        <v>12.74</v>
      </c>
      <c r="AI74" s="402">
        <v>9.55</v>
      </c>
      <c r="AJ74" s="402">
        <v>0.32</v>
      </c>
      <c r="AK74" s="402">
        <v>0.96</v>
      </c>
      <c r="AL74" s="402">
        <v>19.11</v>
      </c>
      <c r="AM74" s="402"/>
      <c r="AN74" s="350"/>
      <c r="AO74" s="205">
        <f t="shared" si="15"/>
        <v>76</v>
      </c>
      <c r="AP74">
        <v>22.648</v>
      </c>
    </row>
    <row r="75" ht="24" hidden="1" spans="1:42">
      <c r="A75" s="284" t="s">
        <v>221</v>
      </c>
      <c r="B75" s="284" t="s">
        <v>199</v>
      </c>
      <c r="C75" s="284" t="s">
        <v>271</v>
      </c>
      <c r="D75" s="284" t="s">
        <v>213</v>
      </c>
      <c r="E75" s="402">
        <f t="shared" ref="E75:E90" si="16">F75+Q75+AF75</f>
        <v>49.04</v>
      </c>
      <c r="F75" s="402">
        <f t="shared" ref="F75:F90" si="17">G75+M75</f>
        <v>0</v>
      </c>
      <c r="G75" s="402">
        <f t="shared" ref="G75:G98" si="18">SUM(H75:L75)</f>
        <v>0</v>
      </c>
      <c r="H75" s="402"/>
      <c r="I75" s="402"/>
      <c r="J75" s="402"/>
      <c r="K75" s="402"/>
      <c r="L75" s="402"/>
      <c r="M75" s="402">
        <f t="shared" ref="M75:M90" si="19">SUM(N75:P75)</f>
        <v>0</v>
      </c>
      <c r="N75" s="402"/>
      <c r="O75" s="402"/>
      <c r="P75" s="404"/>
      <c r="Q75" s="402">
        <f t="shared" ref="Q75:Q90" si="20">R75+Y75</f>
        <v>39.08</v>
      </c>
      <c r="R75" s="402">
        <f t="shared" ref="R75:R90" si="21">SUM(S75:X75)</f>
        <v>21.48</v>
      </c>
      <c r="S75" s="402">
        <v>13.69</v>
      </c>
      <c r="T75" s="402"/>
      <c r="U75" s="402">
        <v>5.99</v>
      </c>
      <c r="V75" s="402">
        <v>1.8</v>
      </c>
      <c r="W75" s="402"/>
      <c r="X75" s="402"/>
      <c r="Y75" s="402">
        <f t="shared" ref="Y75:Y90" si="22">SUM(Z75:AE75)</f>
        <v>17.6</v>
      </c>
      <c r="Z75" s="402">
        <v>3.6</v>
      </c>
      <c r="AA75" s="402"/>
      <c r="AB75" s="402"/>
      <c r="AC75" s="402"/>
      <c r="AD75" s="402"/>
      <c r="AE75" s="402">
        <v>14</v>
      </c>
      <c r="AF75" s="402">
        <f t="shared" ref="AF75:AF90" si="23">SUM(AG75:AM75)</f>
        <v>9.96</v>
      </c>
      <c r="AG75" s="402">
        <v>3.72</v>
      </c>
      <c r="AH75" s="402">
        <v>1.86</v>
      </c>
      <c r="AI75" s="402">
        <v>1.4</v>
      </c>
      <c r="AJ75" s="402">
        <v>0.05</v>
      </c>
      <c r="AK75" s="402">
        <v>0.14</v>
      </c>
      <c r="AL75" s="402">
        <v>2.79</v>
      </c>
      <c r="AM75" s="402"/>
      <c r="AN75" s="350"/>
      <c r="AO75" s="205">
        <f t="shared" si="15"/>
        <v>14</v>
      </c>
      <c r="AP75">
        <v>2.875</v>
      </c>
    </row>
    <row r="76" ht="24" hidden="1" customHeight="1" spans="1:42">
      <c r="A76" s="284" t="s">
        <v>221</v>
      </c>
      <c r="B76" s="284" t="s">
        <v>199</v>
      </c>
      <c r="C76" s="284" t="s">
        <v>272</v>
      </c>
      <c r="D76" s="284" t="s">
        <v>213</v>
      </c>
      <c r="E76" s="402">
        <f t="shared" si="16"/>
        <v>90.99</v>
      </c>
      <c r="F76" s="402">
        <f t="shared" si="17"/>
        <v>0</v>
      </c>
      <c r="G76" s="402">
        <f t="shared" si="18"/>
        <v>0</v>
      </c>
      <c r="H76" s="402"/>
      <c r="I76" s="402"/>
      <c r="J76" s="402"/>
      <c r="K76" s="402"/>
      <c r="L76" s="402"/>
      <c r="M76" s="402">
        <f t="shared" si="19"/>
        <v>0</v>
      </c>
      <c r="N76" s="402"/>
      <c r="O76" s="402"/>
      <c r="P76" s="404"/>
      <c r="Q76" s="402">
        <f t="shared" si="20"/>
        <v>71.33</v>
      </c>
      <c r="R76" s="402">
        <f t="shared" si="21"/>
        <v>42.59</v>
      </c>
      <c r="S76" s="402">
        <v>27.94</v>
      </c>
      <c r="T76" s="402"/>
      <c r="U76" s="402">
        <v>11.24</v>
      </c>
      <c r="V76" s="402">
        <v>2.88</v>
      </c>
      <c r="W76" s="402"/>
      <c r="X76" s="402">
        <v>0.53</v>
      </c>
      <c r="Y76" s="402">
        <f t="shared" si="22"/>
        <v>28.74</v>
      </c>
      <c r="Z76" s="402">
        <v>6.74</v>
      </c>
      <c r="AA76" s="402"/>
      <c r="AB76" s="402"/>
      <c r="AC76" s="402"/>
      <c r="AD76" s="402"/>
      <c r="AE76" s="402">
        <v>22</v>
      </c>
      <c r="AF76" s="402">
        <f t="shared" si="23"/>
        <v>19.66</v>
      </c>
      <c r="AG76" s="402">
        <v>7.35</v>
      </c>
      <c r="AH76" s="402">
        <v>3.67</v>
      </c>
      <c r="AI76" s="402">
        <v>2.76</v>
      </c>
      <c r="AJ76" s="402">
        <v>0.09</v>
      </c>
      <c r="AK76" s="402">
        <v>0.28</v>
      </c>
      <c r="AL76" s="402">
        <v>5.51</v>
      </c>
      <c r="AM76" s="402"/>
      <c r="AN76" s="350"/>
      <c r="AO76" s="205">
        <f t="shared" si="15"/>
        <v>22</v>
      </c>
      <c r="AP76">
        <v>4</v>
      </c>
    </row>
    <row r="77" ht="24" hidden="1" customHeight="1" spans="1:42">
      <c r="A77" s="284" t="s">
        <v>221</v>
      </c>
      <c r="B77" s="284" t="s">
        <v>199</v>
      </c>
      <c r="C77" s="284" t="s">
        <v>273</v>
      </c>
      <c r="D77" s="284" t="s">
        <v>213</v>
      </c>
      <c r="E77" s="402">
        <f t="shared" si="16"/>
        <v>258.8</v>
      </c>
      <c r="F77" s="402">
        <f t="shared" si="17"/>
        <v>0</v>
      </c>
      <c r="G77" s="402">
        <f t="shared" si="18"/>
        <v>0</v>
      </c>
      <c r="H77" s="402"/>
      <c r="I77" s="402"/>
      <c r="J77" s="402"/>
      <c r="K77" s="402"/>
      <c r="L77" s="402"/>
      <c r="M77" s="402">
        <f t="shared" si="19"/>
        <v>0</v>
      </c>
      <c r="N77" s="402"/>
      <c r="O77" s="402"/>
      <c r="P77" s="404"/>
      <c r="Q77" s="402">
        <f t="shared" si="20"/>
        <v>202.26</v>
      </c>
      <c r="R77" s="402">
        <f t="shared" si="21"/>
        <v>120.7</v>
      </c>
      <c r="S77" s="402">
        <v>79.96</v>
      </c>
      <c r="T77" s="402"/>
      <c r="U77" s="402">
        <v>32.6</v>
      </c>
      <c r="V77" s="402">
        <v>7.2</v>
      </c>
      <c r="W77" s="402"/>
      <c r="X77" s="402">
        <v>0.94</v>
      </c>
      <c r="Y77" s="402">
        <f t="shared" si="22"/>
        <v>81.56</v>
      </c>
      <c r="Z77" s="402">
        <v>19.56</v>
      </c>
      <c r="AA77" s="402"/>
      <c r="AB77" s="402"/>
      <c r="AC77" s="402"/>
      <c r="AD77" s="402"/>
      <c r="AE77" s="404">
        <v>62</v>
      </c>
      <c r="AF77" s="402">
        <f t="shared" si="23"/>
        <v>56.54</v>
      </c>
      <c r="AG77" s="402">
        <v>21.14</v>
      </c>
      <c r="AH77" s="402">
        <v>10.57</v>
      </c>
      <c r="AI77" s="402">
        <v>7.93</v>
      </c>
      <c r="AJ77" s="402">
        <v>0.26</v>
      </c>
      <c r="AK77" s="402">
        <v>0.79</v>
      </c>
      <c r="AL77" s="402">
        <v>15.85</v>
      </c>
      <c r="AM77" s="402"/>
      <c r="AN77" s="350"/>
      <c r="AO77" s="205">
        <f t="shared" si="15"/>
        <v>62</v>
      </c>
      <c r="AP77">
        <v>11.1251</v>
      </c>
    </row>
    <row r="78" ht="24" hidden="1" spans="1:42">
      <c r="A78" s="284" t="s">
        <v>221</v>
      </c>
      <c r="B78" s="284" t="s">
        <v>196</v>
      </c>
      <c r="C78" s="284" t="s">
        <v>274</v>
      </c>
      <c r="D78" s="284" t="s">
        <v>207</v>
      </c>
      <c r="E78" s="402">
        <f t="shared" si="16"/>
        <v>237.93</v>
      </c>
      <c r="F78" s="402">
        <f t="shared" si="17"/>
        <v>181.51</v>
      </c>
      <c r="G78" s="402">
        <f t="shared" si="18"/>
        <v>143.51</v>
      </c>
      <c r="H78" s="402">
        <v>74.34</v>
      </c>
      <c r="I78" s="402">
        <v>55.15</v>
      </c>
      <c r="J78" s="402">
        <v>6.2</v>
      </c>
      <c r="K78" s="402">
        <v>7.56</v>
      </c>
      <c r="L78" s="402">
        <v>0.26</v>
      </c>
      <c r="M78" s="402">
        <f t="shared" si="19"/>
        <v>38</v>
      </c>
      <c r="N78" s="402"/>
      <c r="O78" s="402"/>
      <c r="P78" s="402">
        <v>38</v>
      </c>
      <c r="Q78" s="402">
        <f t="shared" si="20"/>
        <v>0</v>
      </c>
      <c r="R78" s="402">
        <f t="shared" si="21"/>
        <v>0</v>
      </c>
      <c r="S78" s="402"/>
      <c r="T78" s="402"/>
      <c r="U78" s="402"/>
      <c r="V78" s="402"/>
      <c r="W78" s="402"/>
      <c r="X78" s="402"/>
      <c r="Y78" s="402">
        <f t="shared" si="22"/>
        <v>0</v>
      </c>
      <c r="Z78" s="402"/>
      <c r="AA78" s="402"/>
      <c r="AB78" s="402"/>
      <c r="AC78" s="402"/>
      <c r="AD78" s="402"/>
      <c r="AE78" s="402"/>
      <c r="AF78" s="402">
        <f t="shared" si="23"/>
        <v>56.42</v>
      </c>
      <c r="AG78" s="402">
        <v>21.71</v>
      </c>
      <c r="AH78" s="402">
        <v>10.36</v>
      </c>
      <c r="AI78" s="402">
        <v>7.77</v>
      </c>
      <c r="AJ78" s="402">
        <v>0.26</v>
      </c>
      <c r="AK78" s="402">
        <v>0.78</v>
      </c>
      <c r="AL78" s="402">
        <v>15.54</v>
      </c>
      <c r="AM78" s="402"/>
      <c r="AN78" s="350"/>
      <c r="AO78" s="205">
        <f t="shared" si="15"/>
        <v>38</v>
      </c>
      <c r="AP78">
        <v>17.1336</v>
      </c>
    </row>
    <row r="79" ht="24" hidden="1" spans="1:42">
      <c r="A79" s="284" t="s">
        <v>221</v>
      </c>
      <c r="B79" s="284" t="s">
        <v>199</v>
      </c>
      <c r="C79" s="284" t="s">
        <v>275</v>
      </c>
      <c r="D79" s="284" t="s">
        <v>213</v>
      </c>
      <c r="E79" s="402">
        <f t="shared" si="16"/>
        <v>51.16</v>
      </c>
      <c r="F79" s="402">
        <f t="shared" si="17"/>
        <v>0</v>
      </c>
      <c r="G79" s="402">
        <f t="shared" si="18"/>
        <v>0</v>
      </c>
      <c r="H79" s="402"/>
      <c r="I79" s="402"/>
      <c r="J79" s="402"/>
      <c r="K79" s="402"/>
      <c r="L79" s="402"/>
      <c r="M79" s="402">
        <f t="shared" si="19"/>
        <v>0</v>
      </c>
      <c r="N79" s="402"/>
      <c r="O79" s="402"/>
      <c r="P79" s="402"/>
      <c r="Q79" s="402">
        <f t="shared" si="20"/>
        <v>39.06</v>
      </c>
      <c r="R79" s="402">
        <f t="shared" si="21"/>
        <v>25.96</v>
      </c>
      <c r="S79" s="402">
        <v>17.33</v>
      </c>
      <c r="T79" s="402"/>
      <c r="U79" s="402">
        <v>6.83</v>
      </c>
      <c r="V79" s="402">
        <v>1.8</v>
      </c>
      <c r="W79" s="402"/>
      <c r="X79" s="402"/>
      <c r="Y79" s="402">
        <f t="shared" si="22"/>
        <v>13.1</v>
      </c>
      <c r="Z79" s="402">
        <v>4.1</v>
      </c>
      <c r="AA79" s="402"/>
      <c r="AB79" s="402"/>
      <c r="AC79" s="402"/>
      <c r="AD79" s="402"/>
      <c r="AE79" s="402">
        <v>9</v>
      </c>
      <c r="AF79" s="402">
        <f t="shared" si="23"/>
        <v>12.1</v>
      </c>
      <c r="AG79" s="402">
        <v>4.52</v>
      </c>
      <c r="AH79" s="402">
        <v>2.26</v>
      </c>
      <c r="AI79" s="402">
        <v>1.7</v>
      </c>
      <c r="AJ79" s="402">
        <v>0.06</v>
      </c>
      <c r="AK79" s="402">
        <v>0.17</v>
      </c>
      <c r="AL79" s="402">
        <v>3.39</v>
      </c>
      <c r="AM79" s="402"/>
      <c r="AN79" s="350"/>
      <c r="AO79" s="205">
        <f t="shared" si="15"/>
        <v>9</v>
      </c>
      <c r="AP79">
        <v>2.5417</v>
      </c>
    </row>
    <row r="80" ht="24" hidden="1" spans="1:42">
      <c r="A80" s="284" t="s">
        <v>221</v>
      </c>
      <c r="B80" s="284" t="s">
        <v>199</v>
      </c>
      <c r="C80" s="284" t="s">
        <v>276</v>
      </c>
      <c r="D80" s="284" t="s">
        <v>213</v>
      </c>
      <c r="E80" s="402">
        <f t="shared" si="16"/>
        <v>45.73</v>
      </c>
      <c r="F80" s="402">
        <f t="shared" si="17"/>
        <v>0</v>
      </c>
      <c r="G80" s="402">
        <f t="shared" si="18"/>
        <v>0</v>
      </c>
      <c r="H80" s="402"/>
      <c r="I80" s="402"/>
      <c r="J80" s="402"/>
      <c r="K80" s="402"/>
      <c r="L80" s="402"/>
      <c r="M80" s="402">
        <f t="shared" si="19"/>
        <v>0</v>
      </c>
      <c r="N80" s="402"/>
      <c r="O80" s="402"/>
      <c r="P80" s="402"/>
      <c r="Q80" s="402">
        <f t="shared" si="20"/>
        <v>35.15</v>
      </c>
      <c r="R80" s="402">
        <f t="shared" si="21"/>
        <v>22.33</v>
      </c>
      <c r="S80" s="402">
        <v>14.52</v>
      </c>
      <c r="T80" s="402"/>
      <c r="U80" s="402">
        <v>6.37</v>
      </c>
      <c r="V80" s="402">
        <v>1.44</v>
      </c>
      <c r="W80" s="402"/>
      <c r="X80" s="402"/>
      <c r="Y80" s="402">
        <f t="shared" si="22"/>
        <v>12.82</v>
      </c>
      <c r="Z80" s="402">
        <v>3.82</v>
      </c>
      <c r="AA80" s="402"/>
      <c r="AB80" s="402"/>
      <c r="AC80" s="402"/>
      <c r="AD80" s="402"/>
      <c r="AE80" s="402">
        <v>9</v>
      </c>
      <c r="AF80" s="402">
        <f t="shared" si="23"/>
        <v>10.58</v>
      </c>
      <c r="AG80" s="402">
        <v>3.95</v>
      </c>
      <c r="AH80" s="402">
        <v>1.98</v>
      </c>
      <c r="AI80" s="402">
        <v>1.48</v>
      </c>
      <c r="AJ80" s="402">
        <v>0.05</v>
      </c>
      <c r="AK80" s="402">
        <v>0.15</v>
      </c>
      <c r="AL80" s="402">
        <v>2.97</v>
      </c>
      <c r="AM80" s="402"/>
      <c r="AN80" s="350"/>
      <c r="AO80" s="205">
        <f t="shared" si="15"/>
        <v>9</v>
      </c>
      <c r="AP80">
        <v>2.5417</v>
      </c>
    </row>
    <row r="81" ht="24" hidden="1" spans="1:42">
      <c r="A81" s="284" t="s">
        <v>221</v>
      </c>
      <c r="B81" s="284" t="s">
        <v>199</v>
      </c>
      <c r="C81" s="284" t="s">
        <v>277</v>
      </c>
      <c r="D81" s="284" t="s">
        <v>213</v>
      </c>
      <c r="E81" s="402">
        <f t="shared" si="16"/>
        <v>227.35</v>
      </c>
      <c r="F81" s="402">
        <f t="shared" si="17"/>
        <v>0</v>
      </c>
      <c r="G81" s="402">
        <f t="shared" si="18"/>
        <v>0</v>
      </c>
      <c r="H81" s="402"/>
      <c r="I81" s="402"/>
      <c r="J81" s="402"/>
      <c r="K81" s="402"/>
      <c r="L81" s="402"/>
      <c r="M81" s="402">
        <f t="shared" si="19"/>
        <v>0</v>
      </c>
      <c r="N81" s="402"/>
      <c r="O81" s="402"/>
      <c r="P81" s="402"/>
      <c r="Q81" s="402">
        <f t="shared" si="20"/>
        <v>174.13</v>
      </c>
      <c r="R81" s="402">
        <f t="shared" si="21"/>
        <v>114.32</v>
      </c>
      <c r="S81" s="402">
        <v>73.53</v>
      </c>
      <c r="T81" s="402">
        <v>0.62</v>
      </c>
      <c r="U81" s="402">
        <v>31.36</v>
      </c>
      <c r="V81" s="402">
        <v>7.56</v>
      </c>
      <c r="W81" s="402"/>
      <c r="X81" s="402">
        <v>1.25</v>
      </c>
      <c r="Y81" s="402">
        <f t="shared" si="22"/>
        <v>59.81</v>
      </c>
      <c r="Z81" s="402">
        <v>18.81</v>
      </c>
      <c r="AA81" s="402"/>
      <c r="AB81" s="402"/>
      <c r="AC81" s="402"/>
      <c r="AD81" s="402"/>
      <c r="AE81" s="402">
        <v>41</v>
      </c>
      <c r="AF81" s="402">
        <f t="shared" si="23"/>
        <v>53.22</v>
      </c>
      <c r="AG81" s="402">
        <v>19.89</v>
      </c>
      <c r="AH81" s="402">
        <v>9.95</v>
      </c>
      <c r="AI81" s="402">
        <v>7.46</v>
      </c>
      <c r="AJ81" s="402">
        <v>0.25</v>
      </c>
      <c r="AK81" s="402">
        <v>0.75</v>
      </c>
      <c r="AL81" s="402">
        <v>14.92</v>
      </c>
      <c r="AM81" s="402"/>
      <c r="AN81" s="350"/>
      <c r="AO81" s="205">
        <f t="shared" si="15"/>
        <v>41</v>
      </c>
      <c r="AP81">
        <v>10.875</v>
      </c>
    </row>
    <row r="82" ht="24" hidden="1" spans="1:42">
      <c r="A82" s="284" t="s">
        <v>221</v>
      </c>
      <c r="B82" s="284" t="s">
        <v>196</v>
      </c>
      <c r="C82" s="284" t="s">
        <v>278</v>
      </c>
      <c r="D82" s="284" t="s">
        <v>207</v>
      </c>
      <c r="E82" s="402">
        <f t="shared" si="16"/>
        <v>262.58</v>
      </c>
      <c r="F82" s="402">
        <f t="shared" si="17"/>
        <v>204.63</v>
      </c>
      <c r="G82" s="402">
        <f t="shared" si="18"/>
        <v>147.54</v>
      </c>
      <c r="H82" s="402">
        <v>76.13</v>
      </c>
      <c r="I82" s="402">
        <v>56.89</v>
      </c>
      <c r="J82" s="402">
        <v>6.34</v>
      </c>
      <c r="K82" s="402">
        <v>7.92</v>
      </c>
      <c r="L82" s="402">
        <v>0.26</v>
      </c>
      <c r="M82" s="402">
        <f t="shared" si="19"/>
        <v>57.09</v>
      </c>
      <c r="N82" s="402">
        <v>7.09</v>
      </c>
      <c r="O82" s="402"/>
      <c r="P82" s="402">
        <v>50</v>
      </c>
      <c r="Q82" s="402">
        <f t="shared" si="20"/>
        <v>0</v>
      </c>
      <c r="R82" s="402">
        <f t="shared" si="21"/>
        <v>0</v>
      </c>
      <c r="S82" s="402"/>
      <c r="T82" s="402"/>
      <c r="U82" s="402"/>
      <c r="V82" s="402"/>
      <c r="W82" s="402"/>
      <c r="X82" s="402"/>
      <c r="Y82" s="402">
        <f t="shared" si="22"/>
        <v>0</v>
      </c>
      <c r="Z82" s="402"/>
      <c r="AA82" s="402"/>
      <c r="AB82" s="402"/>
      <c r="AC82" s="402"/>
      <c r="AD82" s="402"/>
      <c r="AE82" s="402"/>
      <c r="AF82" s="402">
        <f t="shared" si="23"/>
        <v>57.95</v>
      </c>
      <c r="AG82" s="402">
        <v>22.3</v>
      </c>
      <c r="AH82" s="402">
        <v>10.64</v>
      </c>
      <c r="AI82" s="402">
        <v>7.98</v>
      </c>
      <c r="AJ82" s="402">
        <v>0.27</v>
      </c>
      <c r="AK82" s="402">
        <v>0.8</v>
      </c>
      <c r="AL82" s="402">
        <v>15.96</v>
      </c>
      <c r="AM82" s="402"/>
      <c r="AN82" s="350"/>
      <c r="AO82" s="205">
        <f t="shared" si="15"/>
        <v>50</v>
      </c>
      <c r="AP82">
        <v>17.2628</v>
      </c>
    </row>
    <row r="83" ht="24" hidden="1" spans="1:42">
      <c r="A83" s="284" t="s">
        <v>221</v>
      </c>
      <c r="B83" s="284" t="s">
        <v>199</v>
      </c>
      <c r="C83" s="284" t="s">
        <v>279</v>
      </c>
      <c r="D83" s="284" t="s">
        <v>213</v>
      </c>
      <c r="E83" s="402">
        <f t="shared" si="16"/>
        <v>63.88</v>
      </c>
      <c r="F83" s="402">
        <f t="shared" si="17"/>
        <v>0</v>
      </c>
      <c r="G83" s="402">
        <f t="shared" si="18"/>
        <v>0</v>
      </c>
      <c r="H83" s="402"/>
      <c r="I83" s="402"/>
      <c r="J83" s="402"/>
      <c r="K83" s="402"/>
      <c r="L83" s="402"/>
      <c r="M83" s="402">
        <f t="shared" si="19"/>
        <v>0</v>
      </c>
      <c r="N83" s="402"/>
      <c r="O83" s="402"/>
      <c r="P83" s="402"/>
      <c r="Q83" s="402">
        <f t="shared" si="20"/>
        <v>49.47</v>
      </c>
      <c r="R83" s="402">
        <f t="shared" si="21"/>
        <v>30.53</v>
      </c>
      <c r="S83" s="402">
        <v>20.5</v>
      </c>
      <c r="T83" s="402"/>
      <c r="U83" s="402">
        <v>8.23</v>
      </c>
      <c r="V83" s="402">
        <v>1.8</v>
      </c>
      <c r="W83" s="402"/>
      <c r="X83" s="402"/>
      <c r="Y83" s="402">
        <f t="shared" si="22"/>
        <v>18.94</v>
      </c>
      <c r="Z83" s="402">
        <v>4.94</v>
      </c>
      <c r="AA83" s="402"/>
      <c r="AB83" s="402"/>
      <c r="AC83" s="402"/>
      <c r="AD83" s="402"/>
      <c r="AE83" s="404">
        <v>14</v>
      </c>
      <c r="AF83" s="402">
        <f t="shared" si="23"/>
        <v>14.41</v>
      </c>
      <c r="AG83" s="402">
        <v>5.39</v>
      </c>
      <c r="AH83" s="402">
        <v>2.69</v>
      </c>
      <c r="AI83" s="402">
        <v>2.02</v>
      </c>
      <c r="AJ83" s="402">
        <v>0.07</v>
      </c>
      <c r="AK83" s="402">
        <v>0.2</v>
      </c>
      <c r="AL83" s="402">
        <v>4.04</v>
      </c>
      <c r="AM83" s="402"/>
      <c r="AN83" s="350"/>
      <c r="AO83" s="205">
        <f t="shared" si="15"/>
        <v>14</v>
      </c>
      <c r="AP83">
        <v>2.5834</v>
      </c>
    </row>
    <row r="84" ht="24" hidden="1" spans="1:42">
      <c r="A84" s="284" t="s">
        <v>221</v>
      </c>
      <c r="B84" s="284" t="s">
        <v>199</v>
      </c>
      <c r="C84" s="284" t="s">
        <v>280</v>
      </c>
      <c r="D84" s="284" t="s">
        <v>213</v>
      </c>
      <c r="E84" s="402">
        <f t="shared" si="16"/>
        <v>46.91</v>
      </c>
      <c r="F84" s="402">
        <f t="shared" si="17"/>
        <v>0</v>
      </c>
      <c r="G84" s="402">
        <f t="shared" si="18"/>
        <v>0</v>
      </c>
      <c r="H84" s="402"/>
      <c r="I84" s="402"/>
      <c r="J84" s="402"/>
      <c r="K84" s="402"/>
      <c r="L84" s="402"/>
      <c r="M84" s="402">
        <f t="shared" si="19"/>
        <v>0</v>
      </c>
      <c r="N84" s="402"/>
      <c r="O84" s="402"/>
      <c r="P84" s="402"/>
      <c r="Q84" s="402">
        <f t="shared" si="20"/>
        <v>36.69</v>
      </c>
      <c r="R84" s="402">
        <f t="shared" si="21"/>
        <v>21.88</v>
      </c>
      <c r="S84" s="402">
        <v>13.73</v>
      </c>
      <c r="T84" s="402"/>
      <c r="U84" s="402">
        <v>6.35</v>
      </c>
      <c r="V84" s="402">
        <v>1.8</v>
      </c>
      <c r="W84" s="402"/>
      <c r="X84" s="402"/>
      <c r="Y84" s="402">
        <f t="shared" si="22"/>
        <v>14.81</v>
      </c>
      <c r="Z84" s="402">
        <v>3.81</v>
      </c>
      <c r="AA84" s="402"/>
      <c r="AB84" s="402"/>
      <c r="AC84" s="402"/>
      <c r="AD84" s="402"/>
      <c r="AE84" s="404">
        <v>11</v>
      </c>
      <c r="AF84" s="402">
        <f t="shared" si="23"/>
        <v>10.22</v>
      </c>
      <c r="AG84" s="402">
        <v>3.82</v>
      </c>
      <c r="AH84" s="402">
        <v>1.91</v>
      </c>
      <c r="AI84" s="402">
        <v>1.43</v>
      </c>
      <c r="AJ84" s="402">
        <v>0.05</v>
      </c>
      <c r="AK84" s="402">
        <v>0.14</v>
      </c>
      <c r="AL84" s="402">
        <v>2.87</v>
      </c>
      <c r="AM84" s="402"/>
      <c r="AN84" s="350"/>
      <c r="AO84" s="205">
        <f t="shared" si="15"/>
        <v>11</v>
      </c>
      <c r="AP84">
        <v>2.6667</v>
      </c>
    </row>
    <row r="85" ht="24" hidden="1" spans="1:42">
      <c r="A85" s="284" t="s">
        <v>221</v>
      </c>
      <c r="B85" s="284" t="s">
        <v>199</v>
      </c>
      <c r="C85" s="284" t="s">
        <v>281</v>
      </c>
      <c r="D85" s="284" t="s">
        <v>213</v>
      </c>
      <c r="E85" s="402">
        <f t="shared" si="16"/>
        <v>227.51</v>
      </c>
      <c r="F85" s="402">
        <f t="shared" si="17"/>
        <v>0</v>
      </c>
      <c r="G85" s="402">
        <f t="shared" si="18"/>
        <v>0</v>
      </c>
      <c r="H85" s="402"/>
      <c r="I85" s="402"/>
      <c r="J85" s="402"/>
      <c r="K85" s="402"/>
      <c r="L85" s="402"/>
      <c r="M85" s="402">
        <f t="shared" si="19"/>
        <v>0</v>
      </c>
      <c r="N85" s="402"/>
      <c r="O85" s="402"/>
      <c r="P85" s="402"/>
      <c r="Q85" s="402">
        <f t="shared" si="20"/>
        <v>175.46</v>
      </c>
      <c r="R85" s="402">
        <f t="shared" si="21"/>
        <v>110.58</v>
      </c>
      <c r="S85" s="402">
        <v>72.83</v>
      </c>
      <c r="T85" s="402">
        <v>1.12</v>
      </c>
      <c r="U85" s="402">
        <v>29.79</v>
      </c>
      <c r="V85" s="402">
        <v>6.84</v>
      </c>
      <c r="W85" s="402"/>
      <c r="X85" s="402"/>
      <c r="Y85" s="402">
        <f t="shared" si="22"/>
        <v>64.88</v>
      </c>
      <c r="Z85" s="402">
        <v>17.88</v>
      </c>
      <c r="AA85" s="402"/>
      <c r="AB85" s="402"/>
      <c r="AC85" s="402"/>
      <c r="AD85" s="402"/>
      <c r="AE85" s="404">
        <v>47</v>
      </c>
      <c r="AF85" s="402">
        <f t="shared" si="23"/>
        <v>52.05</v>
      </c>
      <c r="AG85" s="402">
        <v>19.46</v>
      </c>
      <c r="AH85" s="402">
        <v>9.73</v>
      </c>
      <c r="AI85" s="402">
        <v>7.3</v>
      </c>
      <c r="AJ85" s="402">
        <v>0.24</v>
      </c>
      <c r="AK85" s="402">
        <v>0.73</v>
      </c>
      <c r="AL85" s="402">
        <v>14.59</v>
      </c>
      <c r="AM85" s="402"/>
      <c r="AN85" s="350"/>
      <c r="AO85" s="205">
        <f t="shared" si="15"/>
        <v>47</v>
      </c>
      <c r="AP85">
        <v>10.5</v>
      </c>
    </row>
    <row r="86" ht="24" hidden="1" spans="1:42">
      <c r="A86" s="284" t="s">
        <v>221</v>
      </c>
      <c r="B86" s="284" t="s">
        <v>196</v>
      </c>
      <c r="C86" s="284" t="s">
        <v>282</v>
      </c>
      <c r="D86" s="284" t="s">
        <v>207</v>
      </c>
      <c r="E86" s="402">
        <f t="shared" si="16"/>
        <v>261.55</v>
      </c>
      <c r="F86" s="402">
        <f t="shared" si="17"/>
        <v>206.53</v>
      </c>
      <c r="G86" s="402">
        <f t="shared" si="18"/>
        <v>141.19</v>
      </c>
      <c r="H86" s="402">
        <v>71.87</v>
      </c>
      <c r="I86" s="402">
        <v>54.43</v>
      </c>
      <c r="J86" s="402">
        <v>5.99</v>
      </c>
      <c r="K86" s="402">
        <v>8.64</v>
      </c>
      <c r="L86" s="402">
        <v>0.26</v>
      </c>
      <c r="M86" s="402">
        <f t="shared" si="19"/>
        <v>65.34</v>
      </c>
      <c r="N86" s="402">
        <v>11.34</v>
      </c>
      <c r="O86" s="402"/>
      <c r="P86" s="404">
        <v>54</v>
      </c>
      <c r="Q86" s="402">
        <f t="shared" si="20"/>
        <v>0</v>
      </c>
      <c r="R86" s="402">
        <f t="shared" si="21"/>
        <v>0</v>
      </c>
      <c r="S86" s="402"/>
      <c r="T86" s="402"/>
      <c r="U86" s="402"/>
      <c r="V86" s="402"/>
      <c r="W86" s="402"/>
      <c r="X86" s="402"/>
      <c r="Y86" s="402">
        <f t="shared" si="22"/>
        <v>0</v>
      </c>
      <c r="Z86" s="402"/>
      <c r="AA86" s="402"/>
      <c r="AB86" s="402"/>
      <c r="AC86" s="402"/>
      <c r="AD86" s="402"/>
      <c r="AE86" s="402"/>
      <c r="AF86" s="402">
        <f t="shared" si="23"/>
        <v>55.02</v>
      </c>
      <c r="AG86" s="402">
        <v>21.17</v>
      </c>
      <c r="AH86" s="402">
        <v>10.1</v>
      </c>
      <c r="AI86" s="402">
        <v>7.58</v>
      </c>
      <c r="AJ86" s="402">
        <v>0.25</v>
      </c>
      <c r="AK86" s="402">
        <v>0.76</v>
      </c>
      <c r="AL86" s="402">
        <v>15.16</v>
      </c>
      <c r="AM86" s="402"/>
      <c r="AN86" s="350"/>
      <c r="AO86" s="205">
        <f t="shared" si="15"/>
        <v>54</v>
      </c>
      <c r="AP86">
        <v>16.2454</v>
      </c>
    </row>
    <row r="87" ht="24" hidden="1" spans="1:42">
      <c r="A87" s="284" t="s">
        <v>221</v>
      </c>
      <c r="B87" s="284" t="s">
        <v>199</v>
      </c>
      <c r="C87" s="284" t="s">
        <v>283</v>
      </c>
      <c r="D87" s="284" t="s">
        <v>213</v>
      </c>
      <c r="E87" s="402">
        <f t="shared" si="16"/>
        <v>64.42</v>
      </c>
      <c r="F87" s="402">
        <f t="shared" si="17"/>
        <v>0</v>
      </c>
      <c r="G87" s="402">
        <f t="shared" si="18"/>
        <v>0</v>
      </c>
      <c r="H87" s="402"/>
      <c r="I87" s="402"/>
      <c r="J87" s="402"/>
      <c r="K87" s="402"/>
      <c r="L87" s="402"/>
      <c r="M87" s="402">
        <f t="shared" si="19"/>
        <v>0</v>
      </c>
      <c r="N87" s="402"/>
      <c r="O87" s="402"/>
      <c r="P87" s="402"/>
      <c r="Q87" s="402">
        <f t="shared" si="20"/>
        <v>50.58</v>
      </c>
      <c r="R87" s="402">
        <f t="shared" si="21"/>
        <v>29.66</v>
      </c>
      <c r="S87" s="402">
        <v>19.23</v>
      </c>
      <c r="T87" s="402"/>
      <c r="U87" s="402">
        <v>8.2</v>
      </c>
      <c r="V87" s="402">
        <v>1.92</v>
      </c>
      <c r="W87" s="402"/>
      <c r="X87" s="402">
        <v>0.31</v>
      </c>
      <c r="Y87" s="402">
        <f t="shared" si="22"/>
        <v>20.92</v>
      </c>
      <c r="Z87" s="402">
        <v>4.92</v>
      </c>
      <c r="AA87" s="402"/>
      <c r="AB87" s="402"/>
      <c r="AC87" s="402"/>
      <c r="AD87" s="402"/>
      <c r="AE87" s="404">
        <v>16</v>
      </c>
      <c r="AF87" s="402">
        <f t="shared" si="23"/>
        <v>13.84</v>
      </c>
      <c r="AG87" s="402">
        <v>5.18</v>
      </c>
      <c r="AH87" s="402">
        <v>2.59</v>
      </c>
      <c r="AI87" s="402">
        <v>1.94</v>
      </c>
      <c r="AJ87" s="402">
        <v>0.06</v>
      </c>
      <c r="AK87" s="402">
        <v>0.19</v>
      </c>
      <c r="AL87" s="402">
        <v>3.88</v>
      </c>
      <c r="AM87" s="402"/>
      <c r="AN87" s="350"/>
      <c r="AO87" s="205">
        <f t="shared" si="15"/>
        <v>16</v>
      </c>
      <c r="AP87">
        <v>2.5</v>
      </c>
    </row>
    <row r="88" ht="24" hidden="1" spans="1:42">
      <c r="A88" s="284" t="s">
        <v>221</v>
      </c>
      <c r="B88" s="284" t="s">
        <v>199</v>
      </c>
      <c r="C88" s="284" t="s">
        <v>284</v>
      </c>
      <c r="D88" s="284" t="s">
        <v>213</v>
      </c>
      <c r="E88" s="402">
        <f t="shared" si="16"/>
        <v>51.65</v>
      </c>
      <c r="F88" s="402">
        <f t="shared" si="17"/>
        <v>0</v>
      </c>
      <c r="G88" s="402">
        <f t="shared" si="18"/>
        <v>0</v>
      </c>
      <c r="H88" s="402"/>
      <c r="I88" s="402"/>
      <c r="J88" s="402"/>
      <c r="K88" s="402"/>
      <c r="L88" s="402"/>
      <c r="M88" s="402">
        <f t="shared" si="19"/>
        <v>0</v>
      </c>
      <c r="N88" s="402"/>
      <c r="O88" s="402"/>
      <c r="P88" s="402"/>
      <c r="Q88" s="402">
        <f t="shared" si="20"/>
        <v>40.95</v>
      </c>
      <c r="R88" s="402">
        <f t="shared" si="21"/>
        <v>22.93</v>
      </c>
      <c r="S88" s="402">
        <v>14.31</v>
      </c>
      <c r="T88" s="402"/>
      <c r="U88" s="402">
        <v>6.7</v>
      </c>
      <c r="V88" s="402">
        <v>1.92</v>
      </c>
      <c r="W88" s="402"/>
      <c r="X88" s="402"/>
      <c r="Y88" s="402">
        <f t="shared" si="22"/>
        <v>18.02</v>
      </c>
      <c r="Z88" s="402">
        <v>4.02</v>
      </c>
      <c r="AA88" s="402"/>
      <c r="AB88" s="402"/>
      <c r="AC88" s="402"/>
      <c r="AD88" s="402"/>
      <c r="AE88" s="404">
        <v>14</v>
      </c>
      <c r="AF88" s="402">
        <f t="shared" si="23"/>
        <v>10.7</v>
      </c>
      <c r="AG88" s="402">
        <v>4</v>
      </c>
      <c r="AH88" s="402">
        <v>2</v>
      </c>
      <c r="AI88" s="402">
        <v>1.5</v>
      </c>
      <c r="AJ88" s="402">
        <v>0.05</v>
      </c>
      <c r="AK88" s="402">
        <v>0.15</v>
      </c>
      <c r="AL88" s="402">
        <v>3</v>
      </c>
      <c r="AM88" s="402"/>
      <c r="AN88" s="350"/>
      <c r="AO88" s="205">
        <f t="shared" si="15"/>
        <v>14</v>
      </c>
      <c r="AP88">
        <v>2.4584</v>
      </c>
    </row>
    <row r="89" ht="24" hidden="1" spans="1:42">
      <c r="A89" s="284" t="s">
        <v>221</v>
      </c>
      <c r="B89" s="284" t="s">
        <v>199</v>
      </c>
      <c r="C89" s="284" t="s">
        <v>285</v>
      </c>
      <c r="D89" s="284" t="s">
        <v>213</v>
      </c>
      <c r="E89" s="402">
        <f t="shared" si="16"/>
        <v>157.08</v>
      </c>
      <c r="F89" s="402">
        <f t="shared" si="17"/>
        <v>0</v>
      </c>
      <c r="G89" s="402">
        <f t="shared" si="18"/>
        <v>0</v>
      </c>
      <c r="H89" s="402"/>
      <c r="I89" s="402"/>
      <c r="J89" s="402"/>
      <c r="K89" s="402"/>
      <c r="L89" s="402"/>
      <c r="M89" s="402">
        <f t="shared" si="19"/>
        <v>0</v>
      </c>
      <c r="N89" s="402"/>
      <c r="O89" s="402"/>
      <c r="P89" s="402"/>
      <c r="Q89" s="402">
        <f t="shared" si="20"/>
        <v>124.4</v>
      </c>
      <c r="R89" s="402">
        <f t="shared" si="21"/>
        <v>71.55</v>
      </c>
      <c r="S89" s="402">
        <v>44.53</v>
      </c>
      <c r="T89" s="402">
        <v>0.25</v>
      </c>
      <c r="U89" s="402">
        <v>19.74</v>
      </c>
      <c r="V89" s="402">
        <v>6.72</v>
      </c>
      <c r="W89" s="402"/>
      <c r="X89" s="402">
        <v>0.31</v>
      </c>
      <c r="Y89" s="402">
        <f t="shared" si="22"/>
        <v>52.85</v>
      </c>
      <c r="Z89" s="402">
        <v>11.85</v>
      </c>
      <c r="AA89" s="402"/>
      <c r="AB89" s="402"/>
      <c r="AC89" s="402"/>
      <c r="AD89" s="402"/>
      <c r="AE89" s="404">
        <v>41</v>
      </c>
      <c r="AF89" s="402">
        <f t="shared" si="23"/>
        <v>32.68</v>
      </c>
      <c r="AG89" s="402">
        <v>12.22</v>
      </c>
      <c r="AH89" s="402">
        <v>6.11</v>
      </c>
      <c r="AI89" s="402">
        <v>4.58</v>
      </c>
      <c r="AJ89" s="402">
        <v>0.15</v>
      </c>
      <c r="AK89" s="402">
        <v>0.46</v>
      </c>
      <c r="AL89" s="402">
        <v>9.16</v>
      </c>
      <c r="AM89" s="402"/>
      <c r="AN89" s="350"/>
      <c r="AO89" s="205">
        <f t="shared" si="15"/>
        <v>41</v>
      </c>
      <c r="AP89">
        <v>7.0834</v>
      </c>
    </row>
    <row r="90" ht="24" hidden="1" spans="1:42">
      <c r="A90" s="284" t="s">
        <v>221</v>
      </c>
      <c r="B90" s="284" t="s">
        <v>196</v>
      </c>
      <c r="C90" s="284" t="s">
        <v>286</v>
      </c>
      <c r="D90" s="284" t="s">
        <v>207</v>
      </c>
      <c r="E90" s="402">
        <f t="shared" si="16"/>
        <v>156.23</v>
      </c>
      <c r="F90" s="402">
        <f t="shared" si="17"/>
        <v>124.03</v>
      </c>
      <c r="G90" s="402">
        <f t="shared" si="18"/>
        <v>83.69</v>
      </c>
      <c r="H90" s="402">
        <v>41.3</v>
      </c>
      <c r="I90" s="402">
        <v>32.66</v>
      </c>
      <c r="J90" s="402">
        <v>3.44</v>
      </c>
      <c r="K90" s="402">
        <v>5.76</v>
      </c>
      <c r="L90" s="402">
        <v>0.53</v>
      </c>
      <c r="M90" s="402">
        <f t="shared" si="19"/>
        <v>40.34</v>
      </c>
      <c r="N90" s="402">
        <v>11.34</v>
      </c>
      <c r="O90" s="402"/>
      <c r="P90" s="404">
        <v>29</v>
      </c>
      <c r="Q90" s="402">
        <f t="shared" si="20"/>
        <v>0</v>
      </c>
      <c r="R90" s="402">
        <f t="shared" si="21"/>
        <v>0</v>
      </c>
      <c r="S90" s="402"/>
      <c r="T90" s="402"/>
      <c r="U90" s="402"/>
      <c r="V90" s="402"/>
      <c r="W90" s="402"/>
      <c r="X90" s="402"/>
      <c r="Y90" s="402">
        <f t="shared" si="22"/>
        <v>0</v>
      </c>
      <c r="Z90" s="402"/>
      <c r="AA90" s="402"/>
      <c r="AB90" s="402"/>
      <c r="AC90" s="402"/>
      <c r="AD90" s="402"/>
      <c r="AE90" s="402"/>
      <c r="AF90" s="402">
        <f t="shared" si="23"/>
        <v>32.2</v>
      </c>
      <c r="AG90" s="402">
        <v>12.38</v>
      </c>
      <c r="AH90" s="402">
        <v>5.92</v>
      </c>
      <c r="AI90" s="402">
        <v>4.44</v>
      </c>
      <c r="AJ90" s="402">
        <v>0.15</v>
      </c>
      <c r="AK90" s="402">
        <v>0.44</v>
      </c>
      <c r="AL90" s="402">
        <v>8.87</v>
      </c>
      <c r="AM90" s="402"/>
      <c r="AN90" s="350"/>
      <c r="AO90" s="205">
        <f t="shared" si="15"/>
        <v>29</v>
      </c>
      <c r="AP90">
        <v>9.157</v>
      </c>
    </row>
    <row r="91" ht="24" hidden="1" spans="1:42">
      <c r="A91" s="284" t="s">
        <v>221</v>
      </c>
      <c r="B91" s="284" t="s">
        <v>199</v>
      </c>
      <c r="C91" s="284" t="s">
        <v>287</v>
      </c>
      <c r="D91" s="284" t="s">
        <v>213</v>
      </c>
      <c r="E91" s="402">
        <f t="shared" ref="E91:E140" si="24">F91+Q91+AF91</f>
        <v>47.06</v>
      </c>
      <c r="F91" s="402">
        <f t="shared" ref="F91:F140" si="25">G91+M91</f>
        <v>0</v>
      </c>
      <c r="G91" s="402">
        <f t="shared" si="18"/>
        <v>0</v>
      </c>
      <c r="H91" s="402"/>
      <c r="I91" s="402"/>
      <c r="J91" s="402"/>
      <c r="K91" s="402"/>
      <c r="L91" s="402"/>
      <c r="M91" s="402">
        <f t="shared" ref="M91:M107" si="26">SUM(N91:P91)</f>
        <v>0</v>
      </c>
      <c r="N91" s="402"/>
      <c r="O91" s="402"/>
      <c r="P91" s="402"/>
      <c r="Q91" s="402">
        <f t="shared" ref="Q91:Q140" si="27">R91+Y91</f>
        <v>36.97</v>
      </c>
      <c r="R91" s="402">
        <f t="shared" ref="R91:R140" si="28">SUM(S91:X91)</f>
        <v>22.29</v>
      </c>
      <c r="S91" s="402">
        <v>13.75</v>
      </c>
      <c r="T91" s="402"/>
      <c r="U91" s="402">
        <v>6.14</v>
      </c>
      <c r="V91" s="402">
        <v>2.4</v>
      </c>
      <c r="W91" s="402"/>
      <c r="X91" s="402"/>
      <c r="Y91" s="402">
        <f t="shared" ref="Y91:Y140" si="29">SUM(Z91:AE91)</f>
        <v>14.68</v>
      </c>
      <c r="Z91" s="402">
        <v>3.68</v>
      </c>
      <c r="AA91" s="402"/>
      <c r="AB91" s="402"/>
      <c r="AC91" s="402"/>
      <c r="AD91" s="402"/>
      <c r="AE91" s="402">
        <v>11</v>
      </c>
      <c r="AF91" s="402">
        <f t="shared" ref="AF91:AF140" si="30">SUM(AG91:AM91)</f>
        <v>10.09</v>
      </c>
      <c r="AG91" s="402">
        <v>3.77</v>
      </c>
      <c r="AH91" s="402">
        <v>1.89</v>
      </c>
      <c r="AI91" s="402">
        <v>1.41</v>
      </c>
      <c r="AJ91" s="402">
        <v>0.05</v>
      </c>
      <c r="AK91" s="402">
        <v>0.14</v>
      </c>
      <c r="AL91" s="402">
        <v>2.83</v>
      </c>
      <c r="AM91" s="402"/>
      <c r="AN91" s="350"/>
      <c r="AO91" s="205">
        <f t="shared" ref="AO91:AO137" si="31">P91+AE91</f>
        <v>11</v>
      </c>
      <c r="AP91">
        <v>2.375</v>
      </c>
    </row>
    <row r="92" ht="24" hidden="1" spans="1:42">
      <c r="A92" s="284" t="s">
        <v>221</v>
      </c>
      <c r="B92" s="284" t="s">
        <v>199</v>
      </c>
      <c r="C92" s="284" t="s">
        <v>288</v>
      </c>
      <c r="D92" s="284" t="s">
        <v>213</v>
      </c>
      <c r="E92" s="402">
        <f t="shared" si="24"/>
        <v>47.81</v>
      </c>
      <c r="F92" s="402">
        <f t="shared" si="25"/>
        <v>0</v>
      </c>
      <c r="G92" s="402">
        <f t="shared" si="18"/>
        <v>0</v>
      </c>
      <c r="H92" s="402"/>
      <c r="I92" s="402"/>
      <c r="J92" s="402"/>
      <c r="K92" s="402"/>
      <c r="L92" s="402"/>
      <c r="M92" s="402">
        <f t="shared" si="26"/>
        <v>0</v>
      </c>
      <c r="N92" s="402"/>
      <c r="O92" s="402"/>
      <c r="P92" s="402"/>
      <c r="Q92" s="402">
        <f t="shared" si="27"/>
        <v>37.49</v>
      </c>
      <c r="R92" s="402">
        <f t="shared" si="28"/>
        <v>22.47</v>
      </c>
      <c r="S92" s="402">
        <v>13.36</v>
      </c>
      <c r="T92" s="402"/>
      <c r="U92" s="402">
        <v>6.71</v>
      </c>
      <c r="V92" s="402">
        <v>2.4</v>
      </c>
      <c r="W92" s="402"/>
      <c r="X92" s="402"/>
      <c r="Y92" s="402">
        <f t="shared" si="29"/>
        <v>15.02</v>
      </c>
      <c r="Z92" s="402">
        <v>4.02</v>
      </c>
      <c r="AA92" s="402"/>
      <c r="AB92" s="402"/>
      <c r="AC92" s="402"/>
      <c r="AD92" s="402"/>
      <c r="AE92" s="402">
        <v>11</v>
      </c>
      <c r="AF92" s="402">
        <f t="shared" si="30"/>
        <v>10.32</v>
      </c>
      <c r="AG92" s="402">
        <v>3.86</v>
      </c>
      <c r="AH92" s="402">
        <v>1.93</v>
      </c>
      <c r="AI92" s="402">
        <v>1.45</v>
      </c>
      <c r="AJ92" s="402">
        <v>0.05</v>
      </c>
      <c r="AK92" s="402">
        <v>0.14</v>
      </c>
      <c r="AL92" s="402">
        <v>2.89</v>
      </c>
      <c r="AM92" s="402"/>
      <c r="AN92" s="350"/>
      <c r="AO92" s="205">
        <f t="shared" si="31"/>
        <v>11</v>
      </c>
      <c r="AP92">
        <v>2.5</v>
      </c>
    </row>
    <row r="93" ht="24" hidden="1" spans="1:42">
      <c r="A93" s="284" t="s">
        <v>221</v>
      </c>
      <c r="B93" s="284" t="s">
        <v>199</v>
      </c>
      <c r="C93" s="284" t="s">
        <v>289</v>
      </c>
      <c r="D93" s="284" t="s">
        <v>213</v>
      </c>
      <c r="E93" s="402">
        <f t="shared" si="24"/>
        <v>106.3</v>
      </c>
      <c r="F93" s="402">
        <f t="shared" si="25"/>
        <v>0</v>
      </c>
      <c r="G93" s="402">
        <f t="shared" si="18"/>
        <v>0</v>
      </c>
      <c r="H93" s="402"/>
      <c r="I93" s="402"/>
      <c r="J93" s="402"/>
      <c r="K93" s="402"/>
      <c r="L93" s="402"/>
      <c r="M93" s="402">
        <f t="shared" si="26"/>
        <v>0</v>
      </c>
      <c r="N93" s="402"/>
      <c r="O93" s="402"/>
      <c r="P93" s="402"/>
      <c r="Q93" s="402">
        <f t="shared" si="27"/>
        <v>83.51</v>
      </c>
      <c r="R93" s="402">
        <f t="shared" si="28"/>
        <v>49.87</v>
      </c>
      <c r="S93" s="402">
        <v>29.57</v>
      </c>
      <c r="T93" s="402">
        <v>0.62</v>
      </c>
      <c r="U93" s="402">
        <v>14.4</v>
      </c>
      <c r="V93" s="402">
        <v>5.28</v>
      </c>
      <c r="W93" s="402"/>
      <c r="X93" s="402"/>
      <c r="Y93" s="402">
        <f t="shared" si="29"/>
        <v>33.64</v>
      </c>
      <c r="Z93" s="402">
        <v>8.64</v>
      </c>
      <c r="AA93" s="402"/>
      <c r="AB93" s="402"/>
      <c r="AC93" s="402"/>
      <c r="AD93" s="402"/>
      <c r="AE93" s="402">
        <v>25</v>
      </c>
      <c r="AF93" s="402">
        <f t="shared" si="30"/>
        <v>22.79</v>
      </c>
      <c r="AG93" s="402">
        <v>8.52</v>
      </c>
      <c r="AH93" s="402">
        <v>4.26</v>
      </c>
      <c r="AI93" s="402">
        <v>3.19</v>
      </c>
      <c r="AJ93" s="402">
        <v>0.11</v>
      </c>
      <c r="AK93" s="402">
        <v>0.32</v>
      </c>
      <c r="AL93" s="402">
        <v>6.39</v>
      </c>
      <c r="AM93" s="402"/>
      <c r="AN93" s="350"/>
      <c r="AO93" s="205">
        <f t="shared" si="31"/>
        <v>25</v>
      </c>
      <c r="AP93">
        <v>5.4168</v>
      </c>
    </row>
    <row r="94" ht="24" hidden="1" spans="1:42">
      <c r="A94" s="284" t="s">
        <v>290</v>
      </c>
      <c r="B94" s="284" t="s">
        <v>196</v>
      </c>
      <c r="C94" s="284" t="s">
        <v>291</v>
      </c>
      <c r="D94" s="284" t="s">
        <v>292</v>
      </c>
      <c r="E94" s="402">
        <f t="shared" si="24"/>
        <v>345.44</v>
      </c>
      <c r="F94" s="402">
        <f t="shared" si="25"/>
        <v>281.25</v>
      </c>
      <c r="G94" s="402">
        <f t="shared" si="18"/>
        <v>155.11</v>
      </c>
      <c r="H94" s="402">
        <v>90.81</v>
      </c>
      <c r="I94" s="402">
        <v>56.47</v>
      </c>
      <c r="J94" s="402">
        <v>7.3</v>
      </c>
      <c r="K94" s="402"/>
      <c r="L94" s="402">
        <v>0.53</v>
      </c>
      <c r="M94" s="402">
        <f t="shared" si="26"/>
        <v>126.14</v>
      </c>
      <c r="N94" s="402">
        <v>37.14</v>
      </c>
      <c r="O94" s="402"/>
      <c r="P94" s="404">
        <v>89</v>
      </c>
      <c r="Q94" s="402">
        <f t="shared" si="27"/>
        <v>0</v>
      </c>
      <c r="R94" s="402">
        <f t="shared" si="28"/>
        <v>0</v>
      </c>
      <c r="S94" s="402"/>
      <c r="T94" s="402"/>
      <c r="U94" s="402"/>
      <c r="V94" s="402"/>
      <c r="W94" s="402"/>
      <c r="X94" s="402"/>
      <c r="Y94" s="402">
        <f t="shared" si="29"/>
        <v>0</v>
      </c>
      <c r="Z94" s="402"/>
      <c r="AA94" s="402"/>
      <c r="AB94" s="402"/>
      <c r="AC94" s="402"/>
      <c r="AD94" s="402"/>
      <c r="AE94" s="402"/>
      <c r="AF94" s="402">
        <f t="shared" si="30"/>
        <v>64.19</v>
      </c>
      <c r="AG94" s="402">
        <v>24.73</v>
      </c>
      <c r="AH94" s="402">
        <v>11.78</v>
      </c>
      <c r="AI94" s="402">
        <v>8.84</v>
      </c>
      <c r="AJ94" s="402">
        <v>0.29</v>
      </c>
      <c r="AK94" s="402">
        <v>0.88</v>
      </c>
      <c r="AL94" s="402">
        <v>17.67</v>
      </c>
      <c r="AM94" s="402"/>
      <c r="AN94" s="350"/>
      <c r="AO94" s="205">
        <f t="shared" si="31"/>
        <v>89</v>
      </c>
      <c r="AP94">
        <v>23.1922</v>
      </c>
    </row>
    <row r="95" ht="24" hidden="1" spans="1:42">
      <c r="A95" s="284" t="s">
        <v>290</v>
      </c>
      <c r="B95" s="284" t="s">
        <v>199</v>
      </c>
      <c r="C95" s="284" t="s">
        <v>293</v>
      </c>
      <c r="D95" s="284" t="s">
        <v>294</v>
      </c>
      <c r="E95" s="402">
        <f t="shared" si="24"/>
        <v>77.52</v>
      </c>
      <c r="F95" s="402">
        <f t="shared" si="25"/>
        <v>0</v>
      </c>
      <c r="G95" s="402">
        <f t="shared" si="18"/>
        <v>0</v>
      </c>
      <c r="H95" s="402"/>
      <c r="I95" s="402"/>
      <c r="J95" s="402"/>
      <c r="K95" s="402"/>
      <c r="L95" s="402"/>
      <c r="M95" s="402">
        <f t="shared" si="26"/>
        <v>0</v>
      </c>
      <c r="N95" s="402"/>
      <c r="O95" s="402"/>
      <c r="P95" s="402"/>
      <c r="Q95" s="402">
        <f t="shared" si="27"/>
        <v>62.52</v>
      </c>
      <c r="R95" s="402">
        <f t="shared" si="28"/>
        <v>30.26</v>
      </c>
      <c r="S95" s="402">
        <v>22.29</v>
      </c>
      <c r="T95" s="402"/>
      <c r="U95" s="402">
        <v>7.97</v>
      </c>
      <c r="V95" s="402"/>
      <c r="W95" s="402"/>
      <c r="X95" s="402"/>
      <c r="Y95" s="402">
        <f t="shared" si="29"/>
        <v>32.26</v>
      </c>
      <c r="Z95" s="402">
        <v>4.78</v>
      </c>
      <c r="AA95" s="402"/>
      <c r="AB95" s="402">
        <v>2.48</v>
      </c>
      <c r="AC95" s="402"/>
      <c r="AD95" s="402"/>
      <c r="AE95" s="402">
        <v>25</v>
      </c>
      <c r="AF95" s="402">
        <f t="shared" si="30"/>
        <v>15</v>
      </c>
      <c r="AG95" s="402">
        <v>5.61</v>
      </c>
      <c r="AH95" s="402">
        <v>2.8</v>
      </c>
      <c r="AI95" s="402">
        <v>2.1</v>
      </c>
      <c r="AJ95" s="402">
        <v>0.07</v>
      </c>
      <c r="AK95" s="402">
        <v>0.21</v>
      </c>
      <c r="AL95" s="402">
        <v>4.21</v>
      </c>
      <c r="AM95" s="402"/>
      <c r="AN95" s="350"/>
      <c r="AO95" s="205">
        <f t="shared" si="31"/>
        <v>25</v>
      </c>
      <c r="AP95">
        <v>3.69</v>
      </c>
    </row>
    <row r="96" ht="24" hidden="1" spans="1:42">
      <c r="A96" s="284" t="s">
        <v>290</v>
      </c>
      <c r="B96" s="284" t="s">
        <v>199</v>
      </c>
      <c r="C96" s="284" t="s">
        <v>295</v>
      </c>
      <c r="D96" s="284" t="s">
        <v>294</v>
      </c>
      <c r="E96" s="402">
        <f t="shared" si="24"/>
        <v>63.59</v>
      </c>
      <c r="F96" s="402">
        <f t="shared" si="25"/>
        <v>0</v>
      </c>
      <c r="G96" s="402">
        <f t="shared" si="18"/>
        <v>0</v>
      </c>
      <c r="H96" s="402"/>
      <c r="I96" s="402"/>
      <c r="J96" s="402"/>
      <c r="K96" s="402"/>
      <c r="L96" s="402"/>
      <c r="M96" s="402">
        <f t="shared" si="26"/>
        <v>0</v>
      </c>
      <c r="N96" s="402"/>
      <c r="O96" s="402"/>
      <c r="P96" s="402"/>
      <c r="Q96" s="402">
        <f t="shared" si="27"/>
        <v>52.03</v>
      </c>
      <c r="R96" s="402">
        <f t="shared" si="28"/>
        <v>22.76</v>
      </c>
      <c r="S96" s="402">
        <v>15.64</v>
      </c>
      <c r="T96" s="402"/>
      <c r="U96" s="402">
        <v>7.12</v>
      </c>
      <c r="V96" s="402"/>
      <c r="W96" s="402"/>
      <c r="X96" s="402"/>
      <c r="Y96" s="402">
        <f t="shared" si="29"/>
        <v>29.27</v>
      </c>
      <c r="Z96" s="402">
        <v>4.27</v>
      </c>
      <c r="AA96" s="402"/>
      <c r="AB96" s="402"/>
      <c r="AC96" s="402"/>
      <c r="AD96" s="402"/>
      <c r="AE96" s="402">
        <v>25</v>
      </c>
      <c r="AF96" s="402">
        <f t="shared" si="30"/>
        <v>11.56</v>
      </c>
      <c r="AG96" s="402">
        <v>4.33</v>
      </c>
      <c r="AH96" s="402">
        <v>2.16</v>
      </c>
      <c r="AI96" s="402">
        <v>1.62</v>
      </c>
      <c r="AJ96" s="402">
        <v>0.05</v>
      </c>
      <c r="AK96" s="402">
        <v>0.16</v>
      </c>
      <c r="AL96" s="402">
        <v>3.24</v>
      </c>
      <c r="AM96" s="402"/>
      <c r="AN96" s="350"/>
      <c r="AO96" s="205">
        <f t="shared" si="31"/>
        <v>25</v>
      </c>
      <c r="AP96">
        <v>2.5</v>
      </c>
    </row>
    <row r="97" ht="24" hidden="1" spans="1:42">
      <c r="A97" s="284" t="s">
        <v>290</v>
      </c>
      <c r="B97" s="284" t="s">
        <v>199</v>
      </c>
      <c r="C97" s="284" t="s">
        <v>296</v>
      </c>
      <c r="D97" s="284" t="s">
        <v>294</v>
      </c>
      <c r="E97" s="402">
        <f t="shared" si="24"/>
        <v>39.42</v>
      </c>
      <c r="F97" s="402">
        <f t="shared" si="25"/>
        <v>0</v>
      </c>
      <c r="G97" s="402">
        <f t="shared" si="18"/>
        <v>0</v>
      </c>
      <c r="H97" s="402"/>
      <c r="I97" s="402"/>
      <c r="J97" s="402"/>
      <c r="K97" s="402"/>
      <c r="L97" s="402"/>
      <c r="M97" s="402">
        <f t="shared" si="26"/>
        <v>0</v>
      </c>
      <c r="N97" s="402"/>
      <c r="O97" s="402"/>
      <c r="P97" s="402"/>
      <c r="Q97" s="402">
        <f t="shared" si="27"/>
        <v>32.1</v>
      </c>
      <c r="R97" s="402">
        <f t="shared" si="28"/>
        <v>14.81</v>
      </c>
      <c r="S97" s="402">
        <v>10.99</v>
      </c>
      <c r="T97" s="402"/>
      <c r="U97" s="402">
        <v>3.82</v>
      </c>
      <c r="V97" s="402"/>
      <c r="W97" s="402"/>
      <c r="X97" s="402"/>
      <c r="Y97" s="402">
        <f t="shared" si="29"/>
        <v>17.29</v>
      </c>
      <c r="Z97" s="402">
        <v>2.29</v>
      </c>
      <c r="AA97" s="402"/>
      <c r="AB97" s="402"/>
      <c r="AC97" s="402"/>
      <c r="AD97" s="402"/>
      <c r="AE97" s="402">
        <v>15</v>
      </c>
      <c r="AF97" s="402">
        <f t="shared" si="30"/>
        <v>7.32</v>
      </c>
      <c r="AG97" s="402">
        <v>2.74</v>
      </c>
      <c r="AH97" s="402">
        <v>1.37</v>
      </c>
      <c r="AI97" s="402">
        <v>1.03</v>
      </c>
      <c r="AJ97" s="402">
        <v>0.03</v>
      </c>
      <c r="AK97" s="402">
        <v>0.1</v>
      </c>
      <c r="AL97" s="402">
        <v>2.05</v>
      </c>
      <c r="AM97" s="402"/>
      <c r="AN97" s="350"/>
      <c r="AO97" s="205">
        <f t="shared" si="31"/>
        <v>15</v>
      </c>
      <c r="AP97">
        <v>1.5</v>
      </c>
    </row>
    <row r="98" ht="24" hidden="1" spans="1:42">
      <c r="A98" s="284" t="s">
        <v>290</v>
      </c>
      <c r="B98" s="284" t="s">
        <v>199</v>
      </c>
      <c r="C98" s="284" t="s">
        <v>297</v>
      </c>
      <c r="D98" s="284" t="s">
        <v>294</v>
      </c>
      <c r="E98" s="402">
        <f t="shared" si="24"/>
        <v>81.16</v>
      </c>
      <c r="F98" s="402">
        <f t="shared" si="25"/>
        <v>0</v>
      </c>
      <c r="G98" s="402">
        <f t="shared" si="18"/>
        <v>0</v>
      </c>
      <c r="H98" s="402"/>
      <c r="I98" s="402"/>
      <c r="J98" s="402"/>
      <c r="K98" s="402"/>
      <c r="L98" s="402"/>
      <c r="M98" s="402">
        <f t="shared" si="26"/>
        <v>0</v>
      </c>
      <c r="N98" s="402"/>
      <c r="O98" s="402"/>
      <c r="P98" s="402"/>
      <c r="Q98" s="402">
        <f t="shared" si="27"/>
        <v>65.83</v>
      </c>
      <c r="R98" s="402">
        <f t="shared" si="28"/>
        <v>30.66</v>
      </c>
      <c r="S98" s="402">
        <v>22.04</v>
      </c>
      <c r="T98" s="402"/>
      <c r="U98" s="402">
        <v>8.62</v>
      </c>
      <c r="V98" s="402"/>
      <c r="W98" s="402"/>
      <c r="X98" s="402"/>
      <c r="Y98" s="402">
        <f t="shared" si="29"/>
        <v>35.17</v>
      </c>
      <c r="Z98" s="402">
        <v>5.17</v>
      </c>
      <c r="AA98" s="402"/>
      <c r="AB98" s="402"/>
      <c r="AC98" s="402"/>
      <c r="AD98" s="402"/>
      <c r="AE98" s="402">
        <v>30</v>
      </c>
      <c r="AF98" s="402">
        <f t="shared" si="30"/>
        <v>15.33</v>
      </c>
      <c r="AG98" s="402">
        <v>5.73</v>
      </c>
      <c r="AH98" s="402">
        <v>2.87</v>
      </c>
      <c r="AI98" s="402">
        <v>2.15</v>
      </c>
      <c r="AJ98" s="402">
        <v>0.07</v>
      </c>
      <c r="AK98" s="402">
        <v>0.21</v>
      </c>
      <c r="AL98" s="402">
        <v>4.3</v>
      </c>
      <c r="AM98" s="402"/>
      <c r="AN98" s="350"/>
      <c r="AO98" s="205">
        <f t="shared" si="31"/>
        <v>30</v>
      </c>
      <c r="AP98">
        <v>3</v>
      </c>
    </row>
    <row r="99" ht="24" hidden="1" spans="1:42">
      <c r="A99" s="284" t="s">
        <v>290</v>
      </c>
      <c r="B99" s="284" t="s">
        <v>199</v>
      </c>
      <c r="C99" s="284" t="s">
        <v>298</v>
      </c>
      <c r="D99" s="284" t="s">
        <v>294</v>
      </c>
      <c r="E99" s="402">
        <f t="shared" si="24"/>
        <v>89.51</v>
      </c>
      <c r="F99" s="402">
        <f t="shared" si="25"/>
        <v>0</v>
      </c>
      <c r="G99" s="402">
        <f t="shared" ref="G99:G162" si="32">SUM(H99:L99)</f>
        <v>0</v>
      </c>
      <c r="H99" s="402"/>
      <c r="I99" s="402"/>
      <c r="J99" s="402"/>
      <c r="K99" s="402"/>
      <c r="L99" s="402"/>
      <c r="M99" s="402">
        <f t="shared" si="26"/>
        <v>0</v>
      </c>
      <c r="N99" s="402"/>
      <c r="O99" s="402"/>
      <c r="P99" s="402"/>
      <c r="Q99" s="402">
        <f t="shared" si="27"/>
        <v>73.17</v>
      </c>
      <c r="R99" s="402">
        <f t="shared" si="28"/>
        <v>32.22</v>
      </c>
      <c r="S99" s="402">
        <v>22.3</v>
      </c>
      <c r="T99" s="402"/>
      <c r="U99" s="402">
        <v>9.92</v>
      </c>
      <c r="V99" s="402"/>
      <c r="W99" s="402"/>
      <c r="X99" s="402"/>
      <c r="Y99" s="402">
        <f t="shared" si="29"/>
        <v>40.95</v>
      </c>
      <c r="Z99" s="402">
        <v>5.95</v>
      </c>
      <c r="AA99" s="402"/>
      <c r="AB99" s="402"/>
      <c r="AC99" s="402"/>
      <c r="AD99" s="402"/>
      <c r="AE99" s="402">
        <v>35</v>
      </c>
      <c r="AF99" s="402">
        <f t="shared" si="30"/>
        <v>16.34</v>
      </c>
      <c r="AG99" s="402">
        <v>6.11</v>
      </c>
      <c r="AH99" s="402">
        <v>3.05</v>
      </c>
      <c r="AI99" s="402">
        <v>2.29</v>
      </c>
      <c r="AJ99" s="402">
        <v>0.08</v>
      </c>
      <c r="AK99" s="402">
        <v>0.23</v>
      </c>
      <c r="AL99" s="402">
        <v>4.58</v>
      </c>
      <c r="AM99" s="402"/>
      <c r="AN99" s="350"/>
      <c r="AO99" s="205">
        <f t="shared" si="31"/>
        <v>35</v>
      </c>
      <c r="AP99">
        <v>3.5</v>
      </c>
    </row>
    <row r="100" ht="24" hidden="1" spans="1:42">
      <c r="A100" s="284" t="s">
        <v>195</v>
      </c>
      <c r="B100" s="284" t="s">
        <v>196</v>
      </c>
      <c r="C100" s="284" t="s">
        <v>299</v>
      </c>
      <c r="D100" s="284" t="s">
        <v>300</v>
      </c>
      <c r="E100" s="402">
        <f t="shared" si="24"/>
        <v>325.02</v>
      </c>
      <c r="F100" s="402">
        <f t="shared" si="25"/>
        <v>291.99</v>
      </c>
      <c r="G100" s="402">
        <f t="shared" si="32"/>
        <v>79.56</v>
      </c>
      <c r="H100" s="402">
        <v>45.49</v>
      </c>
      <c r="I100" s="402">
        <v>30.28</v>
      </c>
      <c r="J100" s="402">
        <v>3.79</v>
      </c>
      <c r="K100" s="402"/>
      <c r="L100" s="402"/>
      <c r="M100" s="402">
        <f t="shared" si="26"/>
        <v>212.43</v>
      </c>
      <c r="N100" s="402">
        <v>7.43</v>
      </c>
      <c r="O100" s="402"/>
      <c r="P100" s="402">
        <v>205</v>
      </c>
      <c r="Q100" s="402">
        <f t="shared" si="27"/>
        <v>0</v>
      </c>
      <c r="R100" s="402">
        <f t="shared" si="28"/>
        <v>0</v>
      </c>
      <c r="S100" s="402"/>
      <c r="T100" s="402"/>
      <c r="U100" s="402"/>
      <c r="V100" s="402"/>
      <c r="W100" s="402"/>
      <c r="X100" s="402"/>
      <c r="Y100" s="402">
        <f t="shared" si="29"/>
        <v>0</v>
      </c>
      <c r="Z100" s="402"/>
      <c r="AA100" s="402"/>
      <c r="AB100" s="402"/>
      <c r="AC100" s="402"/>
      <c r="AD100" s="402"/>
      <c r="AE100" s="402"/>
      <c r="AF100" s="402">
        <f t="shared" si="30"/>
        <v>33.03</v>
      </c>
      <c r="AG100" s="402">
        <v>12.73</v>
      </c>
      <c r="AH100" s="402">
        <v>6.06</v>
      </c>
      <c r="AI100" s="402">
        <v>4.55</v>
      </c>
      <c r="AJ100" s="402">
        <v>0.15</v>
      </c>
      <c r="AK100" s="402">
        <v>0.45</v>
      </c>
      <c r="AL100" s="402">
        <v>9.09</v>
      </c>
      <c r="AM100" s="402"/>
      <c r="AN100" s="350"/>
      <c r="AO100" s="205">
        <f t="shared" si="31"/>
        <v>205</v>
      </c>
      <c r="AP100">
        <v>22.3843</v>
      </c>
    </row>
    <row r="101" ht="24" hidden="1" spans="1:41">
      <c r="A101" s="284" t="s">
        <v>195</v>
      </c>
      <c r="B101" s="284" t="s">
        <v>196</v>
      </c>
      <c r="C101" s="284" t="s">
        <v>301</v>
      </c>
      <c r="D101" s="284" t="s">
        <v>300</v>
      </c>
      <c r="E101" s="402">
        <f t="shared" si="24"/>
        <v>60.02</v>
      </c>
      <c r="F101" s="402">
        <f t="shared" si="25"/>
        <v>42.41</v>
      </c>
      <c r="G101" s="402">
        <f t="shared" si="32"/>
        <v>42.41</v>
      </c>
      <c r="H101" s="402">
        <v>24.11</v>
      </c>
      <c r="I101" s="402">
        <v>16.29</v>
      </c>
      <c r="J101" s="402">
        <v>2.01</v>
      </c>
      <c r="K101" s="402"/>
      <c r="L101" s="402"/>
      <c r="M101" s="402">
        <f t="shared" si="26"/>
        <v>0</v>
      </c>
      <c r="N101" s="402"/>
      <c r="O101" s="402"/>
      <c r="P101" s="402"/>
      <c r="Q101" s="402">
        <f t="shared" si="27"/>
        <v>0</v>
      </c>
      <c r="R101" s="402">
        <f t="shared" si="28"/>
        <v>0</v>
      </c>
      <c r="S101" s="402"/>
      <c r="T101" s="402"/>
      <c r="U101" s="402"/>
      <c r="V101" s="402"/>
      <c r="W101" s="402"/>
      <c r="X101" s="402"/>
      <c r="Y101" s="402">
        <f t="shared" si="29"/>
        <v>0</v>
      </c>
      <c r="Z101" s="402"/>
      <c r="AA101" s="402"/>
      <c r="AB101" s="402"/>
      <c r="AC101" s="402"/>
      <c r="AD101" s="402"/>
      <c r="AE101" s="402"/>
      <c r="AF101" s="402">
        <f t="shared" si="30"/>
        <v>17.61</v>
      </c>
      <c r="AG101" s="402">
        <v>6.79</v>
      </c>
      <c r="AH101" s="402">
        <v>3.23</v>
      </c>
      <c r="AI101" s="402">
        <v>2.42</v>
      </c>
      <c r="AJ101" s="402">
        <v>0.08</v>
      </c>
      <c r="AK101" s="402">
        <v>0.24</v>
      </c>
      <c r="AL101" s="402">
        <v>4.85</v>
      </c>
      <c r="AM101" s="402"/>
      <c r="AN101" s="350"/>
      <c r="AO101" s="205">
        <f t="shared" si="31"/>
        <v>0</v>
      </c>
    </row>
    <row r="102" ht="24" hidden="1" spans="1:41">
      <c r="A102" s="284" t="s">
        <v>195</v>
      </c>
      <c r="B102" s="284" t="s">
        <v>196</v>
      </c>
      <c r="C102" s="284" t="s">
        <v>302</v>
      </c>
      <c r="D102" s="284" t="s">
        <v>300</v>
      </c>
      <c r="E102" s="402">
        <f t="shared" si="24"/>
        <v>42.66</v>
      </c>
      <c r="F102" s="402">
        <f t="shared" si="25"/>
        <v>30.15</v>
      </c>
      <c r="G102" s="402">
        <f t="shared" si="32"/>
        <v>30.15</v>
      </c>
      <c r="H102" s="402">
        <v>17.48</v>
      </c>
      <c r="I102" s="402">
        <v>11.21</v>
      </c>
      <c r="J102" s="402">
        <v>1.46</v>
      </c>
      <c r="K102" s="402"/>
      <c r="L102" s="402"/>
      <c r="M102" s="402">
        <f t="shared" si="26"/>
        <v>0</v>
      </c>
      <c r="N102" s="402"/>
      <c r="O102" s="402"/>
      <c r="P102" s="402"/>
      <c r="Q102" s="402">
        <f t="shared" si="27"/>
        <v>0</v>
      </c>
      <c r="R102" s="402">
        <f t="shared" si="28"/>
        <v>0</v>
      </c>
      <c r="S102" s="402"/>
      <c r="T102" s="402"/>
      <c r="U102" s="402"/>
      <c r="V102" s="402"/>
      <c r="W102" s="402"/>
      <c r="X102" s="402"/>
      <c r="Y102" s="402">
        <f t="shared" si="29"/>
        <v>0</v>
      </c>
      <c r="Z102" s="402"/>
      <c r="AA102" s="402"/>
      <c r="AB102" s="402"/>
      <c r="AC102" s="402"/>
      <c r="AD102" s="402"/>
      <c r="AE102" s="402"/>
      <c r="AF102" s="402">
        <f t="shared" si="30"/>
        <v>12.51</v>
      </c>
      <c r="AG102" s="402">
        <v>4.82</v>
      </c>
      <c r="AH102" s="402">
        <v>2.3</v>
      </c>
      <c r="AI102" s="402">
        <v>1.72</v>
      </c>
      <c r="AJ102" s="402">
        <v>0.06</v>
      </c>
      <c r="AK102" s="402">
        <v>0.17</v>
      </c>
      <c r="AL102" s="402">
        <v>3.44</v>
      </c>
      <c r="AM102" s="402"/>
      <c r="AN102" s="350"/>
      <c r="AO102" s="205">
        <f t="shared" si="31"/>
        <v>0</v>
      </c>
    </row>
    <row r="103" ht="24" hidden="1" spans="1:41">
      <c r="A103" s="284" t="s">
        <v>195</v>
      </c>
      <c r="B103" s="284" t="s">
        <v>196</v>
      </c>
      <c r="C103" s="284" t="s">
        <v>303</v>
      </c>
      <c r="D103" s="284" t="s">
        <v>300</v>
      </c>
      <c r="E103" s="402">
        <f t="shared" si="24"/>
        <v>18.29</v>
      </c>
      <c r="F103" s="402">
        <f t="shared" si="25"/>
        <v>12.92</v>
      </c>
      <c r="G103" s="402">
        <f t="shared" si="32"/>
        <v>12.92</v>
      </c>
      <c r="H103" s="402">
        <v>7.03</v>
      </c>
      <c r="I103" s="402">
        <v>5.3</v>
      </c>
      <c r="J103" s="402">
        <v>0.59</v>
      </c>
      <c r="K103" s="402"/>
      <c r="L103" s="402"/>
      <c r="M103" s="402">
        <f t="shared" si="26"/>
        <v>0</v>
      </c>
      <c r="N103" s="402"/>
      <c r="O103" s="402"/>
      <c r="P103" s="402"/>
      <c r="Q103" s="402">
        <f t="shared" si="27"/>
        <v>0</v>
      </c>
      <c r="R103" s="402">
        <f t="shared" si="28"/>
        <v>0</v>
      </c>
      <c r="S103" s="402"/>
      <c r="T103" s="402"/>
      <c r="U103" s="402"/>
      <c r="V103" s="402"/>
      <c r="W103" s="402"/>
      <c r="X103" s="402"/>
      <c r="Y103" s="402">
        <f t="shared" si="29"/>
        <v>0</v>
      </c>
      <c r="Z103" s="402"/>
      <c r="AA103" s="402"/>
      <c r="AB103" s="402"/>
      <c r="AC103" s="402"/>
      <c r="AD103" s="402"/>
      <c r="AE103" s="402"/>
      <c r="AF103" s="402">
        <f t="shared" si="30"/>
        <v>5.37</v>
      </c>
      <c r="AG103" s="402">
        <v>2.07</v>
      </c>
      <c r="AH103" s="402">
        <v>0.99</v>
      </c>
      <c r="AI103" s="402">
        <v>0.74</v>
      </c>
      <c r="AJ103" s="402">
        <v>0.02</v>
      </c>
      <c r="AK103" s="402">
        <v>0.07</v>
      </c>
      <c r="AL103" s="402">
        <v>1.48</v>
      </c>
      <c r="AM103" s="402"/>
      <c r="AN103" s="350"/>
      <c r="AO103" s="205">
        <f t="shared" si="31"/>
        <v>0</v>
      </c>
    </row>
    <row r="104" ht="24" hidden="1" spans="1:41">
      <c r="A104" s="284" t="s">
        <v>195</v>
      </c>
      <c r="B104" s="284" t="s">
        <v>199</v>
      </c>
      <c r="C104" s="284" t="s">
        <v>304</v>
      </c>
      <c r="D104" s="284" t="s">
        <v>305</v>
      </c>
      <c r="E104" s="402">
        <f t="shared" si="24"/>
        <v>112.56</v>
      </c>
      <c r="F104" s="402">
        <f t="shared" si="25"/>
        <v>0</v>
      </c>
      <c r="G104" s="402">
        <f t="shared" si="32"/>
        <v>0</v>
      </c>
      <c r="H104" s="402"/>
      <c r="I104" s="402"/>
      <c r="J104" s="402"/>
      <c r="K104" s="402"/>
      <c r="L104" s="402"/>
      <c r="M104" s="402">
        <f t="shared" si="26"/>
        <v>0</v>
      </c>
      <c r="N104" s="402"/>
      <c r="O104" s="402"/>
      <c r="P104" s="402"/>
      <c r="Q104" s="402">
        <f t="shared" si="27"/>
        <v>78.82</v>
      </c>
      <c r="R104" s="402">
        <f t="shared" si="28"/>
        <v>67.44</v>
      </c>
      <c r="S104" s="402">
        <v>48.48</v>
      </c>
      <c r="T104" s="402"/>
      <c r="U104" s="402">
        <v>18.96</v>
      </c>
      <c r="V104" s="402"/>
      <c r="W104" s="402"/>
      <c r="X104" s="402"/>
      <c r="Y104" s="402">
        <f t="shared" si="29"/>
        <v>11.38</v>
      </c>
      <c r="Z104" s="402">
        <v>11.38</v>
      </c>
      <c r="AA104" s="402"/>
      <c r="AB104" s="402"/>
      <c r="AC104" s="402"/>
      <c r="AD104" s="402"/>
      <c r="AE104" s="402"/>
      <c r="AF104" s="402">
        <f t="shared" si="30"/>
        <v>33.74</v>
      </c>
      <c r="AG104" s="402">
        <v>12.61</v>
      </c>
      <c r="AH104" s="402">
        <v>6.31</v>
      </c>
      <c r="AI104" s="402">
        <v>4.73</v>
      </c>
      <c r="AJ104" s="402">
        <v>0.16</v>
      </c>
      <c r="AK104" s="402">
        <v>0.47</v>
      </c>
      <c r="AL104" s="402">
        <v>9.46</v>
      </c>
      <c r="AM104" s="402"/>
      <c r="AN104" s="350"/>
      <c r="AO104" s="205">
        <f t="shared" si="31"/>
        <v>0</v>
      </c>
    </row>
    <row r="105" ht="24" hidden="1" spans="1:42">
      <c r="A105" s="284" t="s">
        <v>221</v>
      </c>
      <c r="B105" s="284" t="s">
        <v>196</v>
      </c>
      <c r="C105" s="284" t="s">
        <v>306</v>
      </c>
      <c r="D105" s="284" t="s">
        <v>307</v>
      </c>
      <c r="E105" s="402">
        <f t="shared" si="24"/>
        <v>386.04</v>
      </c>
      <c r="F105" s="402">
        <f t="shared" si="25"/>
        <v>308.35</v>
      </c>
      <c r="G105" s="402">
        <f t="shared" si="32"/>
        <v>188.44</v>
      </c>
      <c r="H105" s="402">
        <v>107.14</v>
      </c>
      <c r="I105" s="402">
        <v>70.69</v>
      </c>
      <c r="J105" s="402">
        <v>9.82</v>
      </c>
      <c r="K105" s="402"/>
      <c r="L105" s="402">
        <v>0.79</v>
      </c>
      <c r="M105" s="402">
        <f t="shared" si="26"/>
        <v>119.91</v>
      </c>
      <c r="N105" s="402">
        <v>9.91</v>
      </c>
      <c r="O105" s="402"/>
      <c r="P105" s="404">
        <v>110</v>
      </c>
      <c r="Q105" s="402">
        <f t="shared" si="27"/>
        <v>0</v>
      </c>
      <c r="R105" s="402">
        <f t="shared" si="28"/>
        <v>0</v>
      </c>
      <c r="S105" s="402"/>
      <c r="T105" s="402"/>
      <c r="U105" s="402"/>
      <c r="V105" s="402"/>
      <c r="W105" s="402"/>
      <c r="X105" s="402"/>
      <c r="Y105" s="402">
        <f t="shared" si="29"/>
        <v>0</v>
      </c>
      <c r="Z105" s="402"/>
      <c r="AA105" s="402"/>
      <c r="AB105" s="402"/>
      <c r="AC105" s="402"/>
      <c r="AD105" s="402"/>
      <c r="AE105" s="402"/>
      <c r="AF105" s="402">
        <f t="shared" si="30"/>
        <v>77.69</v>
      </c>
      <c r="AG105" s="402">
        <v>30.02</v>
      </c>
      <c r="AH105" s="402">
        <v>14.23</v>
      </c>
      <c r="AI105" s="402">
        <v>10.67</v>
      </c>
      <c r="AJ105" s="402">
        <v>0.36</v>
      </c>
      <c r="AK105" s="402">
        <v>1.07</v>
      </c>
      <c r="AL105" s="402">
        <v>21.34</v>
      </c>
      <c r="AM105" s="402"/>
      <c r="AN105" s="350"/>
      <c r="AO105" s="205">
        <f t="shared" si="31"/>
        <v>110</v>
      </c>
      <c r="AP105">
        <v>21.1258</v>
      </c>
    </row>
    <row r="106" ht="36" hidden="1" spans="1:42">
      <c r="A106" s="284" t="s">
        <v>221</v>
      </c>
      <c r="B106" s="284" t="s">
        <v>199</v>
      </c>
      <c r="C106" s="284" t="s">
        <v>308</v>
      </c>
      <c r="D106" s="284" t="s">
        <v>309</v>
      </c>
      <c r="E106" s="402">
        <f t="shared" si="24"/>
        <v>145.0561</v>
      </c>
      <c r="F106" s="402">
        <f t="shared" si="25"/>
        <v>0</v>
      </c>
      <c r="G106" s="402">
        <f t="shared" si="32"/>
        <v>0</v>
      </c>
      <c r="H106" s="402"/>
      <c r="I106" s="402"/>
      <c r="J106" s="402"/>
      <c r="K106" s="402"/>
      <c r="L106" s="402"/>
      <c r="M106" s="402">
        <f t="shared" si="26"/>
        <v>0</v>
      </c>
      <c r="N106" s="402"/>
      <c r="O106" s="402"/>
      <c r="P106" s="402"/>
      <c r="Q106" s="402">
        <f t="shared" si="27"/>
        <v>117.3061</v>
      </c>
      <c r="R106" s="402">
        <f t="shared" si="28"/>
        <v>55.16</v>
      </c>
      <c r="S106" s="402">
        <v>39.05</v>
      </c>
      <c r="T106" s="402"/>
      <c r="U106" s="402">
        <v>16.11</v>
      </c>
      <c r="V106" s="402"/>
      <c r="W106" s="402"/>
      <c r="X106" s="402"/>
      <c r="Y106" s="402">
        <f t="shared" si="29"/>
        <v>62.1461</v>
      </c>
      <c r="Z106" s="402">
        <v>9.67</v>
      </c>
      <c r="AA106" s="402"/>
      <c r="AB106" s="402">
        <v>2.4761</v>
      </c>
      <c r="AC106" s="402"/>
      <c r="AD106" s="402"/>
      <c r="AE106" s="402">
        <v>50</v>
      </c>
      <c r="AF106" s="402">
        <f t="shared" si="30"/>
        <v>27.75</v>
      </c>
      <c r="AG106" s="402">
        <v>10.37</v>
      </c>
      <c r="AH106" s="402">
        <v>5.19</v>
      </c>
      <c r="AI106" s="402">
        <v>3.89</v>
      </c>
      <c r="AJ106" s="402">
        <v>0.13</v>
      </c>
      <c r="AK106" s="402">
        <v>0.39</v>
      </c>
      <c r="AL106" s="402">
        <v>7.78</v>
      </c>
      <c r="AM106" s="402"/>
      <c r="AN106" s="350"/>
      <c r="AO106" s="205">
        <f t="shared" si="31"/>
        <v>50</v>
      </c>
      <c r="AP106">
        <v>4.8367</v>
      </c>
    </row>
    <row r="107" ht="24" hidden="1" spans="1:42">
      <c r="A107" s="284" t="s">
        <v>221</v>
      </c>
      <c r="B107" s="284" t="s">
        <v>199</v>
      </c>
      <c r="C107" s="284" t="s">
        <v>310</v>
      </c>
      <c r="D107" s="284" t="s">
        <v>311</v>
      </c>
      <c r="E107" s="402">
        <f t="shared" si="24"/>
        <v>250.82</v>
      </c>
      <c r="F107" s="402">
        <f t="shared" si="25"/>
        <v>0</v>
      </c>
      <c r="G107" s="402">
        <f t="shared" si="32"/>
        <v>0</v>
      </c>
      <c r="H107" s="402"/>
      <c r="I107" s="402"/>
      <c r="J107" s="402"/>
      <c r="K107" s="402"/>
      <c r="L107" s="402"/>
      <c r="M107" s="402">
        <f t="shared" si="26"/>
        <v>0</v>
      </c>
      <c r="N107" s="402"/>
      <c r="O107" s="402"/>
      <c r="P107" s="404"/>
      <c r="Q107" s="402">
        <f t="shared" si="27"/>
        <v>200.82</v>
      </c>
      <c r="R107" s="402">
        <f t="shared" si="28"/>
        <v>100.75</v>
      </c>
      <c r="S107" s="402">
        <v>73.96</v>
      </c>
      <c r="T107" s="402"/>
      <c r="U107" s="402">
        <v>26.79</v>
      </c>
      <c r="V107" s="402"/>
      <c r="W107" s="402"/>
      <c r="X107" s="402"/>
      <c r="Y107" s="402">
        <f t="shared" si="29"/>
        <v>100.07</v>
      </c>
      <c r="Z107" s="402">
        <v>16.07</v>
      </c>
      <c r="AA107" s="402"/>
      <c r="AB107" s="402"/>
      <c r="AC107" s="402"/>
      <c r="AD107" s="402"/>
      <c r="AE107" s="404">
        <v>84</v>
      </c>
      <c r="AF107" s="402">
        <f t="shared" si="30"/>
        <v>50</v>
      </c>
      <c r="AG107" s="402">
        <v>18.69</v>
      </c>
      <c r="AH107" s="402">
        <v>9.35</v>
      </c>
      <c r="AI107" s="402">
        <v>7.01</v>
      </c>
      <c r="AJ107" s="402">
        <v>0.23</v>
      </c>
      <c r="AK107" s="402">
        <v>0.7</v>
      </c>
      <c r="AL107" s="402">
        <v>14.02</v>
      </c>
      <c r="AM107" s="402"/>
      <c r="AN107" s="350"/>
      <c r="AO107" s="205">
        <f t="shared" si="31"/>
        <v>84</v>
      </c>
      <c r="AP107">
        <v>8.84</v>
      </c>
    </row>
    <row r="108" ht="24" hidden="1" spans="1:42">
      <c r="A108" s="284" t="s">
        <v>221</v>
      </c>
      <c r="B108" s="284" t="s">
        <v>199</v>
      </c>
      <c r="C108" s="284" t="s">
        <v>312</v>
      </c>
      <c r="D108" s="284" t="s">
        <v>311</v>
      </c>
      <c r="E108" s="402">
        <f t="shared" si="24"/>
        <v>84.96</v>
      </c>
      <c r="F108" s="402">
        <f t="shared" si="25"/>
        <v>0</v>
      </c>
      <c r="G108" s="402">
        <f t="shared" si="32"/>
        <v>0</v>
      </c>
      <c r="H108" s="402"/>
      <c r="I108" s="402"/>
      <c r="J108" s="402"/>
      <c r="K108" s="402"/>
      <c r="L108" s="402"/>
      <c r="M108" s="402">
        <f t="shared" ref="M108:M140" si="33">SUM(N108:P108)</f>
        <v>0</v>
      </c>
      <c r="N108" s="402"/>
      <c r="O108" s="402"/>
      <c r="P108" s="402"/>
      <c r="Q108" s="402">
        <f t="shared" si="27"/>
        <v>68.48</v>
      </c>
      <c r="R108" s="402">
        <f t="shared" si="28"/>
        <v>32.95</v>
      </c>
      <c r="S108" s="402">
        <v>23.62</v>
      </c>
      <c r="T108" s="402">
        <v>0.12</v>
      </c>
      <c r="U108" s="402">
        <v>9.21</v>
      </c>
      <c r="V108" s="402"/>
      <c r="W108" s="402"/>
      <c r="X108" s="402"/>
      <c r="Y108" s="402">
        <f t="shared" si="29"/>
        <v>35.53</v>
      </c>
      <c r="Z108" s="402">
        <v>5.53</v>
      </c>
      <c r="AA108" s="402"/>
      <c r="AB108" s="402"/>
      <c r="AC108" s="402"/>
      <c r="AD108" s="402"/>
      <c r="AE108" s="402">
        <v>30</v>
      </c>
      <c r="AF108" s="402">
        <f t="shared" si="30"/>
        <v>16.48</v>
      </c>
      <c r="AG108" s="402">
        <v>6.16</v>
      </c>
      <c r="AH108" s="402">
        <v>3.08</v>
      </c>
      <c r="AI108" s="402">
        <v>2.31</v>
      </c>
      <c r="AJ108" s="402">
        <v>0.08</v>
      </c>
      <c r="AK108" s="402">
        <v>0.23</v>
      </c>
      <c r="AL108" s="402">
        <v>4.62</v>
      </c>
      <c r="AM108" s="402"/>
      <c r="AN108" s="350"/>
      <c r="AO108" s="205">
        <f t="shared" si="31"/>
        <v>30</v>
      </c>
      <c r="AP108">
        <v>3.2117</v>
      </c>
    </row>
    <row r="109" ht="24" hidden="1" spans="1:42">
      <c r="A109" s="284" t="s">
        <v>221</v>
      </c>
      <c r="B109" s="284" t="s">
        <v>199</v>
      </c>
      <c r="C109" s="284" t="s">
        <v>313</v>
      </c>
      <c r="D109" s="284" t="s">
        <v>311</v>
      </c>
      <c r="E109" s="402">
        <f t="shared" si="24"/>
        <v>244.5461</v>
      </c>
      <c r="F109" s="402">
        <f t="shared" si="25"/>
        <v>0</v>
      </c>
      <c r="G109" s="402">
        <f t="shared" si="32"/>
        <v>0</v>
      </c>
      <c r="H109" s="402"/>
      <c r="I109" s="402"/>
      <c r="J109" s="402"/>
      <c r="K109" s="402"/>
      <c r="L109" s="402"/>
      <c r="M109" s="402">
        <f t="shared" si="33"/>
        <v>0</v>
      </c>
      <c r="N109" s="402"/>
      <c r="O109" s="402"/>
      <c r="P109" s="404"/>
      <c r="Q109" s="402">
        <f t="shared" si="27"/>
        <v>197.1761</v>
      </c>
      <c r="R109" s="402">
        <f t="shared" si="28"/>
        <v>95.54</v>
      </c>
      <c r="S109" s="402">
        <v>68.14</v>
      </c>
      <c r="T109" s="402"/>
      <c r="U109" s="402">
        <v>27.4</v>
      </c>
      <c r="V109" s="402"/>
      <c r="W109" s="402"/>
      <c r="X109" s="402"/>
      <c r="Y109" s="402">
        <f t="shared" si="29"/>
        <v>101.6361</v>
      </c>
      <c r="Z109" s="402">
        <v>15.16</v>
      </c>
      <c r="AA109" s="402"/>
      <c r="AB109" s="402">
        <v>2.4761</v>
      </c>
      <c r="AC109" s="402"/>
      <c r="AD109" s="402"/>
      <c r="AE109" s="404">
        <v>84</v>
      </c>
      <c r="AF109" s="402">
        <f t="shared" si="30"/>
        <v>47.37</v>
      </c>
      <c r="AG109" s="402">
        <v>17.71</v>
      </c>
      <c r="AH109" s="402">
        <v>8.86</v>
      </c>
      <c r="AI109" s="402">
        <v>6.64</v>
      </c>
      <c r="AJ109" s="402">
        <v>0.22</v>
      </c>
      <c r="AK109" s="402">
        <v>0.66</v>
      </c>
      <c r="AL109" s="402">
        <v>13.28</v>
      </c>
      <c r="AM109" s="402"/>
      <c r="AN109" s="350"/>
      <c r="AO109" s="205">
        <f t="shared" si="31"/>
        <v>84</v>
      </c>
      <c r="AP109">
        <v>8.4167</v>
      </c>
    </row>
    <row r="110" ht="24" hidden="1" spans="1:42">
      <c r="A110" s="284" t="s">
        <v>221</v>
      </c>
      <c r="B110" s="284" t="s">
        <v>199</v>
      </c>
      <c r="C110" s="284" t="s">
        <v>314</v>
      </c>
      <c r="D110" s="284" t="s">
        <v>311</v>
      </c>
      <c r="E110" s="402">
        <f t="shared" si="24"/>
        <v>89.07</v>
      </c>
      <c r="F110" s="402">
        <f t="shared" si="25"/>
        <v>0</v>
      </c>
      <c r="G110" s="402">
        <f t="shared" si="32"/>
        <v>0</v>
      </c>
      <c r="H110" s="402"/>
      <c r="I110" s="402"/>
      <c r="J110" s="402"/>
      <c r="K110" s="402"/>
      <c r="L110" s="402"/>
      <c r="M110" s="402">
        <f t="shared" si="33"/>
        <v>0</v>
      </c>
      <c r="N110" s="402"/>
      <c r="O110" s="402"/>
      <c r="P110" s="402"/>
      <c r="Q110" s="402">
        <f t="shared" si="27"/>
        <v>72.86</v>
      </c>
      <c r="R110" s="402">
        <f t="shared" si="28"/>
        <v>32.02</v>
      </c>
      <c r="S110" s="402">
        <v>22.29</v>
      </c>
      <c r="T110" s="402"/>
      <c r="U110" s="402">
        <v>9.73</v>
      </c>
      <c r="V110" s="402"/>
      <c r="W110" s="402"/>
      <c r="X110" s="402"/>
      <c r="Y110" s="402">
        <f t="shared" si="29"/>
        <v>40.84</v>
      </c>
      <c r="Z110" s="402">
        <v>5.84</v>
      </c>
      <c r="AA110" s="402"/>
      <c r="AB110" s="402"/>
      <c r="AC110" s="402"/>
      <c r="AD110" s="402"/>
      <c r="AE110" s="402">
        <v>35</v>
      </c>
      <c r="AF110" s="402">
        <f t="shared" si="30"/>
        <v>16.21</v>
      </c>
      <c r="AG110" s="402">
        <v>6.06</v>
      </c>
      <c r="AH110" s="402">
        <v>3.03</v>
      </c>
      <c r="AI110" s="402">
        <v>2.27</v>
      </c>
      <c r="AJ110" s="402">
        <v>0.08</v>
      </c>
      <c r="AK110" s="402">
        <v>0.23</v>
      </c>
      <c r="AL110" s="402">
        <v>4.54</v>
      </c>
      <c r="AM110" s="402"/>
      <c r="AN110" s="350"/>
      <c r="AO110" s="205">
        <f t="shared" si="31"/>
        <v>35</v>
      </c>
      <c r="AP110">
        <v>3.5001</v>
      </c>
    </row>
    <row r="111" ht="24" hidden="1" spans="1:42">
      <c r="A111" s="284" t="s">
        <v>221</v>
      </c>
      <c r="B111" s="284" t="s">
        <v>199</v>
      </c>
      <c r="C111" s="284" t="s">
        <v>315</v>
      </c>
      <c r="D111" s="284" t="s">
        <v>311</v>
      </c>
      <c r="E111" s="402">
        <f t="shared" si="24"/>
        <v>79.73</v>
      </c>
      <c r="F111" s="402">
        <f t="shared" si="25"/>
        <v>0</v>
      </c>
      <c r="G111" s="402">
        <f t="shared" si="32"/>
        <v>0</v>
      </c>
      <c r="H111" s="402"/>
      <c r="I111" s="402"/>
      <c r="J111" s="402"/>
      <c r="K111" s="402"/>
      <c r="L111" s="402"/>
      <c r="M111" s="402">
        <f t="shared" si="33"/>
        <v>0</v>
      </c>
      <c r="N111" s="402"/>
      <c r="O111" s="402"/>
      <c r="P111" s="402"/>
      <c r="Q111" s="402">
        <f t="shared" si="27"/>
        <v>64.82</v>
      </c>
      <c r="R111" s="402">
        <f t="shared" si="28"/>
        <v>29.54</v>
      </c>
      <c r="S111" s="402">
        <v>20.75</v>
      </c>
      <c r="T111" s="402"/>
      <c r="U111" s="402">
        <v>8.79</v>
      </c>
      <c r="V111" s="402"/>
      <c r="W111" s="402"/>
      <c r="X111" s="402"/>
      <c r="Y111" s="402">
        <f t="shared" si="29"/>
        <v>35.28</v>
      </c>
      <c r="Z111" s="402">
        <v>5.28</v>
      </c>
      <c r="AA111" s="402"/>
      <c r="AB111" s="402"/>
      <c r="AC111" s="402"/>
      <c r="AD111" s="402"/>
      <c r="AE111" s="402">
        <v>30</v>
      </c>
      <c r="AF111" s="402">
        <f t="shared" si="30"/>
        <v>14.91</v>
      </c>
      <c r="AG111" s="402">
        <v>5.57</v>
      </c>
      <c r="AH111" s="402">
        <v>2.79</v>
      </c>
      <c r="AI111" s="402">
        <v>2.09</v>
      </c>
      <c r="AJ111" s="402">
        <v>0.07</v>
      </c>
      <c r="AK111" s="402">
        <v>0.21</v>
      </c>
      <c r="AL111" s="402">
        <v>4.18</v>
      </c>
      <c r="AM111" s="402"/>
      <c r="AN111" s="350"/>
      <c r="AO111" s="205">
        <f t="shared" si="31"/>
        <v>30</v>
      </c>
      <c r="AP111">
        <v>3</v>
      </c>
    </row>
    <row r="112" ht="24" hidden="1" spans="1:42">
      <c r="A112" s="284" t="s">
        <v>195</v>
      </c>
      <c r="B112" s="284" t="s">
        <v>196</v>
      </c>
      <c r="C112" s="284" t="s">
        <v>316</v>
      </c>
      <c r="D112" s="284" t="s">
        <v>317</v>
      </c>
      <c r="E112" s="402">
        <f t="shared" si="24"/>
        <v>257.06</v>
      </c>
      <c r="F112" s="402">
        <f t="shared" si="25"/>
        <v>228.7</v>
      </c>
      <c r="G112" s="402">
        <f t="shared" si="32"/>
        <v>70.7</v>
      </c>
      <c r="H112" s="402">
        <v>39.3</v>
      </c>
      <c r="I112" s="402">
        <v>25.75</v>
      </c>
      <c r="J112" s="402">
        <v>3.27</v>
      </c>
      <c r="K112" s="402"/>
      <c r="L112" s="402">
        <v>2.38</v>
      </c>
      <c r="M112" s="402">
        <f t="shared" si="33"/>
        <v>158</v>
      </c>
      <c r="N112" s="402"/>
      <c r="O112" s="402"/>
      <c r="P112" s="404">
        <v>158</v>
      </c>
      <c r="Q112" s="402">
        <f t="shared" si="27"/>
        <v>0</v>
      </c>
      <c r="R112" s="402">
        <f t="shared" si="28"/>
        <v>0</v>
      </c>
      <c r="S112" s="402"/>
      <c r="T112" s="402"/>
      <c r="U112" s="402"/>
      <c r="V112" s="402"/>
      <c r="W112" s="402"/>
      <c r="X112" s="402"/>
      <c r="Y112" s="402">
        <f t="shared" si="29"/>
        <v>0</v>
      </c>
      <c r="Z112" s="402"/>
      <c r="AA112" s="402"/>
      <c r="AB112" s="402"/>
      <c r="AC112" s="402"/>
      <c r="AD112" s="402"/>
      <c r="AE112" s="402"/>
      <c r="AF112" s="402">
        <f t="shared" si="30"/>
        <v>28.36</v>
      </c>
      <c r="AG112" s="402">
        <v>10.93</v>
      </c>
      <c r="AH112" s="402">
        <v>5.2</v>
      </c>
      <c r="AI112" s="402">
        <v>3.9</v>
      </c>
      <c r="AJ112" s="402">
        <v>0.13</v>
      </c>
      <c r="AK112" s="402">
        <v>0.39</v>
      </c>
      <c r="AL112" s="402">
        <v>7.81</v>
      </c>
      <c r="AM112" s="402"/>
      <c r="AN112" s="350"/>
      <c r="AO112" s="205">
        <f t="shared" si="31"/>
        <v>158</v>
      </c>
      <c r="AP112">
        <v>15.7792</v>
      </c>
    </row>
    <row r="113" ht="24" hidden="1" spans="1:41">
      <c r="A113" s="284" t="s">
        <v>195</v>
      </c>
      <c r="B113" s="284" t="s">
        <v>199</v>
      </c>
      <c r="C113" s="284" t="s">
        <v>318</v>
      </c>
      <c r="D113" s="284" t="s">
        <v>319</v>
      </c>
      <c r="E113" s="402">
        <f t="shared" si="24"/>
        <v>24.53</v>
      </c>
      <c r="F113" s="402">
        <f t="shared" si="25"/>
        <v>0</v>
      </c>
      <c r="G113" s="402">
        <f t="shared" si="32"/>
        <v>0</v>
      </c>
      <c r="H113" s="402"/>
      <c r="I113" s="402"/>
      <c r="J113" s="402"/>
      <c r="K113" s="402"/>
      <c r="L113" s="402"/>
      <c r="M113" s="402">
        <f t="shared" si="33"/>
        <v>0</v>
      </c>
      <c r="N113" s="402"/>
      <c r="O113" s="402"/>
      <c r="P113" s="402"/>
      <c r="Q113" s="402">
        <f t="shared" si="27"/>
        <v>17.19</v>
      </c>
      <c r="R113" s="402">
        <f t="shared" si="28"/>
        <v>14.4</v>
      </c>
      <c r="S113" s="402">
        <v>9.76</v>
      </c>
      <c r="T113" s="402"/>
      <c r="U113" s="402">
        <v>4.64</v>
      </c>
      <c r="V113" s="402"/>
      <c r="W113" s="402"/>
      <c r="X113" s="402"/>
      <c r="Y113" s="402">
        <f t="shared" si="29"/>
        <v>2.79</v>
      </c>
      <c r="Z113" s="402">
        <v>2.79</v>
      </c>
      <c r="AA113" s="402"/>
      <c r="AB113" s="402"/>
      <c r="AC113" s="402"/>
      <c r="AD113" s="402"/>
      <c r="AE113" s="402"/>
      <c r="AF113" s="402">
        <f t="shared" si="30"/>
        <v>7.34</v>
      </c>
      <c r="AG113" s="402">
        <v>2.75</v>
      </c>
      <c r="AH113" s="402">
        <v>1.37</v>
      </c>
      <c r="AI113" s="402">
        <v>1.03</v>
      </c>
      <c r="AJ113" s="402">
        <v>0.03</v>
      </c>
      <c r="AK113" s="402">
        <v>0.1</v>
      </c>
      <c r="AL113" s="402">
        <v>2.06</v>
      </c>
      <c r="AM113" s="402"/>
      <c r="AN113" s="350"/>
      <c r="AO113" s="205">
        <f t="shared" si="31"/>
        <v>0</v>
      </c>
    </row>
    <row r="114" ht="24" hidden="1" spans="1:41">
      <c r="A114" s="284" t="s">
        <v>195</v>
      </c>
      <c r="B114" s="284" t="s">
        <v>199</v>
      </c>
      <c r="C114" s="284" t="s">
        <v>320</v>
      </c>
      <c r="D114" s="284" t="s">
        <v>319</v>
      </c>
      <c r="E114" s="402">
        <f t="shared" si="24"/>
        <v>51.38</v>
      </c>
      <c r="F114" s="402">
        <f t="shared" si="25"/>
        <v>0</v>
      </c>
      <c r="G114" s="402">
        <f t="shared" si="32"/>
        <v>0</v>
      </c>
      <c r="H114" s="402"/>
      <c r="I114" s="402"/>
      <c r="J114" s="402"/>
      <c r="K114" s="402"/>
      <c r="L114" s="402"/>
      <c r="M114" s="402">
        <f t="shared" si="33"/>
        <v>0</v>
      </c>
      <c r="N114" s="402"/>
      <c r="O114" s="402"/>
      <c r="P114" s="402"/>
      <c r="Q114" s="402">
        <f t="shared" si="27"/>
        <v>41.17</v>
      </c>
      <c r="R114" s="402">
        <f t="shared" si="28"/>
        <v>20.2</v>
      </c>
      <c r="S114" s="402">
        <v>14.14</v>
      </c>
      <c r="T114" s="402"/>
      <c r="U114" s="402">
        <v>6.06</v>
      </c>
      <c r="V114" s="402"/>
      <c r="W114" s="402"/>
      <c r="X114" s="402"/>
      <c r="Y114" s="402">
        <f t="shared" si="29"/>
        <v>20.97</v>
      </c>
      <c r="Z114" s="402">
        <v>3.64</v>
      </c>
      <c r="AA114" s="402"/>
      <c r="AB114" s="402">
        <v>17.33</v>
      </c>
      <c r="AC114" s="402"/>
      <c r="AD114" s="402"/>
      <c r="AE114" s="402"/>
      <c r="AF114" s="402">
        <f t="shared" si="30"/>
        <v>10.21</v>
      </c>
      <c r="AG114" s="402">
        <v>3.82</v>
      </c>
      <c r="AH114" s="402">
        <v>1.91</v>
      </c>
      <c r="AI114" s="402">
        <v>1.43</v>
      </c>
      <c r="AJ114" s="402">
        <v>0.05</v>
      </c>
      <c r="AK114" s="402">
        <v>0.14</v>
      </c>
      <c r="AL114" s="402">
        <v>2.86</v>
      </c>
      <c r="AM114" s="402"/>
      <c r="AN114" s="350"/>
      <c r="AO114" s="205">
        <f t="shared" si="31"/>
        <v>0</v>
      </c>
    </row>
    <row r="115" ht="24" hidden="1" spans="1:41">
      <c r="A115" s="284" t="s">
        <v>195</v>
      </c>
      <c r="B115" s="284" t="s">
        <v>199</v>
      </c>
      <c r="C115" s="284" t="s">
        <v>321</v>
      </c>
      <c r="D115" s="284" t="s">
        <v>319</v>
      </c>
      <c r="E115" s="402">
        <f t="shared" si="24"/>
        <v>43.97</v>
      </c>
      <c r="F115" s="402">
        <f t="shared" si="25"/>
        <v>0</v>
      </c>
      <c r="G115" s="402">
        <f t="shared" si="32"/>
        <v>0</v>
      </c>
      <c r="H115" s="402"/>
      <c r="I115" s="402"/>
      <c r="J115" s="402"/>
      <c r="K115" s="402"/>
      <c r="L115" s="402"/>
      <c r="M115" s="402">
        <f t="shared" si="33"/>
        <v>0</v>
      </c>
      <c r="N115" s="402"/>
      <c r="O115" s="402"/>
      <c r="P115" s="402"/>
      <c r="Q115" s="402">
        <f t="shared" si="27"/>
        <v>30.79</v>
      </c>
      <c r="R115" s="402">
        <f t="shared" si="28"/>
        <v>25.72</v>
      </c>
      <c r="S115" s="402">
        <v>17.28</v>
      </c>
      <c r="T115" s="402"/>
      <c r="U115" s="402">
        <v>8.44</v>
      </c>
      <c r="V115" s="402"/>
      <c r="W115" s="402"/>
      <c r="X115" s="402"/>
      <c r="Y115" s="402">
        <f t="shared" si="29"/>
        <v>5.07</v>
      </c>
      <c r="Z115" s="402">
        <v>5.07</v>
      </c>
      <c r="AA115" s="402"/>
      <c r="AB115" s="402"/>
      <c r="AC115" s="402"/>
      <c r="AD115" s="402"/>
      <c r="AE115" s="402"/>
      <c r="AF115" s="402">
        <f t="shared" si="30"/>
        <v>13.18</v>
      </c>
      <c r="AG115" s="402">
        <v>4.93</v>
      </c>
      <c r="AH115" s="402">
        <v>2.46</v>
      </c>
      <c r="AI115" s="402">
        <v>1.85</v>
      </c>
      <c r="AJ115" s="402">
        <v>0.06</v>
      </c>
      <c r="AK115" s="402">
        <v>0.18</v>
      </c>
      <c r="AL115" s="402">
        <v>3.7</v>
      </c>
      <c r="AM115" s="402"/>
      <c r="AN115" s="350"/>
      <c r="AO115" s="205">
        <f t="shared" si="31"/>
        <v>0</v>
      </c>
    </row>
    <row r="116" ht="24" hidden="1" spans="1:41">
      <c r="A116" s="284" t="s">
        <v>195</v>
      </c>
      <c r="B116" s="284" t="s">
        <v>199</v>
      </c>
      <c r="C116" s="284" t="s">
        <v>322</v>
      </c>
      <c r="D116" s="284" t="s">
        <v>319</v>
      </c>
      <c r="E116" s="402">
        <f t="shared" si="24"/>
        <v>36.22</v>
      </c>
      <c r="F116" s="402">
        <f t="shared" si="25"/>
        <v>0</v>
      </c>
      <c r="G116" s="402">
        <f t="shared" si="32"/>
        <v>0</v>
      </c>
      <c r="H116" s="402"/>
      <c r="I116" s="402"/>
      <c r="J116" s="402"/>
      <c r="K116" s="402"/>
      <c r="L116" s="402"/>
      <c r="M116" s="402">
        <f t="shared" si="33"/>
        <v>0</v>
      </c>
      <c r="N116" s="402"/>
      <c r="O116" s="402"/>
      <c r="P116" s="402"/>
      <c r="Q116" s="402">
        <f t="shared" si="27"/>
        <v>25.37</v>
      </c>
      <c r="R116" s="402">
        <f t="shared" si="28"/>
        <v>21.65</v>
      </c>
      <c r="S116" s="402">
        <v>15.44</v>
      </c>
      <c r="T116" s="402"/>
      <c r="U116" s="402">
        <v>6.21</v>
      </c>
      <c r="V116" s="402"/>
      <c r="W116" s="402"/>
      <c r="X116" s="402"/>
      <c r="Y116" s="402">
        <f t="shared" si="29"/>
        <v>3.72</v>
      </c>
      <c r="Z116" s="402">
        <v>3.72</v>
      </c>
      <c r="AA116" s="402"/>
      <c r="AB116" s="402"/>
      <c r="AC116" s="402"/>
      <c r="AD116" s="402"/>
      <c r="AE116" s="402"/>
      <c r="AF116" s="402">
        <f t="shared" si="30"/>
        <v>10.85</v>
      </c>
      <c r="AG116" s="402">
        <v>4.06</v>
      </c>
      <c r="AH116" s="402">
        <v>2.03</v>
      </c>
      <c r="AI116" s="402">
        <v>1.52</v>
      </c>
      <c r="AJ116" s="402">
        <v>0.05</v>
      </c>
      <c r="AK116" s="402">
        <v>0.15</v>
      </c>
      <c r="AL116" s="402">
        <v>3.04</v>
      </c>
      <c r="AM116" s="402"/>
      <c r="AN116" s="350"/>
      <c r="AO116" s="205">
        <f t="shared" si="31"/>
        <v>0</v>
      </c>
    </row>
    <row r="117" ht="24" hidden="1" spans="1:42">
      <c r="A117" s="284" t="s">
        <v>195</v>
      </c>
      <c r="B117" s="284" t="s">
        <v>196</v>
      </c>
      <c r="C117" s="284" t="s">
        <v>323</v>
      </c>
      <c r="D117" s="284" t="s">
        <v>324</v>
      </c>
      <c r="E117" s="402">
        <f t="shared" si="24"/>
        <v>986.55</v>
      </c>
      <c r="F117" s="402">
        <f t="shared" si="25"/>
        <v>853.8</v>
      </c>
      <c r="G117" s="402">
        <f t="shared" si="32"/>
        <v>318.42</v>
      </c>
      <c r="H117" s="402">
        <v>169.25</v>
      </c>
      <c r="I117" s="402">
        <v>135.98</v>
      </c>
      <c r="J117" s="402">
        <v>13.19</v>
      </c>
      <c r="K117" s="402"/>
      <c r="L117" s="402"/>
      <c r="M117" s="402">
        <f t="shared" si="33"/>
        <v>535.38</v>
      </c>
      <c r="N117" s="402">
        <v>12.38</v>
      </c>
      <c r="O117" s="402"/>
      <c r="P117" s="404">
        <v>523</v>
      </c>
      <c r="Q117" s="402">
        <f t="shared" si="27"/>
        <v>0</v>
      </c>
      <c r="R117" s="402">
        <f t="shared" si="28"/>
        <v>0</v>
      </c>
      <c r="S117" s="402"/>
      <c r="T117" s="402"/>
      <c r="U117" s="402"/>
      <c r="V117" s="402"/>
      <c r="W117" s="402"/>
      <c r="X117" s="402"/>
      <c r="Y117" s="402">
        <f t="shared" si="29"/>
        <v>0</v>
      </c>
      <c r="Z117" s="402"/>
      <c r="AA117" s="402"/>
      <c r="AB117" s="402"/>
      <c r="AC117" s="402"/>
      <c r="AD117" s="402"/>
      <c r="AE117" s="402"/>
      <c r="AF117" s="402">
        <f t="shared" si="30"/>
        <v>132.75</v>
      </c>
      <c r="AG117" s="402">
        <v>50.95</v>
      </c>
      <c r="AH117" s="402">
        <v>24.42</v>
      </c>
      <c r="AI117" s="402">
        <v>18.31</v>
      </c>
      <c r="AJ117" s="402">
        <v>0.61</v>
      </c>
      <c r="AK117" s="402">
        <v>1.83</v>
      </c>
      <c r="AL117" s="402">
        <v>36.63</v>
      </c>
      <c r="AM117" s="402"/>
      <c r="AN117" s="350"/>
      <c r="AO117" s="205">
        <f t="shared" si="31"/>
        <v>523</v>
      </c>
      <c r="AP117">
        <v>29.9633</v>
      </c>
    </row>
    <row r="118" ht="24" hidden="1" spans="1:42">
      <c r="A118" s="284" t="s">
        <v>195</v>
      </c>
      <c r="B118" s="284" t="s">
        <v>199</v>
      </c>
      <c r="C118" s="284" t="s">
        <v>325</v>
      </c>
      <c r="D118" s="284" t="s">
        <v>326</v>
      </c>
      <c r="E118" s="402">
        <f t="shared" si="24"/>
        <v>76.37</v>
      </c>
      <c r="F118" s="402">
        <f t="shared" si="25"/>
        <v>0</v>
      </c>
      <c r="G118" s="402">
        <f t="shared" si="32"/>
        <v>0</v>
      </c>
      <c r="H118" s="402"/>
      <c r="I118" s="402"/>
      <c r="J118" s="402"/>
      <c r="K118" s="402"/>
      <c r="L118" s="402"/>
      <c r="M118" s="402">
        <f t="shared" si="33"/>
        <v>0</v>
      </c>
      <c r="N118" s="402"/>
      <c r="O118" s="402"/>
      <c r="P118" s="402"/>
      <c r="Q118" s="402">
        <f t="shared" si="27"/>
        <v>63.07</v>
      </c>
      <c r="R118" s="402">
        <f t="shared" si="28"/>
        <v>26.69</v>
      </c>
      <c r="S118" s="402">
        <v>18.06</v>
      </c>
      <c r="T118" s="402">
        <v>1.32</v>
      </c>
      <c r="U118" s="402">
        <v>7.31</v>
      </c>
      <c r="V118" s="402"/>
      <c r="W118" s="402"/>
      <c r="X118" s="402"/>
      <c r="Y118" s="402">
        <f t="shared" si="29"/>
        <v>36.38</v>
      </c>
      <c r="Z118" s="402">
        <v>4.38</v>
      </c>
      <c r="AA118" s="402"/>
      <c r="AB118" s="402"/>
      <c r="AC118" s="402"/>
      <c r="AD118" s="402"/>
      <c r="AE118" s="402">
        <v>32</v>
      </c>
      <c r="AF118" s="402">
        <f t="shared" si="30"/>
        <v>13.3</v>
      </c>
      <c r="AG118" s="402">
        <v>4.97</v>
      </c>
      <c r="AH118" s="402">
        <v>2.49</v>
      </c>
      <c r="AI118" s="402">
        <v>1.86</v>
      </c>
      <c r="AJ118" s="402">
        <v>0.06</v>
      </c>
      <c r="AK118" s="402">
        <v>0.19</v>
      </c>
      <c r="AL118" s="402">
        <v>3.73</v>
      </c>
      <c r="AM118" s="402"/>
      <c r="AN118" s="350"/>
      <c r="AO118" s="205">
        <f t="shared" si="31"/>
        <v>32</v>
      </c>
      <c r="AP118">
        <v>2.6251</v>
      </c>
    </row>
    <row r="119" ht="24" hidden="1" spans="1:42">
      <c r="A119" s="284" t="s">
        <v>208</v>
      </c>
      <c r="B119" s="284" t="s">
        <v>196</v>
      </c>
      <c r="C119" s="284" t="s">
        <v>327</v>
      </c>
      <c r="D119" s="284" t="s">
        <v>328</v>
      </c>
      <c r="E119" s="402">
        <f t="shared" si="24"/>
        <v>263.48</v>
      </c>
      <c r="F119" s="402">
        <f t="shared" si="25"/>
        <v>202.37</v>
      </c>
      <c r="G119" s="402">
        <f t="shared" si="32"/>
        <v>138.37</v>
      </c>
      <c r="H119" s="402">
        <v>79.27</v>
      </c>
      <c r="I119" s="402">
        <v>51.7</v>
      </c>
      <c r="J119" s="402">
        <v>6.61</v>
      </c>
      <c r="K119" s="402"/>
      <c r="L119" s="402">
        <v>0.79</v>
      </c>
      <c r="M119" s="402">
        <f t="shared" si="33"/>
        <v>64</v>
      </c>
      <c r="N119" s="402"/>
      <c r="O119" s="402"/>
      <c r="P119" s="404">
        <v>64</v>
      </c>
      <c r="Q119" s="402">
        <f t="shared" si="27"/>
        <v>0</v>
      </c>
      <c r="R119" s="402">
        <f t="shared" si="28"/>
        <v>0</v>
      </c>
      <c r="S119" s="402"/>
      <c r="T119" s="402"/>
      <c r="U119" s="402"/>
      <c r="V119" s="402"/>
      <c r="W119" s="402"/>
      <c r="X119" s="402"/>
      <c r="Y119" s="402">
        <f t="shared" si="29"/>
        <v>0</v>
      </c>
      <c r="Z119" s="402"/>
      <c r="AA119" s="402"/>
      <c r="AB119" s="402"/>
      <c r="AC119" s="402"/>
      <c r="AD119" s="402"/>
      <c r="AE119" s="402"/>
      <c r="AF119" s="402">
        <f t="shared" si="30"/>
        <v>61.11</v>
      </c>
      <c r="AG119" s="402">
        <v>22.01</v>
      </c>
      <c r="AH119" s="402">
        <v>10.48</v>
      </c>
      <c r="AI119" s="402">
        <v>7.86</v>
      </c>
      <c r="AJ119" s="402">
        <v>0.26</v>
      </c>
      <c r="AK119" s="402">
        <v>0.79</v>
      </c>
      <c r="AL119" s="402">
        <v>15.72</v>
      </c>
      <c r="AM119" s="402">
        <v>3.99</v>
      </c>
      <c r="AN119" s="350"/>
      <c r="AO119" s="205">
        <f t="shared" si="31"/>
        <v>64</v>
      </c>
      <c r="AP119">
        <v>28.3298</v>
      </c>
    </row>
    <row r="120" ht="24" hidden="1" spans="1:42">
      <c r="A120" s="284" t="s">
        <v>290</v>
      </c>
      <c r="B120" s="284" t="s">
        <v>196</v>
      </c>
      <c r="C120" s="284" t="s">
        <v>329</v>
      </c>
      <c r="D120" s="284" t="s">
        <v>328</v>
      </c>
      <c r="E120" s="402">
        <f t="shared" si="24"/>
        <v>262.69</v>
      </c>
      <c r="F120" s="402">
        <f t="shared" si="25"/>
        <v>223.26</v>
      </c>
      <c r="G120" s="402">
        <f t="shared" si="32"/>
        <v>94.81</v>
      </c>
      <c r="H120" s="402">
        <v>51.21</v>
      </c>
      <c r="I120" s="402">
        <v>39.33</v>
      </c>
      <c r="J120" s="402">
        <v>4.27</v>
      </c>
      <c r="K120" s="402"/>
      <c r="L120" s="402"/>
      <c r="M120" s="402">
        <f t="shared" si="33"/>
        <v>128.45</v>
      </c>
      <c r="N120" s="402">
        <v>40.45</v>
      </c>
      <c r="O120" s="402"/>
      <c r="P120" s="404">
        <v>88</v>
      </c>
      <c r="Q120" s="402">
        <f t="shared" si="27"/>
        <v>0</v>
      </c>
      <c r="R120" s="402">
        <f t="shared" si="28"/>
        <v>0</v>
      </c>
      <c r="S120" s="402"/>
      <c r="T120" s="402"/>
      <c r="U120" s="402"/>
      <c r="V120" s="402"/>
      <c r="W120" s="402"/>
      <c r="X120" s="402"/>
      <c r="Y120" s="402">
        <f t="shared" si="29"/>
        <v>0</v>
      </c>
      <c r="Z120" s="402"/>
      <c r="AA120" s="402"/>
      <c r="AB120" s="402"/>
      <c r="AC120" s="402"/>
      <c r="AD120" s="402"/>
      <c r="AE120" s="402"/>
      <c r="AF120" s="402">
        <f t="shared" si="30"/>
        <v>39.43</v>
      </c>
      <c r="AG120" s="402">
        <v>15.17</v>
      </c>
      <c r="AH120" s="402">
        <v>7.24</v>
      </c>
      <c r="AI120" s="402">
        <v>5.43</v>
      </c>
      <c r="AJ120" s="402">
        <v>0.18</v>
      </c>
      <c r="AK120" s="402">
        <v>0.54</v>
      </c>
      <c r="AL120" s="402">
        <v>10.87</v>
      </c>
      <c r="AM120" s="402"/>
      <c r="AN120" s="350"/>
      <c r="AO120" s="205">
        <f t="shared" si="31"/>
        <v>88</v>
      </c>
      <c r="AP120">
        <v>7.6792</v>
      </c>
    </row>
    <row r="121" ht="24" hidden="1" spans="1:42">
      <c r="A121" s="284" t="s">
        <v>208</v>
      </c>
      <c r="B121" s="284" t="s">
        <v>196</v>
      </c>
      <c r="C121" s="284" t="s">
        <v>330</v>
      </c>
      <c r="D121" s="284" t="s">
        <v>328</v>
      </c>
      <c r="E121" s="402">
        <f t="shared" si="24"/>
        <v>130.37</v>
      </c>
      <c r="F121" s="402">
        <f t="shared" si="25"/>
        <v>106.8</v>
      </c>
      <c r="G121" s="402">
        <f t="shared" si="32"/>
        <v>56.89</v>
      </c>
      <c r="H121" s="402">
        <v>31.85</v>
      </c>
      <c r="I121" s="402">
        <v>22.17</v>
      </c>
      <c r="J121" s="402">
        <v>2.87</v>
      </c>
      <c r="K121" s="402"/>
      <c r="L121" s="402"/>
      <c r="M121" s="402">
        <f t="shared" si="33"/>
        <v>49.91</v>
      </c>
      <c r="N121" s="402">
        <v>9.91</v>
      </c>
      <c r="O121" s="402"/>
      <c r="P121" s="402">
        <v>40</v>
      </c>
      <c r="Q121" s="402">
        <f t="shared" si="27"/>
        <v>0</v>
      </c>
      <c r="R121" s="402">
        <f t="shared" si="28"/>
        <v>0</v>
      </c>
      <c r="S121" s="402"/>
      <c r="T121" s="402"/>
      <c r="U121" s="402"/>
      <c r="V121" s="402"/>
      <c r="W121" s="402"/>
      <c r="X121" s="402"/>
      <c r="Y121" s="402">
        <f t="shared" si="29"/>
        <v>0</v>
      </c>
      <c r="Z121" s="402"/>
      <c r="AA121" s="402"/>
      <c r="AB121" s="402"/>
      <c r="AC121" s="402"/>
      <c r="AD121" s="402"/>
      <c r="AE121" s="402"/>
      <c r="AF121" s="402">
        <f t="shared" si="30"/>
        <v>23.57</v>
      </c>
      <c r="AG121" s="402">
        <v>9.1</v>
      </c>
      <c r="AH121" s="402">
        <v>4.32</v>
      </c>
      <c r="AI121" s="402">
        <v>3.24</v>
      </c>
      <c r="AJ121" s="402">
        <v>0.11</v>
      </c>
      <c r="AK121" s="402">
        <v>0.32</v>
      </c>
      <c r="AL121" s="402">
        <v>6.48</v>
      </c>
      <c r="AM121" s="402"/>
      <c r="AN121" s="350"/>
      <c r="AO121" s="205">
        <f t="shared" si="31"/>
        <v>40</v>
      </c>
      <c r="AP121">
        <v>6.8138</v>
      </c>
    </row>
    <row r="122" ht="24" hidden="1" spans="1:42">
      <c r="A122" s="284" t="s">
        <v>208</v>
      </c>
      <c r="B122" s="284" t="s">
        <v>199</v>
      </c>
      <c r="C122" s="284" t="s">
        <v>331</v>
      </c>
      <c r="D122" s="284" t="s">
        <v>332</v>
      </c>
      <c r="E122" s="402">
        <f t="shared" si="24"/>
        <v>180.84</v>
      </c>
      <c r="F122" s="402">
        <f t="shared" si="25"/>
        <v>0</v>
      </c>
      <c r="G122" s="402">
        <f t="shared" si="32"/>
        <v>0</v>
      </c>
      <c r="H122" s="402"/>
      <c r="I122" s="402"/>
      <c r="J122" s="402"/>
      <c r="K122" s="402"/>
      <c r="L122" s="402"/>
      <c r="M122" s="402">
        <f t="shared" si="33"/>
        <v>0</v>
      </c>
      <c r="N122" s="402"/>
      <c r="O122" s="402"/>
      <c r="P122" s="402"/>
      <c r="Q122" s="402">
        <f t="shared" si="27"/>
        <v>144.32</v>
      </c>
      <c r="R122" s="402">
        <f t="shared" si="28"/>
        <v>73.91</v>
      </c>
      <c r="S122" s="402">
        <v>54.89</v>
      </c>
      <c r="T122" s="402"/>
      <c r="U122" s="402">
        <v>19.02</v>
      </c>
      <c r="V122" s="402"/>
      <c r="W122" s="402"/>
      <c r="X122" s="402"/>
      <c r="Y122" s="402">
        <f t="shared" si="29"/>
        <v>70.41</v>
      </c>
      <c r="Z122" s="402">
        <v>11.41</v>
      </c>
      <c r="AA122" s="402"/>
      <c r="AB122" s="402"/>
      <c r="AC122" s="402"/>
      <c r="AD122" s="402"/>
      <c r="AE122" s="402">
        <v>59</v>
      </c>
      <c r="AF122" s="402">
        <f t="shared" si="30"/>
        <v>36.52</v>
      </c>
      <c r="AG122" s="402">
        <v>13.65</v>
      </c>
      <c r="AH122" s="402">
        <v>6.83</v>
      </c>
      <c r="AI122" s="402">
        <v>5.12</v>
      </c>
      <c r="AJ122" s="402">
        <v>0.17</v>
      </c>
      <c r="AK122" s="402">
        <v>0.51</v>
      </c>
      <c r="AL122" s="402">
        <v>10.24</v>
      </c>
      <c r="AM122" s="402"/>
      <c r="AN122" s="350"/>
      <c r="AO122" s="205">
        <f t="shared" si="31"/>
        <v>59</v>
      </c>
      <c r="AP122">
        <v>6</v>
      </c>
    </row>
    <row r="123" ht="24" hidden="1" spans="1:42">
      <c r="A123" s="284" t="s">
        <v>208</v>
      </c>
      <c r="B123" s="284" t="s">
        <v>199</v>
      </c>
      <c r="C123" s="284" t="s">
        <v>333</v>
      </c>
      <c r="D123" s="284" t="s">
        <v>332</v>
      </c>
      <c r="E123" s="402">
        <f t="shared" si="24"/>
        <v>153.65</v>
      </c>
      <c r="F123" s="402">
        <f t="shared" si="25"/>
        <v>0</v>
      </c>
      <c r="G123" s="402">
        <f t="shared" si="32"/>
        <v>0</v>
      </c>
      <c r="H123" s="402"/>
      <c r="I123" s="402"/>
      <c r="J123" s="402"/>
      <c r="K123" s="402"/>
      <c r="L123" s="402"/>
      <c r="M123" s="402">
        <f t="shared" si="33"/>
        <v>0</v>
      </c>
      <c r="N123" s="402"/>
      <c r="O123" s="402"/>
      <c r="P123" s="402"/>
      <c r="Q123" s="402">
        <f t="shared" si="27"/>
        <v>122.58</v>
      </c>
      <c r="R123" s="402">
        <f t="shared" si="28"/>
        <v>63.56</v>
      </c>
      <c r="S123" s="402">
        <v>48.52</v>
      </c>
      <c r="T123" s="402"/>
      <c r="U123" s="402">
        <v>15.04</v>
      </c>
      <c r="V123" s="402"/>
      <c r="W123" s="402"/>
      <c r="X123" s="402"/>
      <c r="Y123" s="402">
        <f t="shared" si="29"/>
        <v>59.02</v>
      </c>
      <c r="Z123" s="402">
        <v>9.02</v>
      </c>
      <c r="AA123" s="402"/>
      <c r="AB123" s="402"/>
      <c r="AC123" s="402"/>
      <c r="AD123" s="402"/>
      <c r="AE123" s="402">
        <v>50</v>
      </c>
      <c r="AF123" s="402">
        <f t="shared" si="30"/>
        <v>31.07</v>
      </c>
      <c r="AG123" s="402">
        <v>11.61</v>
      </c>
      <c r="AH123" s="402">
        <v>5.81</v>
      </c>
      <c r="AI123" s="402">
        <v>4.35</v>
      </c>
      <c r="AJ123" s="402">
        <v>0.15</v>
      </c>
      <c r="AK123" s="402">
        <v>0.44</v>
      </c>
      <c r="AL123" s="402">
        <v>8.71</v>
      </c>
      <c r="AM123" s="402"/>
      <c r="AN123" s="350"/>
      <c r="AO123" s="205">
        <f t="shared" si="31"/>
        <v>50</v>
      </c>
      <c r="AP123">
        <v>5</v>
      </c>
    </row>
    <row r="124" ht="24" hidden="1" spans="1:42">
      <c r="A124" s="284" t="s">
        <v>208</v>
      </c>
      <c r="B124" s="284" t="s">
        <v>199</v>
      </c>
      <c r="C124" s="284" t="s">
        <v>334</v>
      </c>
      <c r="D124" s="284" t="s">
        <v>332</v>
      </c>
      <c r="E124" s="402">
        <f t="shared" si="24"/>
        <v>37.82</v>
      </c>
      <c r="F124" s="402">
        <f t="shared" si="25"/>
        <v>0</v>
      </c>
      <c r="G124" s="402">
        <f t="shared" si="32"/>
        <v>0</v>
      </c>
      <c r="H124" s="402"/>
      <c r="I124" s="402"/>
      <c r="J124" s="402"/>
      <c r="K124" s="402"/>
      <c r="L124" s="402"/>
      <c r="M124" s="402">
        <f t="shared" si="33"/>
        <v>0</v>
      </c>
      <c r="N124" s="402"/>
      <c r="O124" s="402"/>
      <c r="P124" s="402"/>
      <c r="Q124" s="402">
        <f t="shared" si="27"/>
        <v>30.97</v>
      </c>
      <c r="R124" s="402">
        <f t="shared" si="28"/>
        <v>13.41</v>
      </c>
      <c r="S124" s="402">
        <v>9.14</v>
      </c>
      <c r="T124" s="402"/>
      <c r="U124" s="402">
        <v>4.27</v>
      </c>
      <c r="V124" s="402"/>
      <c r="W124" s="402"/>
      <c r="X124" s="402"/>
      <c r="Y124" s="402">
        <f t="shared" si="29"/>
        <v>17.56</v>
      </c>
      <c r="Z124" s="402">
        <v>2.56</v>
      </c>
      <c r="AA124" s="402"/>
      <c r="AB124" s="402"/>
      <c r="AC124" s="402"/>
      <c r="AD124" s="402"/>
      <c r="AE124" s="402">
        <v>15</v>
      </c>
      <c r="AF124" s="402">
        <f t="shared" si="30"/>
        <v>6.85</v>
      </c>
      <c r="AG124" s="402">
        <v>2.56</v>
      </c>
      <c r="AH124" s="402">
        <v>1.28</v>
      </c>
      <c r="AI124" s="402">
        <v>0.96</v>
      </c>
      <c r="AJ124" s="402">
        <v>0.03</v>
      </c>
      <c r="AK124" s="402">
        <v>0.1</v>
      </c>
      <c r="AL124" s="402">
        <v>1.92</v>
      </c>
      <c r="AM124" s="402"/>
      <c r="AN124" s="350"/>
      <c r="AO124" s="205">
        <f t="shared" si="31"/>
        <v>15</v>
      </c>
      <c r="AP124">
        <v>1.5</v>
      </c>
    </row>
    <row r="125" ht="24" hidden="1" spans="1:42">
      <c r="A125" s="284" t="s">
        <v>208</v>
      </c>
      <c r="B125" s="284" t="s">
        <v>199</v>
      </c>
      <c r="C125" s="284" t="s">
        <v>335</v>
      </c>
      <c r="D125" s="284" t="s">
        <v>332</v>
      </c>
      <c r="E125" s="402">
        <f t="shared" si="24"/>
        <v>96.17</v>
      </c>
      <c r="F125" s="402">
        <f t="shared" si="25"/>
        <v>0</v>
      </c>
      <c r="G125" s="402">
        <f t="shared" si="32"/>
        <v>0</v>
      </c>
      <c r="H125" s="402"/>
      <c r="I125" s="402"/>
      <c r="J125" s="402"/>
      <c r="K125" s="402"/>
      <c r="L125" s="402"/>
      <c r="M125" s="402">
        <f t="shared" si="33"/>
        <v>0</v>
      </c>
      <c r="N125" s="402"/>
      <c r="O125" s="402"/>
      <c r="P125" s="402"/>
      <c r="Q125" s="402">
        <f t="shared" si="27"/>
        <v>77.83</v>
      </c>
      <c r="R125" s="402">
        <f t="shared" si="28"/>
        <v>36.5</v>
      </c>
      <c r="S125" s="402">
        <v>25.94</v>
      </c>
      <c r="T125" s="402"/>
      <c r="U125" s="402">
        <v>10.56</v>
      </c>
      <c r="V125" s="402"/>
      <c r="W125" s="402"/>
      <c r="X125" s="402"/>
      <c r="Y125" s="402">
        <f t="shared" si="29"/>
        <v>41.33</v>
      </c>
      <c r="Z125" s="402">
        <v>6.33</v>
      </c>
      <c r="AA125" s="402"/>
      <c r="AB125" s="402"/>
      <c r="AC125" s="402"/>
      <c r="AD125" s="402"/>
      <c r="AE125" s="402">
        <v>35</v>
      </c>
      <c r="AF125" s="402">
        <f t="shared" si="30"/>
        <v>18.34</v>
      </c>
      <c r="AG125" s="402">
        <v>6.85</v>
      </c>
      <c r="AH125" s="402">
        <v>3.43</v>
      </c>
      <c r="AI125" s="402">
        <v>2.57</v>
      </c>
      <c r="AJ125" s="402">
        <v>0.09</v>
      </c>
      <c r="AK125" s="402">
        <v>0.26</v>
      </c>
      <c r="AL125" s="402">
        <v>5.14</v>
      </c>
      <c r="AM125" s="402"/>
      <c r="AN125" s="350"/>
      <c r="AO125" s="205">
        <f t="shared" si="31"/>
        <v>35</v>
      </c>
      <c r="AP125">
        <v>3.5</v>
      </c>
    </row>
    <row r="126" ht="24" hidden="1" spans="1:42">
      <c r="A126" s="284" t="s">
        <v>208</v>
      </c>
      <c r="B126" s="284" t="s">
        <v>199</v>
      </c>
      <c r="C126" s="284" t="s">
        <v>336</v>
      </c>
      <c r="D126" s="284" t="s">
        <v>332</v>
      </c>
      <c r="E126" s="402">
        <f t="shared" si="24"/>
        <v>36.32</v>
      </c>
      <c r="F126" s="402">
        <f t="shared" si="25"/>
        <v>0</v>
      </c>
      <c r="G126" s="402">
        <f t="shared" si="32"/>
        <v>0</v>
      </c>
      <c r="H126" s="402"/>
      <c r="I126" s="402"/>
      <c r="J126" s="402"/>
      <c r="K126" s="402"/>
      <c r="L126" s="402"/>
      <c r="M126" s="402">
        <f t="shared" si="33"/>
        <v>0</v>
      </c>
      <c r="N126" s="402"/>
      <c r="O126" s="402"/>
      <c r="P126" s="402"/>
      <c r="Q126" s="402">
        <f t="shared" si="27"/>
        <v>29.93</v>
      </c>
      <c r="R126" s="402">
        <f t="shared" si="28"/>
        <v>12.55</v>
      </c>
      <c r="S126" s="402">
        <v>8.58</v>
      </c>
      <c r="T126" s="402"/>
      <c r="U126" s="402">
        <v>3.97</v>
      </c>
      <c r="V126" s="402"/>
      <c r="W126" s="402"/>
      <c r="X126" s="402"/>
      <c r="Y126" s="402">
        <f t="shared" si="29"/>
        <v>17.38</v>
      </c>
      <c r="Z126" s="402">
        <v>2.38</v>
      </c>
      <c r="AA126" s="402"/>
      <c r="AB126" s="402"/>
      <c r="AC126" s="402"/>
      <c r="AD126" s="402"/>
      <c r="AE126" s="402">
        <v>15</v>
      </c>
      <c r="AF126" s="402">
        <f t="shared" si="30"/>
        <v>6.39</v>
      </c>
      <c r="AG126" s="402">
        <v>2.39</v>
      </c>
      <c r="AH126" s="402">
        <v>1.19</v>
      </c>
      <c r="AI126" s="402">
        <v>0.9</v>
      </c>
      <c r="AJ126" s="402">
        <v>0.03</v>
      </c>
      <c r="AK126" s="402">
        <v>0.09</v>
      </c>
      <c r="AL126" s="402">
        <v>1.79</v>
      </c>
      <c r="AM126" s="402"/>
      <c r="AN126" s="350"/>
      <c r="AO126" s="205">
        <f t="shared" si="31"/>
        <v>15</v>
      </c>
      <c r="AP126">
        <v>1.5</v>
      </c>
    </row>
    <row r="127" ht="24" hidden="1" spans="1:42">
      <c r="A127" s="284" t="s">
        <v>290</v>
      </c>
      <c r="B127" s="284" t="s">
        <v>199</v>
      </c>
      <c r="C127" s="284" t="s">
        <v>337</v>
      </c>
      <c r="D127" s="284" t="s">
        <v>332</v>
      </c>
      <c r="E127" s="402">
        <f t="shared" si="24"/>
        <v>96.14</v>
      </c>
      <c r="F127" s="402">
        <f t="shared" si="25"/>
        <v>0</v>
      </c>
      <c r="G127" s="402">
        <f t="shared" si="32"/>
        <v>0</v>
      </c>
      <c r="H127" s="402"/>
      <c r="I127" s="402"/>
      <c r="J127" s="402"/>
      <c r="K127" s="402"/>
      <c r="L127" s="402"/>
      <c r="M127" s="402">
        <f t="shared" si="33"/>
        <v>0</v>
      </c>
      <c r="N127" s="402"/>
      <c r="O127" s="402"/>
      <c r="P127" s="402"/>
      <c r="Q127" s="402">
        <f t="shared" si="27"/>
        <v>79.61</v>
      </c>
      <c r="R127" s="402">
        <f t="shared" si="28"/>
        <v>32.56</v>
      </c>
      <c r="S127" s="402">
        <v>22.47</v>
      </c>
      <c r="T127" s="402"/>
      <c r="U127" s="402">
        <v>10.09</v>
      </c>
      <c r="V127" s="402"/>
      <c r="W127" s="402"/>
      <c r="X127" s="402"/>
      <c r="Y127" s="402">
        <f t="shared" si="29"/>
        <v>47.05</v>
      </c>
      <c r="Z127" s="402">
        <v>6.05</v>
      </c>
      <c r="AA127" s="402"/>
      <c r="AB127" s="402"/>
      <c r="AC127" s="402"/>
      <c r="AD127" s="402"/>
      <c r="AE127" s="404">
        <v>41</v>
      </c>
      <c r="AF127" s="402">
        <f t="shared" si="30"/>
        <v>16.53</v>
      </c>
      <c r="AG127" s="402">
        <v>6.18</v>
      </c>
      <c r="AH127" s="402">
        <v>3.09</v>
      </c>
      <c r="AI127" s="402">
        <v>2.32</v>
      </c>
      <c r="AJ127" s="402">
        <v>0.08</v>
      </c>
      <c r="AK127" s="402">
        <v>0.23</v>
      </c>
      <c r="AL127" s="402">
        <v>4.63</v>
      </c>
      <c r="AM127" s="402"/>
      <c r="AN127" s="350"/>
      <c r="AO127" s="205">
        <f t="shared" si="31"/>
        <v>41</v>
      </c>
      <c r="AP127">
        <v>3.5</v>
      </c>
    </row>
    <row r="128" ht="24" hidden="1" spans="1:42">
      <c r="A128" s="284" t="s">
        <v>290</v>
      </c>
      <c r="B128" s="284" t="s">
        <v>199</v>
      </c>
      <c r="C128" s="284" t="s">
        <v>338</v>
      </c>
      <c r="D128" s="284" t="s">
        <v>332</v>
      </c>
      <c r="E128" s="402">
        <f t="shared" si="24"/>
        <v>48.5</v>
      </c>
      <c r="F128" s="402">
        <f t="shared" si="25"/>
        <v>0</v>
      </c>
      <c r="G128" s="402">
        <f t="shared" si="32"/>
        <v>0</v>
      </c>
      <c r="H128" s="402"/>
      <c r="I128" s="402"/>
      <c r="J128" s="402"/>
      <c r="K128" s="402"/>
      <c r="L128" s="402"/>
      <c r="M128" s="402">
        <f t="shared" si="33"/>
        <v>0</v>
      </c>
      <c r="N128" s="402"/>
      <c r="O128" s="402"/>
      <c r="P128" s="402"/>
      <c r="Q128" s="402">
        <f t="shared" si="27"/>
        <v>39.36</v>
      </c>
      <c r="R128" s="402">
        <f t="shared" si="28"/>
        <v>18.59</v>
      </c>
      <c r="S128" s="402">
        <v>13.97</v>
      </c>
      <c r="T128" s="402"/>
      <c r="U128" s="402">
        <v>4.62</v>
      </c>
      <c r="V128" s="402"/>
      <c r="W128" s="402"/>
      <c r="X128" s="402"/>
      <c r="Y128" s="402">
        <f t="shared" si="29"/>
        <v>20.77</v>
      </c>
      <c r="Z128" s="402">
        <v>2.77</v>
      </c>
      <c r="AA128" s="402"/>
      <c r="AB128" s="402"/>
      <c r="AC128" s="402"/>
      <c r="AD128" s="402"/>
      <c r="AE128" s="404">
        <v>18</v>
      </c>
      <c r="AF128" s="402">
        <f t="shared" si="30"/>
        <v>9.14</v>
      </c>
      <c r="AG128" s="402">
        <v>3.42</v>
      </c>
      <c r="AH128" s="402">
        <v>1.71</v>
      </c>
      <c r="AI128" s="402">
        <v>1.28</v>
      </c>
      <c r="AJ128" s="402">
        <v>0.04</v>
      </c>
      <c r="AK128" s="402">
        <v>0.13</v>
      </c>
      <c r="AL128" s="402">
        <v>2.56</v>
      </c>
      <c r="AM128" s="402"/>
      <c r="AN128" s="350"/>
      <c r="AO128" s="205">
        <f t="shared" si="31"/>
        <v>18</v>
      </c>
      <c r="AP128">
        <v>1.5</v>
      </c>
    </row>
    <row r="129" ht="24" hidden="1" spans="1:42">
      <c r="A129" s="284" t="s">
        <v>208</v>
      </c>
      <c r="B129" s="284" t="s">
        <v>199</v>
      </c>
      <c r="C129" s="284" t="s">
        <v>339</v>
      </c>
      <c r="D129" s="284" t="s">
        <v>332</v>
      </c>
      <c r="E129" s="402">
        <f t="shared" si="24"/>
        <v>115.22</v>
      </c>
      <c r="F129" s="402">
        <f t="shared" si="25"/>
        <v>0</v>
      </c>
      <c r="G129" s="402">
        <f t="shared" si="32"/>
        <v>0</v>
      </c>
      <c r="H129" s="402"/>
      <c r="I129" s="402"/>
      <c r="J129" s="402"/>
      <c r="K129" s="402"/>
      <c r="L129" s="402"/>
      <c r="M129" s="402">
        <f t="shared" si="33"/>
        <v>0</v>
      </c>
      <c r="N129" s="402"/>
      <c r="O129" s="402"/>
      <c r="P129" s="402"/>
      <c r="Q129" s="402">
        <f t="shared" si="27"/>
        <v>94.17</v>
      </c>
      <c r="R129" s="402">
        <f t="shared" si="28"/>
        <v>41.56</v>
      </c>
      <c r="S129" s="402">
        <v>28.87</v>
      </c>
      <c r="T129" s="402"/>
      <c r="U129" s="402">
        <v>12.69</v>
      </c>
      <c r="V129" s="402"/>
      <c r="W129" s="402"/>
      <c r="X129" s="402"/>
      <c r="Y129" s="402">
        <f t="shared" si="29"/>
        <v>52.61</v>
      </c>
      <c r="Z129" s="402">
        <v>7.61</v>
      </c>
      <c r="AA129" s="402"/>
      <c r="AB129" s="402"/>
      <c r="AC129" s="402"/>
      <c r="AD129" s="402"/>
      <c r="AE129" s="402">
        <v>45</v>
      </c>
      <c r="AF129" s="402">
        <f t="shared" si="30"/>
        <v>21.05</v>
      </c>
      <c r="AG129" s="402">
        <v>7.87</v>
      </c>
      <c r="AH129" s="402">
        <v>3.93</v>
      </c>
      <c r="AI129" s="402">
        <v>2.95</v>
      </c>
      <c r="AJ129" s="402">
        <v>0.1</v>
      </c>
      <c r="AK129" s="402">
        <v>0.3</v>
      </c>
      <c r="AL129" s="402">
        <v>5.9</v>
      </c>
      <c r="AM129" s="402"/>
      <c r="AN129" s="350"/>
      <c r="AO129" s="205">
        <f t="shared" si="31"/>
        <v>45</v>
      </c>
      <c r="AP129">
        <v>4.5</v>
      </c>
    </row>
    <row r="130" ht="24" hidden="1" spans="1:42">
      <c r="A130" s="284" t="s">
        <v>208</v>
      </c>
      <c r="B130" s="284" t="s">
        <v>199</v>
      </c>
      <c r="C130" s="284" t="s">
        <v>340</v>
      </c>
      <c r="D130" s="284" t="s">
        <v>332</v>
      </c>
      <c r="E130" s="402">
        <f t="shared" si="24"/>
        <v>48.8</v>
      </c>
      <c r="F130" s="402">
        <f t="shared" si="25"/>
        <v>0</v>
      </c>
      <c r="G130" s="402">
        <f t="shared" si="32"/>
        <v>0</v>
      </c>
      <c r="H130" s="402"/>
      <c r="I130" s="402"/>
      <c r="J130" s="402"/>
      <c r="K130" s="402"/>
      <c r="L130" s="402"/>
      <c r="M130" s="402">
        <f t="shared" si="33"/>
        <v>0</v>
      </c>
      <c r="N130" s="402"/>
      <c r="O130" s="402"/>
      <c r="P130" s="402"/>
      <c r="Q130" s="402">
        <f t="shared" si="27"/>
        <v>40.17</v>
      </c>
      <c r="R130" s="402">
        <f t="shared" si="28"/>
        <v>16.96</v>
      </c>
      <c r="S130" s="402">
        <v>11.61</v>
      </c>
      <c r="T130" s="402"/>
      <c r="U130" s="402">
        <v>5.35</v>
      </c>
      <c r="V130" s="402"/>
      <c r="W130" s="402"/>
      <c r="X130" s="402"/>
      <c r="Y130" s="402">
        <f t="shared" si="29"/>
        <v>23.21</v>
      </c>
      <c r="Z130" s="402">
        <v>3.21</v>
      </c>
      <c r="AA130" s="402"/>
      <c r="AB130" s="402"/>
      <c r="AC130" s="402"/>
      <c r="AD130" s="402"/>
      <c r="AE130" s="402">
        <v>20</v>
      </c>
      <c r="AF130" s="402">
        <f t="shared" si="30"/>
        <v>8.63</v>
      </c>
      <c r="AG130" s="402">
        <v>3.23</v>
      </c>
      <c r="AH130" s="402">
        <v>1.61</v>
      </c>
      <c r="AI130" s="402">
        <v>1.21</v>
      </c>
      <c r="AJ130" s="402">
        <v>0.04</v>
      </c>
      <c r="AK130" s="402">
        <v>0.12</v>
      </c>
      <c r="AL130" s="402">
        <v>2.42</v>
      </c>
      <c r="AM130" s="402"/>
      <c r="AN130" s="350"/>
      <c r="AO130" s="205">
        <f t="shared" si="31"/>
        <v>20</v>
      </c>
      <c r="AP130">
        <v>2</v>
      </c>
    </row>
    <row r="131" ht="24" hidden="1" spans="1:42">
      <c r="A131" s="284" t="s">
        <v>208</v>
      </c>
      <c r="B131" s="284" t="s">
        <v>199</v>
      </c>
      <c r="C131" s="284" t="s">
        <v>341</v>
      </c>
      <c r="D131" s="284" t="s">
        <v>332</v>
      </c>
      <c r="E131" s="402">
        <f t="shared" si="24"/>
        <v>77.37</v>
      </c>
      <c r="F131" s="402">
        <f t="shared" si="25"/>
        <v>0</v>
      </c>
      <c r="G131" s="402">
        <f t="shared" si="32"/>
        <v>0</v>
      </c>
      <c r="H131" s="402"/>
      <c r="I131" s="402"/>
      <c r="J131" s="402"/>
      <c r="K131" s="402"/>
      <c r="L131" s="402"/>
      <c r="M131" s="402">
        <f t="shared" si="33"/>
        <v>0</v>
      </c>
      <c r="N131" s="402"/>
      <c r="O131" s="402"/>
      <c r="P131" s="402"/>
      <c r="Q131" s="402">
        <f t="shared" si="27"/>
        <v>63.17</v>
      </c>
      <c r="R131" s="402">
        <f t="shared" si="28"/>
        <v>28.3</v>
      </c>
      <c r="S131" s="402">
        <v>20.19</v>
      </c>
      <c r="T131" s="402"/>
      <c r="U131" s="402">
        <v>8.11</v>
      </c>
      <c r="V131" s="402"/>
      <c r="W131" s="402"/>
      <c r="X131" s="402"/>
      <c r="Y131" s="402">
        <f t="shared" si="29"/>
        <v>34.87</v>
      </c>
      <c r="Z131" s="402">
        <v>4.87</v>
      </c>
      <c r="AA131" s="402"/>
      <c r="AB131" s="402"/>
      <c r="AC131" s="402"/>
      <c r="AD131" s="402"/>
      <c r="AE131" s="402">
        <v>30</v>
      </c>
      <c r="AF131" s="402">
        <f t="shared" si="30"/>
        <v>14.2</v>
      </c>
      <c r="AG131" s="402">
        <v>5.31</v>
      </c>
      <c r="AH131" s="402">
        <v>2.65</v>
      </c>
      <c r="AI131" s="402">
        <v>1.99</v>
      </c>
      <c r="AJ131" s="402">
        <v>0.07</v>
      </c>
      <c r="AK131" s="402">
        <v>0.2</v>
      </c>
      <c r="AL131" s="402">
        <v>3.98</v>
      </c>
      <c r="AM131" s="402"/>
      <c r="AN131" s="350"/>
      <c r="AO131" s="205">
        <f t="shared" si="31"/>
        <v>30</v>
      </c>
      <c r="AP131">
        <v>3</v>
      </c>
    </row>
    <row r="132" ht="36" hidden="1" spans="1:42">
      <c r="A132" s="284" t="s">
        <v>290</v>
      </c>
      <c r="B132" s="284" t="s">
        <v>196</v>
      </c>
      <c r="C132" s="284" t="s">
        <v>342</v>
      </c>
      <c r="D132" s="284" t="s">
        <v>343</v>
      </c>
      <c r="E132" s="402">
        <f t="shared" si="24"/>
        <v>112.8</v>
      </c>
      <c r="F132" s="402">
        <f t="shared" si="25"/>
        <v>93.46</v>
      </c>
      <c r="G132" s="402">
        <f t="shared" si="32"/>
        <v>47.13</v>
      </c>
      <c r="H132" s="402">
        <v>25.69</v>
      </c>
      <c r="I132" s="402">
        <v>18.08</v>
      </c>
      <c r="J132" s="402">
        <v>2.14</v>
      </c>
      <c r="K132" s="402">
        <v>0.96</v>
      </c>
      <c r="L132" s="402">
        <v>0.26</v>
      </c>
      <c r="M132" s="402">
        <f t="shared" si="33"/>
        <v>46.33</v>
      </c>
      <c r="N132" s="402">
        <v>17.33</v>
      </c>
      <c r="O132" s="402"/>
      <c r="P132" s="404">
        <v>29</v>
      </c>
      <c r="Q132" s="402">
        <f t="shared" si="27"/>
        <v>0</v>
      </c>
      <c r="R132" s="402">
        <f t="shared" si="28"/>
        <v>0</v>
      </c>
      <c r="S132" s="402"/>
      <c r="T132" s="402"/>
      <c r="U132" s="402"/>
      <c r="V132" s="402"/>
      <c r="W132" s="402"/>
      <c r="X132" s="402"/>
      <c r="Y132" s="402">
        <f t="shared" si="29"/>
        <v>0</v>
      </c>
      <c r="Z132" s="402"/>
      <c r="AA132" s="402"/>
      <c r="AB132" s="402"/>
      <c r="AC132" s="402"/>
      <c r="AD132" s="402"/>
      <c r="AE132" s="402"/>
      <c r="AF132" s="402">
        <f t="shared" si="30"/>
        <v>19.34</v>
      </c>
      <c r="AG132" s="402">
        <v>7.35</v>
      </c>
      <c r="AH132" s="402">
        <v>3.5</v>
      </c>
      <c r="AI132" s="402">
        <v>2.63</v>
      </c>
      <c r="AJ132" s="402">
        <v>0.09</v>
      </c>
      <c r="AK132" s="402">
        <v>0.52</v>
      </c>
      <c r="AL132" s="402">
        <v>5.25</v>
      </c>
      <c r="AM132" s="402"/>
      <c r="AN132" s="350"/>
      <c r="AO132" s="205">
        <f t="shared" si="31"/>
        <v>29</v>
      </c>
      <c r="AP132">
        <v>3.7676</v>
      </c>
    </row>
    <row r="133" ht="36" hidden="1" spans="1:42">
      <c r="A133" s="284" t="s">
        <v>290</v>
      </c>
      <c r="B133" s="284" t="s">
        <v>199</v>
      </c>
      <c r="C133" s="284" t="s">
        <v>344</v>
      </c>
      <c r="D133" s="284" t="s">
        <v>343</v>
      </c>
      <c r="E133" s="402">
        <f t="shared" si="24"/>
        <v>88.9</v>
      </c>
      <c r="F133" s="402">
        <f t="shared" si="25"/>
        <v>0</v>
      </c>
      <c r="G133" s="402">
        <f t="shared" si="32"/>
        <v>0</v>
      </c>
      <c r="H133" s="402"/>
      <c r="I133" s="402"/>
      <c r="J133" s="402"/>
      <c r="K133" s="402"/>
      <c r="L133" s="402"/>
      <c r="M133" s="402">
        <f t="shared" si="33"/>
        <v>0</v>
      </c>
      <c r="N133" s="402"/>
      <c r="O133" s="402"/>
      <c r="P133" s="402"/>
      <c r="Q133" s="402">
        <f t="shared" si="27"/>
        <v>74.97</v>
      </c>
      <c r="R133" s="402">
        <f t="shared" si="28"/>
        <v>28.41</v>
      </c>
      <c r="S133" s="402">
        <v>18.5</v>
      </c>
      <c r="T133" s="402">
        <v>8.47</v>
      </c>
      <c r="U133" s="402"/>
      <c r="V133" s="402">
        <v>1.44</v>
      </c>
      <c r="W133" s="402"/>
      <c r="X133" s="402"/>
      <c r="Y133" s="402">
        <f t="shared" si="29"/>
        <v>46.56</v>
      </c>
      <c r="Z133" s="402">
        <v>5.56</v>
      </c>
      <c r="AA133" s="402"/>
      <c r="AB133" s="402"/>
      <c r="AC133" s="402"/>
      <c r="AD133" s="402"/>
      <c r="AE133" s="404">
        <v>41</v>
      </c>
      <c r="AF133" s="402">
        <f t="shared" si="30"/>
        <v>13.93</v>
      </c>
      <c r="AG133" s="402">
        <v>5.21</v>
      </c>
      <c r="AH133" s="402">
        <v>2.6</v>
      </c>
      <c r="AI133" s="402">
        <v>1.95</v>
      </c>
      <c r="AJ133" s="402">
        <v>0.07</v>
      </c>
      <c r="AK133" s="402">
        <v>0.2</v>
      </c>
      <c r="AL133" s="402">
        <v>3.9</v>
      </c>
      <c r="AM133" s="402"/>
      <c r="AN133" s="350"/>
      <c r="AO133" s="205">
        <f t="shared" si="31"/>
        <v>41</v>
      </c>
      <c r="AP133">
        <v>3</v>
      </c>
    </row>
    <row r="134" ht="36" hidden="1" spans="1:42">
      <c r="A134" s="284" t="s">
        <v>290</v>
      </c>
      <c r="B134" s="284" t="s">
        <v>199</v>
      </c>
      <c r="C134" s="284" t="s">
        <v>345</v>
      </c>
      <c r="D134" s="284" t="s">
        <v>343</v>
      </c>
      <c r="E134" s="402">
        <f t="shared" si="24"/>
        <v>55.3</v>
      </c>
      <c r="F134" s="402">
        <f t="shared" si="25"/>
        <v>0</v>
      </c>
      <c r="G134" s="402">
        <f t="shared" si="32"/>
        <v>0</v>
      </c>
      <c r="H134" s="402"/>
      <c r="I134" s="402"/>
      <c r="J134" s="402"/>
      <c r="K134" s="402"/>
      <c r="L134" s="402"/>
      <c r="M134" s="402">
        <f t="shared" si="33"/>
        <v>0</v>
      </c>
      <c r="N134" s="402"/>
      <c r="O134" s="402"/>
      <c r="P134" s="402"/>
      <c r="Q134" s="402">
        <f t="shared" si="27"/>
        <v>45.99</v>
      </c>
      <c r="R134" s="402">
        <f t="shared" si="28"/>
        <v>19.66</v>
      </c>
      <c r="S134" s="402">
        <v>12.89</v>
      </c>
      <c r="T134" s="402">
        <v>5.55</v>
      </c>
      <c r="U134" s="402"/>
      <c r="V134" s="402">
        <v>0.96</v>
      </c>
      <c r="W134" s="402"/>
      <c r="X134" s="402">
        <v>0.26</v>
      </c>
      <c r="Y134" s="402">
        <f t="shared" si="29"/>
        <v>26.33</v>
      </c>
      <c r="Z134" s="402">
        <v>3.33</v>
      </c>
      <c r="AA134" s="402"/>
      <c r="AB134" s="402"/>
      <c r="AC134" s="402"/>
      <c r="AD134" s="402"/>
      <c r="AE134" s="404">
        <v>23</v>
      </c>
      <c r="AF134" s="402">
        <f t="shared" si="30"/>
        <v>9.31</v>
      </c>
      <c r="AG134" s="402">
        <v>3.48</v>
      </c>
      <c r="AH134" s="402">
        <v>1.74</v>
      </c>
      <c r="AI134" s="402">
        <v>1.31</v>
      </c>
      <c r="AJ134" s="402">
        <v>0.04</v>
      </c>
      <c r="AK134" s="402">
        <v>0.13</v>
      </c>
      <c r="AL134" s="402">
        <v>2.61</v>
      </c>
      <c r="AM134" s="402"/>
      <c r="AN134" s="350"/>
      <c r="AO134" s="205">
        <f t="shared" si="31"/>
        <v>23</v>
      </c>
      <c r="AP134">
        <v>2</v>
      </c>
    </row>
    <row r="135" ht="24" hidden="1" spans="1:42">
      <c r="A135" s="284" t="s">
        <v>195</v>
      </c>
      <c r="B135" s="284" t="s">
        <v>196</v>
      </c>
      <c r="C135" s="284" t="s">
        <v>346</v>
      </c>
      <c r="D135" s="284" t="s">
        <v>347</v>
      </c>
      <c r="E135" s="402">
        <f t="shared" si="24"/>
        <v>57.15</v>
      </c>
      <c r="F135" s="402">
        <f t="shared" si="25"/>
        <v>45.21</v>
      </c>
      <c r="G135" s="402">
        <f t="shared" si="32"/>
        <v>28.78</v>
      </c>
      <c r="H135" s="402">
        <v>16.33</v>
      </c>
      <c r="I135" s="402">
        <v>11.09</v>
      </c>
      <c r="J135" s="402">
        <v>1.36</v>
      </c>
      <c r="K135" s="402"/>
      <c r="L135" s="402"/>
      <c r="M135" s="402">
        <f t="shared" si="33"/>
        <v>16.43</v>
      </c>
      <c r="N135" s="402">
        <v>7.43</v>
      </c>
      <c r="O135" s="402"/>
      <c r="P135" s="402">
        <v>9</v>
      </c>
      <c r="Q135" s="402">
        <f t="shared" si="27"/>
        <v>0</v>
      </c>
      <c r="R135" s="402">
        <f t="shared" si="28"/>
        <v>0</v>
      </c>
      <c r="S135" s="402"/>
      <c r="T135" s="402"/>
      <c r="U135" s="402"/>
      <c r="V135" s="402"/>
      <c r="W135" s="402"/>
      <c r="X135" s="402"/>
      <c r="Y135" s="402">
        <f t="shared" si="29"/>
        <v>0</v>
      </c>
      <c r="Z135" s="402"/>
      <c r="AA135" s="402"/>
      <c r="AB135" s="402"/>
      <c r="AC135" s="402"/>
      <c r="AD135" s="402"/>
      <c r="AE135" s="402"/>
      <c r="AF135" s="402">
        <f t="shared" si="30"/>
        <v>11.94</v>
      </c>
      <c r="AG135" s="402">
        <v>4.6</v>
      </c>
      <c r="AH135" s="402">
        <v>2.19</v>
      </c>
      <c r="AI135" s="402">
        <v>1.65</v>
      </c>
      <c r="AJ135" s="402">
        <v>0.05</v>
      </c>
      <c r="AK135" s="402">
        <v>0.16</v>
      </c>
      <c r="AL135" s="402">
        <v>3.29</v>
      </c>
      <c r="AM135" s="402"/>
      <c r="AN135" s="350"/>
      <c r="AO135" s="205">
        <f t="shared" si="31"/>
        <v>9</v>
      </c>
      <c r="AP135">
        <v>5.7164</v>
      </c>
    </row>
    <row r="136" ht="24" hidden="1" spans="1:41">
      <c r="A136" s="284" t="s">
        <v>195</v>
      </c>
      <c r="B136" s="284" t="s">
        <v>199</v>
      </c>
      <c r="C136" s="284" t="s">
        <v>348</v>
      </c>
      <c r="D136" s="284" t="s">
        <v>349</v>
      </c>
      <c r="E136" s="402">
        <f t="shared" si="24"/>
        <v>15.5</v>
      </c>
      <c r="F136" s="402">
        <f t="shared" si="25"/>
        <v>0</v>
      </c>
      <c r="G136" s="402">
        <f t="shared" si="32"/>
        <v>0</v>
      </c>
      <c r="H136" s="402"/>
      <c r="I136" s="402"/>
      <c r="J136" s="402"/>
      <c r="K136" s="402"/>
      <c r="L136" s="402"/>
      <c r="M136" s="402">
        <f t="shared" si="33"/>
        <v>0</v>
      </c>
      <c r="N136" s="402"/>
      <c r="O136" s="402"/>
      <c r="P136" s="402"/>
      <c r="Q136" s="402">
        <f t="shared" si="27"/>
        <v>11.33</v>
      </c>
      <c r="R136" s="402">
        <f t="shared" si="28"/>
        <v>9.64</v>
      </c>
      <c r="S136" s="402">
        <v>6.82</v>
      </c>
      <c r="T136" s="402"/>
      <c r="U136" s="402">
        <v>2.82</v>
      </c>
      <c r="V136" s="402"/>
      <c r="W136" s="402"/>
      <c r="X136" s="402"/>
      <c r="Y136" s="402">
        <f t="shared" si="29"/>
        <v>1.69</v>
      </c>
      <c r="Z136" s="402">
        <v>1.69</v>
      </c>
      <c r="AA136" s="402"/>
      <c r="AB136" s="402"/>
      <c r="AC136" s="402"/>
      <c r="AD136" s="402"/>
      <c r="AE136" s="402"/>
      <c r="AF136" s="402">
        <f t="shared" si="30"/>
        <v>4.17</v>
      </c>
      <c r="AG136" s="402">
        <v>1.81</v>
      </c>
      <c r="AH136" s="402">
        <v>0.91</v>
      </c>
      <c r="AI136" s="402"/>
      <c r="AJ136" s="402">
        <v>0.02</v>
      </c>
      <c r="AK136" s="402">
        <v>0.07</v>
      </c>
      <c r="AL136" s="402">
        <v>1.36</v>
      </c>
      <c r="AM136" s="402"/>
      <c r="AN136" s="350"/>
      <c r="AO136" s="205">
        <f t="shared" si="31"/>
        <v>0</v>
      </c>
    </row>
    <row r="137" ht="24" hidden="1" spans="1:42">
      <c r="A137" s="284" t="s">
        <v>208</v>
      </c>
      <c r="B137" s="284" t="s">
        <v>196</v>
      </c>
      <c r="C137" s="284" t="s">
        <v>350</v>
      </c>
      <c r="D137" s="284" t="s">
        <v>351</v>
      </c>
      <c r="E137" s="402">
        <f t="shared" si="24"/>
        <v>87.87</v>
      </c>
      <c r="F137" s="402">
        <f t="shared" si="25"/>
        <v>69.42</v>
      </c>
      <c r="G137" s="402">
        <f t="shared" si="32"/>
        <v>44.42</v>
      </c>
      <c r="H137" s="402">
        <v>24.92</v>
      </c>
      <c r="I137" s="402">
        <v>17.42</v>
      </c>
      <c r="J137" s="402">
        <v>2.08</v>
      </c>
      <c r="K137" s="402"/>
      <c r="L137" s="402"/>
      <c r="M137" s="402">
        <f t="shared" si="33"/>
        <v>25</v>
      </c>
      <c r="N137" s="402"/>
      <c r="O137" s="402"/>
      <c r="P137" s="404">
        <v>25</v>
      </c>
      <c r="Q137" s="402">
        <f t="shared" si="27"/>
        <v>0</v>
      </c>
      <c r="R137" s="402">
        <f t="shared" si="28"/>
        <v>0</v>
      </c>
      <c r="S137" s="402"/>
      <c r="T137" s="402"/>
      <c r="U137" s="402"/>
      <c r="V137" s="402"/>
      <c r="W137" s="402"/>
      <c r="X137" s="402"/>
      <c r="Y137" s="402">
        <f t="shared" si="29"/>
        <v>0</v>
      </c>
      <c r="Z137" s="402"/>
      <c r="AA137" s="402"/>
      <c r="AB137" s="402"/>
      <c r="AC137" s="402"/>
      <c r="AD137" s="402"/>
      <c r="AE137" s="402"/>
      <c r="AF137" s="402">
        <f t="shared" si="30"/>
        <v>18.45</v>
      </c>
      <c r="AG137" s="402">
        <v>7.11</v>
      </c>
      <c r="AH137" s="402">
        <v>3.39</v>
      </c>
      <c r="AI137" s="402">
        <v>2.54</v>
      </c>
      <c r="AJ137" s="402">
        <v>0.08</v>
      </c>
      <c r="AK137" s="402">
        <v>0.25</v>
      </c>
      <c r="AL137" s="402">
        <v>5.08</v>
      </c>
      <c r="AM137" s="402"/>
      <c r="AN137" s="350"/>
      <c r="AO137" s="205">
        <f t="shared" si="31"/>
        <v>25</v>
      </c>
      <c r="AP137">
        <v>5.1292</v>
      </c>
    </row>
    <row r="138" ht="24" hidden="1" spans="1:42">
      <c r="A138" s="284" t="s">
        <v>208</v>
      </c>
      <c r="B138" s="284" t="s">
        <v>199</v>
      </c>
      <c r="C138" s="284" t="s">
        <v>352</v>
      </c>
      <c r="D138" s="284" t="s">
        <v>353</v>
      </c>
      <c r="E138" s="402">
        <f t="shared" si="24"/>
        <v>12.07</v>
      </c>
      <c r="F138" s="402">
        <f t="shared" si="25"/>
        <v>0</v>
      </c>
      <c r="G138" s="402">
        <f t="shared" si="32"/>
        <v>0</v>
      </c>
      <c r="H138" s="402"/>
      <c r="I138" s="402"/>
      <c r="J138" s="402"/>
      <c r="K138" s="402"/>
      <c r="L138" s="402"/>
      <c r="M138" s="402">
        <f t="shared" si="33"/>
        <v>0</v>
      </c>
      <c r="N138" s="402"/>
      <c r="O138" s="402"/>
      <c r="P138" s="402"/>
      <c r="Q138" s="402">
        <f t="shared" si="27"/>
        <v>9.95</v>
      </c>
      <c r="R138" s="402">
        <f t="shared" si="28"/>
        <v>4.16</v>
      </c>
      <c r="S138" s="402">
        <v>2.84</v>
      </c>
      <c r="T138" s="402"/>
      <c r="U138" s="402">
        <v>1.32</v>
      </c>
      <c r="V138" s="402"/>
      <c r="W138" s="402"/>
      <c r="X138" s="402"/>
      <c r="Y138" s="402">
        <f t="shared" si="29"/>
        <v>5.79</v>
      </c>
      <c r="Z138" s="402">
        <v>0.79</v>
      </c>
      <c r="AA138" s="402"/>
      <c r="AB138" s="402"/>
      <c r="AC138" s="402"/>
      <c r="AD138" s="402"/>
      <c r="AE138" s="404">
        <v>5</v>
      </c>
      <c r="AF138" s="402">
        <f t="shared" si="30"/>
        <v>2.12</v>
      </c>
      <c r="AG138" s="402">
        <v>0.79</v>
      </c>
      <c r="AH138" s="402">
        <v>0.4</v>
      </c>
      <c r="AI138" s="402">
        <v>0.3</v>
      </c>
      <c r="AJ138" s="402">
        <v>0.01</v>
      </c>
      <c r="AK138" s="402">
        <v>0.03</v>
      </c>
      <c r="AL138" s="402">
        <v>0.59</v>
      </c>
      <c r="AM138" s="402"/>
      <c r="AN138" s="350"/>
      <c r="AO138" s="205">
        <f t="shared" ref="AO138:AO201" si="34">P138+AE138</f>
        <v>5</v>
      </c>
      <c r="AP138">
        <v>0.5</v>
      </c>
    </row>
    <row r="139" ht="24" hidden="1" spans="1:42">
      <c r="A139" s="284" t="s">
        <v>195</v>
      </c>
      <c r="B139" s="284" t="s">
        <v>196</v>
      </c>
      <c r="C139" s="284" t="s">
        <v>354</v>
      </c>
      <c r="D139" s="284" t="s">
        <v>355</v>
      </c>
      <c r="E139" s="402">
        <f t="shared" si="24"/>
        <v>229</v>
      </c>
      <c r="F139" s="402">
        <f t="shared" si="25"/>
        <v>0</v>
      </c>
      <c r="G139" s="402">
        <f t="shared" si="32"/>
        <v>0</v>
      </c>
      <c r="H139" s="402"/>
      <c r="I139" s="402"/>
      <c r="J139" s="402"/>
      <c r="K139" s="402"/>
      <c r="L139" s="402"/>
      <c r="M139" s="402">
        <f t="shared" si="33"/>
        <v>0</v>
      </c>
      <c r="N139" s="402"/>
      <c r="O139" s="402"/>
      <c r="P139" s="402"/>
      <c r="Q139" s="402">
        <f t="shared" si="27"/>
        <v>229</v>
      </c>
      <c r="R139" s="402">
        <f t="shared" si="28"/>
        <v>0</v>
      </c>
      <c r="S139" s="402"/>
      <c r="T139" s="402"/>
      <c r="U139" s="402"/>
      <c r="V139" s="402"/>
      <c r="W139" s="402"/>
      <c r="X139" s="402"/>
      <c r="Y139" s="402">
        <f t="shared" si="29"/>
        <v>229</v>
      </c>
      <c r="Z139" s="402"/>
      <c r="AA139" s="402">
        <v>229</v>
      </c>
      <c r="AB139" s="402"/>
      <c r="AC139" s="402"/>
      <c r="AD139" s="402"/>
      <c r="AE139" s="402"/>
      <c r="AF139" s="402">
        <f t="shared" si="30"/>
        <v>0</v>
      </c>
      <c r="AG139" s="402"/>
      <c r="AH139" s="402"/>
      <c r="AI139" s="402"/>
      <c r="AJ139" s="402"/>
      <c r="AK139" s="402"/>
      <c r="AL139" s="402"/>
      <c r="AM139" s="402"/>
      <c r="AN139" s="350"/>
      <c r="AO139" s="205">
        <f t="shared" si="34"/>
        <v>0</v>
      </c>
      <c r="AP139">
        <v>9.6742</v>
      </c>
    </row>
    <row r="140" ht="24" hidden="1" spans="1:42">
      <c r="A140" s="284" t="s">
        <v>195</v>
      </c>
      <c r="B140" s="284" t="s">
        <v>196</v>
      </c>
      <c r="C140" s="284" t="s">
        <v>356</v>
      </c>
      <c r="D140" s="284" t="s">
        <v>355</v>
      </c>
      <c r="E140" s="402">
        <f t="shared" si="24"/>
        <v>25.33</v>
      </c>
      <c r="F140" s="402">
        <f t="shared" si="25"/>
        <v>22.72</v>
      </c>
      <c r="G140" s="402">
        <f t="shared" si="32"/>
        <v>6.24</v>
      </c>
      <c r="H140" s="402">
        <v>3.34</v>
      </c>
      <c r="I140" s="402">
        <v>2.62</v>
      </c>
      <c r="J140" s="402">
        <v>0.28</v>
      </c>
      <c r="K140" s="402"/>
      <c r="L140" s="402"/>
      <c r="M140" s="402">
        <f t="shared" si="33"/>
        <v>16.48</v>
      </c>
      <c r="N140" s="402">
        <v>2.48</v>
      </c>
      <c r="O140" s="402"/>
      <c r="P140" s="402">
        <v>14</v>
      </c>
      <c r="Q140" s="402">
        <f t="shared" si="27"/>
        <v>0</v>
      </c>
      <c r="R140" s="402">
        <f t="shared" si="28"/>
        <v>0</v>
      </c>
      <c r="S140" s="402"/>
      <c r="T140" s="402"/>
      <c r="U140" s="402"/>
      <c r="V140" s="402"/>
      <c r="W140" s="402"/>
      <c r="X140" s="402"/>
      <c r="Y140" s="402">
        <f t="shared" si="29"/>
        <v>0</v>
      </c>
      <c r="Z140" s="402"/>
      <c r="AA140" s="402"/>
      <c r="AB140" s="402"/>
      <c r="AC140" s="402"/>
      <c r="AD140" s="402"/>
      <c r="AE140" s="402"/>
      <c r="AF140" s="402">
        <f t="shared" si="30"/>
        <v>2.61</v>
      </c>
      <c r="AG140" s="402">
        <v>1</v>
      </c>
      <c r="AH140" s="402">
        <v>0.48</v>
      </c>
      <c r="AI140" s="402">
        <v>0.36</v>
      </c>
      <c r="AJ140" s="402">
        <v>0.01</v>
      </c>
      <c r="AK140" s="402">
        <v>0.04</v>
      </c>
      <c r="AL140" s="402">
        <v>0.72</v>
      </c>
      <c r="AM140" s="402"/>
      <c r="AN140" s="350"/>
      <c r="AO140" s="205">
        <f t="shared" si="34"/>
        <v>14</v>
      </c>
      <c r="AP140">
        <v>3.151</v>
      </c>
    </row>
    <row r="141" ht="24" hidden="1" spans="1:42">
      <c r="A141" s="284" t="s">
        <v>195</v>
      </c>
      <c r="B141" s="284" t="s">
        <v>196</v>
      </c>
      <c r="C141" s="284" t="s">
        <v>357</v>
      </c>
      <c r="D141" s="284" t="s">
        <v>355</v>
      </c>
      <c r="E141" s="402">
        <f t="shared" ref="E141:E188" si="35">F141+Q141+AF141</f>
        <v>76.58</v>
      </c>
      <c r="F141" s="402">
        <f t="shared" ref="F141:F188" si="36">G141+M141</f>
        <v>61.29</v>
      </c>
      <c r="G141" s="402">
        <f t="shared" si="32"/>
        <v>36.8</v>
      </c>
      <c r="H141" s="402">
        <v>20.7</v>
      </c>
      <c r="I141" s="402">
        <v>14.38</v>
      </c>
      <c r="J141" s="402">
        <v>1.72</v>
      </c>
      <c r="K141" s="402"/>
      <c r="L141" s="402"/>
      <c r="M141" s="402">
        <f t="shared" ref="M141:M172" si="37">SUM(N141:P141)</f>
        <v>24.49</v>
      </c>
      <c r="N141" s="402"/>
      <c r="O141" s="409">
        <v>0.49</v>
      </c>
      <c r="P141" s="402">
        <v>24</v>
      </c>
      <c r="Q141" s="402">
        <f t="shared" ref="Q141:Q188" si="38">R141+Y141</f>
        <v>0</v>
      </c>
      <c r="R141" s="402">
        <f t="shared" ref="R141:R172" si="39">SUM(S141:X141)</f>
        <v>0</v>
      </c>
      <c r="S141" s="402"/>
      <c r="T141" s="402"/>
      <c r="U141" s="402"/>
      <c r="V141" s="402"/>
      <c r="W141" s="402"/>
      <c r="X141" s="402"/>
      <c r="Y141" s="402">
        <f t="shared" ref="Y141:Y188" si="40">SUM(Z141:AE141)</f>
        <v>0</v>
      </c>
      <c r="Z141" s="402"/>
      <c r="AA141" s="402"/>
      <c r="AB141" s="402"/>
      <c r="AC141" s="402"/>
      <c r="AD141" s="402"/>
      <c r="AE141" s="402"/>
      <c r="AF141" s="402">
        <f t="shared" ref="AF141:AF188" si="41">SUM(AG141:AM141)</f>
        <v>15.29</v>
      </c>
      <c r="AG141" s="402">
        <v>5.89</v>
      </c>
      <c r="AH141" s="402">
        <v>2.81</v>
      </c>
      <c r="AI141" s="402">
        <v>2.1</v>
      </c>
      <c r="AJ141" s="402">
        <v>0.07</v>
      </c>
      <c r="AK141" s="402">
        <v>0.21</v>
      </c>
      <c r="AL141" s="402">
        <v>4.21</v>
      </c>
      <c r="AM141" s="402"/>
      <c r="AN141" s="350"/>
      <c r="AO141" s="205">
        <f t="shared" si="34"/>
        <v>24</v>
      </c>
      <c r="AP141">
        <v>5.724</v>
      </c>
    </row>
    <row r="142" ht="24" hidden="1" spans="1:42">
      <c r="A142" s="284" t="s">
        <v>195</v>
      </c>
      <c r="B142" s="284" t="s">
        <v>196</v>
      </c>
      <c r="C142" s="284" t="s">
        <v>358</v>
      </c>
      <c r="D142" s="284" t="s">
        <v>355</v>
      </c>
      <c r="E142" s="402">
        <f t="shared" si="35"/>
        <v>16</v>
      </c>
      <c r="F142" s="402">
        <f t="shared" si="36"/>
        <v>13.07</v>
      </c>
      <c r="G142" s="402">
        <f t="shared" si="32"/>
        <v>7.07</v>
      </c>
      <c r="H142" s="402">
        <v>4</v>
      </c>
      <c r="I142" s="402">
        <v>2.74</v>
      </c>
      <c r="J142" s="402">
        <v>0.33</v>
      </c>
      <c r="K142" s="402"/>
      <c r="L142" s="402"/>
      <c r="M142" s="402">
        <f t="shared" si="37"/>
        <v>6</v>
      </c>
      <c r="N142" s="402"/>
      <c r="O142" s="402"/>
      <c r="P142" s="402">
        <v>6</v>
      </c>
      <c r="Q142" s="402">
        <f t="shared" si="38"/>
        <v>0</v>
      </c>
      <c r="R142" s="402">
        <f t="shared" si="39"/>
        <v>0</v>
      </c>
      <c r="S142" s="402"/>
      <c r="T142" s="402"/>
      <c r="U142" s="402"/>
      <c r="V142" s="402"/>
      <c r="W142" s="402"/>
      <c r="X142" s="402"/>
      <c r="Y142" s="402">
        <f t="shared" si="40"/>
        <v>0</v>
      </c>
      <c r="Z142" s="402"/>
      <c r="AA142" s="402"/>
      <c r="AB142" s="402"/>
      <c r="AC142" s="402"/>
      <c r="AD142" s="402"/>
      <c r="AE142" s="402"/>
      <c r="AF142" s="402">
        <f t="shared" si="41"/>
        <v>2.93</v>
      </c>
      <c r="AG142" s="402">
        <v>1.13</v>
      </c>
      <c r="AH142" s="402">
        <v>0.54</v>
      </c>
      <c r="AI142" s="402">
        <v>0.4</v>
      </c>
      <c r="AJ142" s="402">
        <v>0.01</v>
      </c>
      <c r="AK142" s="402">
        <v>0.04</v>
      </c>
      <c r="AL142" s="402">
        <v>0.81</v>
      </c>
      <c r="AM142" s="402"/>
      <c r="AN142" s="350"/>
      <c r="AO142" s="205">
        <f t="shared" si="34"/>
        <v>6</v>
      </c>
      <c r="AP142">
        <v>0.5538</v>
      </c>
    </row>
    <row r="143" ht="24" hidden="1" spans="1:42">
      <c r="A143" s="284" t="s">
        <v>195</v>
      </c>
      <c r="B143" s="284" t="s">
        <v>196</v>
      </c>
      <c r="C143" s="284" t="s">
        <v>359</v>
      </c>
      <c r="D143" s="284" t="s">
        <v>355</v>
      </c>
      <c r="E143" s="402">
        <f t="shared" si="35"/>
        <v>37.02</v>
      </c>
      <c r="F143" s="402">
        <f t="shared" si="36"/>
        <v>29.66</v>
      </c>
      <c r="G143" s="402">
        <f t="shared" si="32"/>
        <v>17.66</v>
      </c>
      <c r="H143" s="402">
        <v>10.15</v>
      </c>
      <c r="I143" s="402">
        <v>6.66</v>
      </c>
      <c r="J143" s="402">
        <v>0.85</v>
      </c>
      <c r="K143" s="402"/>
      <c r="L143" s="402"/>
      <c r="M143" s="402">
        <f t="shared" si="37"/>
        <v>12</v>
      </c>
      <c r="N143" s="402"/>
      <c r="O143" s="402"/>
      <c r="P143" s="404">
        <v>12</v>
      </c>
      <c r="Q143" s="402">
        <f t="shared" si="38"/>
        <v>0</v>
      </c>
      <c r="R143" s="402">
        <f t="shared" si="39"/>
        <v>0</v>
      </c>
      <c r="S143" s="402"/>
      <c r="T143" s="402"/>
      <c r="U143" s="402"/>
      <c r="V143" s="402"/>
      <c r="W143" s="402"/>
      <c r="X143" s="402"/>
      <c r="Y143" s="402">
        <f t="shared" si="40"/>
        <v>0</v>
      </c>
      <c r="Z143" s="402"/>
      <c r="AA143" s="402"/>
      <c r="AB143" s="402"/>
      <c r="AC143" s="402"/>
      <c r="AD143" s="402"/>
      <c r="AE143" s="402"/>
      <c r="AF143" s="402">
        <f t="shared" si="41"/>
        <v>7.36</v>
      </c>
      <c r="AG143" s="402">
        <v>2.82</v>
      </c>
      <c r="AH143" s="402">
        <v>1.34</v>
      </c>
      <c r="AI143" s="402">
        <v>1.01</v>
      </c>
      <c r="AJ143" s="402">
        <v>0.07</v>
      </c>
      <c r="AK143" s="402">
        <v>0.1</v>
      </c>
      <c r="AL143" s="402">
        <v>2.02</v>
      </c>
      <c r="AM143" s="402"/>
      <c r="AN143" s="350"/>
      <c r="AO143" s="205">
        <f t="shared" si="34"/>
        <v>12</v>
      </c>
      <c r="AP143">
        <v>2.3072</v>
      </c>
    </row>
    <row r="144" ht="24" hidden="1" spans="1:42">
      <c r="A144" s="284" t="s">
        <v>208</v>
      </c>
      <c r="B144" s="284" t="s">
        <v>196</v>
      </c>
      <c r="C144" s="284" t="s">
        <v>360</v>
      </c>
      <c r="D144" s="284" t="s">
        <v>355</v>
      </c>
      <c r="E144" s="402">
        <f t="shared" si="35"/>
        <v>32.78</v>
      </c>
      <c r="F144" s="402">
        <f t="shared" si="36"/>
        <v>26.68</v>
      </c>
      <c r="G144" s="402">
        <f t="shared" si="32"/>
        <v>14.68</v>
      </c>
      <c r="H144" s="402">
        <v>8.44</v>
      </c>
      <c r="I144" s="402">
        <v>5.54</v>
      </c>
      <c r="J144" s="402">
        <v>0.7</v>
      </c>
      <c r="K144" s="402"/>
      <c r="L144" s="402"/>
      <c r="M144" s="402">
        <f t="shared" si="37"/>
        <v>12</v>
      </c>
      <c r="N144" s="402"/>
      <c r="O144" s="402"/>
      <c r="P144" s="404">
        <v>12</v>
      </c>
      <c r="Q144" s="402">
        <f t="shared" si="38"/>
        <v>0</v>
      </c>
      <c r="R144" s="402">
        <f t="shared" si="39"/>
        <v>0</v>
      </c>
      <c r="S144" s="402"/>
      <c r="T144" s="402"/>
      <c r="U144" s="402"/>
      <c r="V144" s="402"/>
      <c r="W144" s="402"/>
      <c r="X144" s="402"/>
      <c r="Y144" s="402">
        <f t="shared" si="40"/>
        <v>0</v>
      </c>
      <c r="Z144" s="402"/>
      <c r="AA144" s="402"/>
      <c r="AB144" s="402"/>
      <c r="AC144" s="402"/>
      <c r="AD144" s="402"/>
      <c r="AE144" s="402"/>
      <c r="AF144" s="402">
        <f t="shared" si="41"/>
        <v>6.1</v>
      </c>
      <c r="AG144" s="402">
        <v>2.35</v>
      </c>
      <c r="AH144" s="402">
        <v>1.12</v>
      </c>
      <c r="AI144" s="402">
        <v>0.84</v>
      </c>
      <c r="AJ144" s="402">
        <v>0.03</v>
      </c>
      <c r="AK144" s="402">
        <v>0.08</v>
      </c>
      <c r="AL144" s="402">
        <v>1.68</v>
      </c>
      <c r="AM144" s="402"/>
      <c r="AN144" s="350"/>
      <c r="AO144" s="205">
        <f t="shared" si="34"/>
        <v>12</v>
      </c>
      <c r="AP144">
        <v>1.4378</v>
      </c>
    </row>
    <row r="145" ht="24" hidden="1" spans="1:41">
      <c r="A145" s="284" t="s">
        <v>195</v>
      </c>
      <c r="B145" s="284" t="s">
        <v>199</v>
      </c>
      <c r="C145" s="284" t="s">
        <v>361</v>
      </c>
      <c r="D145" s="284" t="s">
        <v>362</v>
      </c>
      <c r="E145" s="402">
        <f t="shared" si="35"/>
        <v>25.25</v>
      </c>
      <c r="F145" s="402">
        <f t="shared" si="36"/>
        <v>0</v>
      </c>
      <c r="G145" s="402">
        <f t="shared" si="32"/>
        <v>0</v>
      </c>
      <c r="H145" s="402"/>
      <c r="I145" s="402"/>
      <c r="J145" s="402"/>
      <c r="K145" s="402"/>
      <c r="L145" s="402"/>
      <c r="M145" s="402">
        <f t="shared" si="37"/>
        <v>0</v>
      </c>
      <c r="N145" s="402"/>
      <c r="O145" s="402"/>
      <c r="P145" s="402"/>
      <c r="Q145" s="402">
        <f t="shared" si="38"/>
        <v>17.68</v>
      </c>
      <c r="R145" s="402">
        <f t="shared" si="39"/>
        <v>15.01</v>
      </c>
      <c r="S145" s="402">
        <v>10.53</v>
      </c>
      <c r="T145" s="402">
        <v>0.02</v>
      </c>
      <c r="U145" s="402">
        <v>4.46</v>
      </c>
      <c r="V145" s="402"/>
      <c r="W145" s="402"/>
      <c r="X145" s="402"/>
      <c r="Y145" s="402">
        <f t="shared" si="40"/>
        <v>2.67</v>
      </c>
      <c r="Z145" s="402">
        <v>2.67</v>
      </c>
      <c r="AA145" s="402"/>
      <c r="AB145" s="402"/>
      <c r="AC145" s="402"/>
      <c r="AD145" s="402"/>
      <c r="AE145" s="402"/>
      <c r="AF145" s="402">
        <f t="shared" si="41"/>
        <v>7.57</v>
      </c>
      <c r="AG145" s="402">
        <v>2.83</v>
      </c>
      <c r="AH145" s="402">
        <v>1.41</v>
      </c>
      <c r="AI145" s="402">
        <v>1.06</v>
      </c>
      <c r="AJ145" s="402">
        <v>0.04</v>
      </c>
      <c r="AK145" s="402">
        <v>0.11</v>
      </c>
      <c r="AL145" s="402">
        <v>2.12</v>
      </c>
      <c r="AM145" s="402"/>
      <c r="AN145" s="350"/>
      <c r="AO145" s="205">
        <f t="shared" si="34"/>
        <v>0</v>
      </c>
    </row>
    <row r="146" ht="24" hidden="1" spans="1:41">
      <c r="A146" s="284" t="s">
        <v>195</v>
      </c>
      <c r="B146" s="284" t="s">
        <v>199</v>
      </c>
      <c r="C146" s="284" t="s">
        <v>363</v>
      </c>
      <c r="D146" s="284" t="s">
        <v>362</v>
      </c>
      <c r="E146" s="402">
        <f t="shared" si="35"/>
        <v>23.98</v>
      </c>
      <c r="F146" s="402">
        <f t="shared" si="36"/>
        <v>0</v>
      </c>
      <c r="G146" s="402">
        <f t="shared" si="32"/>
        <v>0</v>
      </c>
      <c r="H146" s="402"/>
      <c r="I146" s="402"/>
      <c r="J146" s="402"/>
      <c r="K146" s="402"/>
      <c r="L146" s="402"/>
      <c r="M146" s="402">
        <f t="shared" si="37"/>
        <v>0</v>
      </c>
      <c r="N146" s="402"/>
      <c r="O146" s="402"/>
      <c r="P146" s="402"/>
      <c r="Q146" s="402">
        <f t="shared" si="38"/>
        <v>16.79</v>
      </c>
      <c r="R146" s="402">
        <f t="shared" si="39"/>
        <v>14.23</v>
      </c>
      <c r="S146" s="402">
        <v>9.96</v>
      </c>
      <c r="T146" s="402"/>
      <c r="U146" s="402">
        <v>4.27</v>
      </c>
      <c r="V146" s="402"/>
      <c r="W146" s="402"/>
      <c r="X146" s="402"/>
      <c r="Y146" s="402">
        <f t="shared" si="40"/>
        <v>2.56</v>
      </c>
      <c r="Z146" s="402">
        <v>2.56</v>
      </c>
      <c r="AA146" s="402"/>
      <c r="AB146" s="402"/>
      <c r="AC146" s="402"/>
      <c r="AD146" s="402"/>
      <c r="AE146" s="402"/>
      <c r="AF146" s="402">
        <f t="shared" si="41"/>
        <v>7.19</v>
      </c>
      <c r="AG146" s="402">
        <v>2.69</v>
      </c>
      <c r="AH146" s="402">
        <v>1.34</v>
      </c>
      <c r="AI146" s="402">
        <v>1.01</v>
      </c>
      <c r="AJ146" s="402">
        <v>0.03</v>
      </c>
      <c r="AK146" s="402">
        <v>0.1</v>
      </c>
      <c r="AL146" s="402">
        <v>2.02</v>
      </c>
      <c r="AM146" s="402"/>
      <c r="AN146" s="350"/>
      <c r="AO146" s="205">
        <f t="shared" si="34"/>
        <v>0</v>
      </c>
    </row>
    <row r="147" ht="24" hidden="1" spans="1:42">
      <c r="A147" s="284" t="s">
        <v>195</v>
      </c>
      <c r="B147" s="284" t="s">
        <v>199</v>
      </c>
      <c r="C147" s="284" t="s">
        <v>364</v>
      </c>
      <c r="D147" s="284" t="s">
        <v>362</v>
      </c>
      <c r="E147" s="402">
        <f t="shared" si="35"/>
        <v>43.66</v>
      </c>
      <c r="F147" s="402">
        <f t="shared" si="36"/>
        <v>0</v>
      </c>
      <c r="G147" s="402">
        <f t="shared" si="32"/>
        <v>0</v>
      </c>
      <c r="H147" s="402"/>
      <c r="I147" s="402"/>
      <c r="J147" s="402"/>
      <c r="K147" s="402"/>
      <c r="L147" s="402"/>
      <c r="M147" s="402">
        <f t="shared" si="37"/>
        <v>0</v>
      </c>
      <c r="N147" s="402"/>
      <c r="O147" s="402"/>
      <c r="P147" s="404"/>
      <c r="Q147" s="402">
        <f t="shared" si="38"/>
        <v>35.94</v>
      </c>
      <c r="R147" s="402">
        <f t="shared" si="39"/>
        <v>15.43</v>
      </c>
      <c r="S147" s="402">
        <v>11.25</v>
      </c>
      <c r="T147" s="402"/>
      <c r="U147" s="402">
        <v>4.18</v>
      </c>
      <c r="V147" s="402"/>
      <c r="W147" s="402"/>
      <c r="X147" s="402"/>
      <c r="Y147" s="402">
        <f t="shared" si="40"/>
        <v>20.51</v>
      </c>
      <c r="Z147" s="402">
        <v>2.51</v>
      </c>
      <c r="AA147" s="402"/>
      <c r="AB147" s="402"/>
      <c r="AC147" s="402"/>
      <c r="AD147" s="402"/>
      <c r="AE147" s="404">
        <v>18</v>
      </c>
      <c r="AF147" s="402">
        <f t="shared" si="41"/>
        <v>7.72</v>
      </c>
      <c r="AG147" s="402">
        <v>2.87</v>
      </c>
      <c r="AH147" s="402">
        <v>1.44</v>
      </c>
      <c r="AI147" s="402">
        <v>1.08</v>
      </c>
      <c r="AJ147" s="402">
        <v>0.07</v>
      </c>
      <c r="AK147" s="402">
        <v>0.11</v>
      </c>
      <c r="AL147" s="402">
        <v>2.15</v>
      </c>
      <c r="AM147" s="402"/>
      <c r="AN147" s="350"/>
      <c r="AO147" s="205">
        <f t="shared" si="34"/>
        <v>18</v>
      </c>
      <c r="AP147">
        <v>1.5</v>
      </c>
    </row>
    <row r="148" ht="24" hidden="1" spans="1:42">
      <c r="A148" s="284" t="s">
        <v>208</v>
      </c>
      <c r="B148" s="284" t="s">
        <v>199</v>
      </c>
      <c r="C148" s="284" t="s">
        <v>365</v>
      </c>
      <c r="D148" s="284" t="s">
        <v>362</v>
      </c>
      <c r="E148" s="402">
        <f t="shared" si="35"/>
        <v>30.09</v>
      </c>
      <c r="F148" s="402">
        <f t="shared" si="36"/>
        <v>0</v>
      </c>
      <c r="G148" s="402">
        <f t="shared" si="32"/>
        <v>0</v>
      </c>
      <c r="H148" s="402"/>
      <c r="I148" s="402"/>
      <c r="J148" s="402"/>
      <c r="K148" s="402"/>
      <c r="L148" s="402"/>
      <c r="M148" s="402">
        <f t="shared" si="37"/>
        <v>0</v>
      </c>
      <c r="N148" s="402"/>
      <c r="O148" s="402"/>
      <c r="P148" s="404"/>
      <c r="Q148" s="402">
        <f t="shared" si="38"/>
        <v>24.66</v>
      </c>
      <c r="R148" s="402">
        <f t="shared" si="39"/>
        <v>10.91</v>
      </c>
      <c r="S148" s="402">
        <v>8</v>
      </c>
      <c r="T148" s="402"/>
      <c r="U148" s="402">
        <v>2.91</v>
      </c>
      <c r="V148" s="402"/>
      <c r="W148" s="402"/>
      <c r="X148" s="402"/>
      <c r="Y148" s="402">
        <f t="shared" si="40"/>
        <v>13.75</v>
      </c>
      <c r="Z148" s="402">
        <v>1.75</v>
      </c>
      <c r="AA148" s="402"/>
      <c r="AB148" s="402"/>
      <c r="AC148" s="402"/>
      <c r="AD148" s="402"/>
      <c r="AE148" s="404">
        <v>12</v>
      </c>
      <c r="AF148" s="402">
        <f t="shared" si="41"/>
        <v>5.43</v>
      </c>
      <c r="AG148" s="402">
        <v>2.03</v>
      </c>
      <c r="AH148" s="402">
        <v>1.01</v>
      </c>
      <c r="AI148" s="402">
        <v>0.76</v>
      </c>
      <c r="AJ148" s="402">
        <v>0.03</v>
      </c>
      <c r="AK148" s="402">
        <v>0.08</v>
      </c>
      <c r="AL148" s="402">
        <v>1.52</v>
      </c>
      <c r="AM148" s="402"/>
      <c r="AN148" s="350"/>
      <c r="AO148" s="205">
        <f t="shared" si="34"/>
        <v>12</v>
      </c>
      <c r="AP148">
        <v>1</v>
      </c>
    </row>
    <row r="149" ht="36" hidden="1" spans="1:41">
      <c r="A149" s="284" t="s">
        <v>195</v>
      </c>
      <c r="B149" s="284" t="s">
        <v>366</v>
      </c>
      <c r="C149" s="284" t="s">
        <v>367</v>
      </c>
      <c r="D149" s="284" t="s">
        <v>368</v>
      </c>
      <c r="E149" s="402">
        <f t="shared" si="35"/>
        <v>0</v>
      </c>
      <c r="F149" s="402">
        <f t="shared" si="36"/>
        <v>0</v>
      </c>
      <c r="G149" s="402">
        <f t="shared" si="32"/>
        <v>0</v>
      </c>
      <c r="H149" s="402"/>
      <c r="I149" s="402"/>
      <c r="J149" s="402"/>
      <c r="K149" s="402"/>
      <c r="L149" s="402"/>
      <c r="M149" s="402">
        <f t="shared" si="37"/>
        <v>0</v>
      </c>
      <c r="N149" s="402"/>
      <c r="O149" s="402"/>
      <c r="P149" s="404"/>
      <c r="Q149" s="402">
        <f t="shared" si="38"/>
        <v>0</v>
      </c>
      <c r="R149" s="402">
        <f t="shared" si="39"/>
        <v>0</v>
      </c>
      <c r="S149" s="402"/>
      <c r="T149" s="402"/>
      <c r="U149" s="402"/>
      <c r="V149" s="402"/>
      <c r="W149" s="402"/>
      <c r="X149" s="402"/>
      <c r="Y149" s="402">
        <f t="shared" si="40"/>
        <v>0</v>
      </c>
      <c r="Z149" s="402"/>
      <c r="AA149" s="402"/>
      <c r="AB149" s="402"/>
      <c r="AC149" s="402"/>
      <c r="AD149" s="402"/>
      <c r="AE149" s="404"/>
      <c r="AF149" s="402">
        <f t="shared" si="41"/>
        <v>0</v>
      </c>
      <c r="AG149" s="402"/>
      <c r="AH149" s="402"/>
      <c r="AI149" s="402"/>
      <c r="AJ149" s="402"/>
      <c r="AK149" s="402"/>
      <c r="AL149" s="402"/>
      <c r="AM149" s="402"/>
      <c r="AN149" s="350"/>
      <c r="AO149" s="205">
        <f t="shared" si="34"/>
        <v>0</v>
      </c>
    </row>
    <row r="150" ht="24" hidden="1" spans="1:42">
      <c r="A150" s="284" t="s">
        <v>195</v>
      </c>
      <c r="B150" s="284" t="s">
        <v>196</v>
      </c>
      <c r="C150" s="284" t="s">
        <v>369</v>
      </c>
      <c r="D150" s="284" t="s">
        <v>370</v>
      </c>
      <c r="E150" s="402">
        <f t="shared" si="35"/>
        <v>678.64</v>
      </c>
      <c r="F150" s="402">
        <f t="shared" si="36"/>
        <v>578.62</v>
      </c>
      <c r="G150" s="402">
        <f t="shared" si="32"/>
        <v>240.71</v>
      </c>
      <c r="H150" s="402">
        <v>134</v>
      </c>
      <c r="I150" s="402">
        <v>95.54</v>
      </c>
      <c r="J150" s="402">
        <v>11.17</v>
      </c>
      <c r="K150" s="402"/>
      <c r="L150" s="402"/>
      <c r="M150" s="402">
        <f t="shared" si="37"/>
        <v>337.91</v>
      </c>
      <c r="N150" s="402">
        <v>9.91</v>
      </c>
      <c r="O150" s="402"/>
      <c r="P150" s="404">
        <v>328</v>
      </c>
      <c r="Q150" s="402">
        <f t="shared" si="38"/>
        <v>0</v>
      </c>
      <c r="R150" s="402">
        <f t="shared" si="39"/>
        <v>0</v>
      </c>
      <c r="S150" s="402"/>
      <c r="T150" s="402"/>
      <c r="U150" s="402"/>
      <c r="V150" s="402"/>
      <c r="W150" s="402"/>
      <c r="X150" s="402"/>
      <c r="Y150" s="402">
        <f t="shared" si="40"/>
        <v>0</v>
      </c>
      <c r="Z150" s="402"/>
      <c r="AA150" s="402"/>
      <c r="AB150" s="402"/>
      <c r="AC150" s="402"/>
      <c r="AD150" s="402"/>
      <c r="AE150" s="402"/>
      <c r="AF150" s="402">
        <f t="shared" si="41"/>
        <v>100.02</v>
      </c>
      <c r="AG150" s="402">
        <v>38.51</v>
      </c>
      <c r="AH150" s="402">
        <v>18.36</v>
      </c>
      <c r="AI150" s="402">
        <v>13.77</v>
      </c>
      <c r="AJ150" s="402">
        <v>0.46</v>
      </c>
      <c r="AK150" s="402">
        <v>1.38</v>
      </c>
      <c r="AL150" s="402">
        <v>27.54</v>
      </c>
      <c r="AM150" s="402"/>
      <c r="AN150" s="350"/>
      <c r="AO150" s="205">
        <f t="shared" si="34"/>
        <v>328</v>
      </c>
      <c r="AP150">
        <v>30.0696</v>
      </c>
    </row>
    <row r="151" ht="24" hidden="1" spans="1:41">
      <c r="A151" s="284" t="s">
        <v>195</v>
      </c>
      <c r="B151" s="284" t="s">
        <v>196</v>
      </c>
      <c r="C151" s="284" t="s">
        <v>371</v>
      </c>
      <c r="D151" s="284" t="s">
        <v>370</v>
      </c>
      <c r="E151" s="402">
        <f t="shared" si="35"/>
        <v>46.04</v>
      </c>
      <c r="F151" s="402">
        <f t="shared" si="36"/>
        <v>32.53</v>
      </c>
      <c r="G151" s="402">
        <f t="shared" si="32"/>
        <v>32.53</v>
      </c>
      <c r="H151" s="402">
        <v>17.83</v>
      </c>
      <c r="I151" s="402">
        <v>13.21</v>
      </c>
      <c r="J151" s="402">
        <v>1.49</v>
      </c>
      <c r="K151" s="402"/>
      <c r="L151" s="402"/>
      <c r="M151" s="402">
        <f t="shared" si="37"/>
        <v>0</v>
      </c>
      <c r="N151" s="402"/>
      <c r="O151" s="402"/>
      <c r="P151" s="402"/>
      <c r="Q151" s="402">
        <f t="shared" si="38"/>
        <v>0</v>
      </c>
      <c r="R151" s="402">
        <f t="shared" si="39"/>
        <v>0</v>
      </c>
      <c r="S151" s="402"/>
      <c r="T151" s="402"/>
      <c r="U151" s="402"/>
      <c r="V151" s="402"/>
      <c r="W151" s="402"/>
      <c r="X151" s="402"/>
      <c r="Y151" s="402">
        <f t="shared" si="40"/>
        <v>0</v>
      </c>
      <c r="Z151" s="402"/>
      <c r="AA151" s="402"/>
      <c r="AB151" s="402"/>
      <c r="AC151" s="402"/>
      <c r="AD151" s="402"/>
      <c r="AE151" s="402"/>
      <c r="AF151" s="402">
        <f t="shared" si="41"/>
        <v>13.51</v>
      </c>
      <c r="AG151" s="402">
        <v>5.2</v>
      </c>
      <c r="AH151" s="402">
        <v>2.48</v>
      </c>
      <c r="AI151" s="402">
        <v>1.86</v>
      </c>
      <c r="AJ151" s="402">
        <v>0.06</v>
      </c>
      <c r="AK151" s="402">
        <v>0.19</v>
      </c>
      <c r="AL151" s="402">
        <v>3.72</v>
      </c>
      <c r="AM151" s="402"/>
      <c r="AN151" s="350"/>
      <c r="AO151" s="205">
        <f t="shared" si="34"/>
        <v>0</v>
      </c>
    </row>
    <row r="152" ht="24" hidden="1" spans="1:42">
      <c r="A152" s="284" t="s">
        <v>195</v>
      </c>
      <c r="B152" s="284" t="s">
        <v>196</v>
      </c>
      <c r="C152" s="284" t="s">
        <v>372</v>
      </c>
      <c r="D152" s="284" t="s">
        <v>370</v>
      </c>
      <c r="E152" s="402">
        <f t="shared" si="35"/>
        <v>143.65</v>
      </c>
      <c r="F152" s="402">
        <f t="shared" si="36"/>
        <v>115.86</v>
      </c>
      <c r="G152" s="402">
        <f t="shared" si="32"/>
        <v>67.43</v>
      </c>
      <c r="H152" s="402">
        <v>37.8</v>
      </c>
      <c r="I152" s="402">
        <v>25.95</v>
      </c>
      <c r="J152" s="402">
        <v>3.15</v>
      </c>
      <c r="K152" s="402"/>
      <c r="L152" s="402">
        <v>0.53</v>
      </c>
      <c r="M152" s="402">
        <f t="shared" si="37"/>
        <v>48.43</v>
      </c>
      <c r="N152" s="402">
        <v>7.43</v>
      </c>
      <c r="O152" s="402"/>
      <c r="P152" s="404">
        <v>41</v>
      </c>
      <c r="Q152" s="402">
        <f t="shared" si="38"/>
        <v>0</v>
      </c>
      <c r="R152" s="402">
        <f t="shared" si="39"/>
        <v>0</v>
      </c>
      <c r="S152" s="402"/>
      <c r="T152" s="402"/>
      <c r="U152" s="402"/>
      <c r="V152" s="402"/>
      <c r="W152" s="402"/>
      <c r="X152" s="402"/>
      <c r="Y152" s="402">
        <f t="shared" si="40"/>
        <v>0</v>
      </c>
      <c r="Z152" s="402"/>
      <c r="AA152" s="402"/>
      <c r="AB152" s="402"/>
      <c r="AC152" s="402"/>
      <c r="AD152" s="402"/>
      <c r="AE152" s="402"/>
      <c r="AF152" s="402">
        <f t="shared" si="41"/>
        <v>27.79</v>
      </c>
      <c r="AG152" s="402">
        <v>10.7</v>
      </c>
      <c r="AH152" s="402">
        <v>5.1</v>
      </c>
      <c r="AI152" s="402">
        <v>3.83</v>
      </c>
      <c r="AJ152" s="402">
        <v>0.13</v>
      </c>
      <c r="AK152" s="402">
        <v>0.38</v>
      </c>
      <c r="AL152" s="402">
        <v>7.65</v>
      </c>
      <c r="AM152" s="402"/>
      <c r="AN152" s="350"/>
      <c r="AO152" s="205">
        <f t="shared" si="34"/>
        <v>41</v>
      </c>
      <c r="AP152">
        <v>7.8102</v>
      </c>
    </row>
    <row r="153" ht="24" hidden="1" spans="1:42">
      <c r="A153" s="284" t="s">
        <v>195</v>
      </c>
      <c r="B153" s="284" t="s">
        <v>196</v>
      </c>
      <c r="C153" s="284" t="s">
        <v>373</v>
      </c>
      <c r="D153" s="284" t="s">
        <v>370</v>
      </c>
      <c r="E153" s="402">
        <f t="shared" si="35"/>
        <v>130</v>
      </c>
      <c r="F153" s="402">
        <f t="shared" si="36"/>
        <v>113.54</v>
      </c>
      <c r="G153" s="402">
        <f t="shared" si="32"/>
        <v>39.59</v>
      </c>
      <c r="H153" s="402">
        <v>22.48</v>
      </c>
      <c r="I153" s="402">
        <v>15.24</v>
      </c>
      <c r="J153" s="402">
        <v>1.87</v>
      </c>
      <c r="K153" s="402"/>
      <c r="L153" s="402"/>
      <c r="M153" s="402">
        <f t="shared" si="37"/>
        <v>73.95</v>
      </c>
      <c r="N153" s="402">
        <v>4.95</v>
      </c>
      <c r="O153" s="402"/>
      <c r="P153" s="404">
        <v>69</v>
      </c>
      <c r="Q153" s="402">
        <f t="shared" si="38"/>
        <v>0</v>
      </c>
      <c r="R153" s="402">
        <f t="shared" si="39"/>
        <v>0</v>
      </c>
      <c r="S153" s="402"/>
      <c r="T153" s="402"/>
      <c r="U153" s="402"/>
      <c r="V153" s="402"/>
      <c r="W153" s="402"/>
      <c r="X153" s="402"/>
      <c r="Y153" s="402">
        <f t="shared" si="40"/>
        <v>0</v>
      </c>
      <c r="Z153" s="402"/>
      <c r="AA153" s="402"/>
      <c r="AB153" s="402"/>
      <c r="AC153" s="402"/>
      <c r="AD153" s="402"/>
      <c r="AE153" s="402"/>
      <c r="AF153" s="402">
        <f t="shared" si="41"/>
        <v>16.46</v>
      </c>
      <c r="AG153" s="402">
        <v>6.34</v>
      </c>
      <c r="AH153" s="402">
        <v>3.02</v>
      </c>
      <c r="AI153" s="402">
        <v>2.26</v>
      </c>
      <c r="AJ153" s="402">
        <v>0.08</v>
      </c>
      <c r="AK153" s="402">
        <v>0.23</v>
      </c>
      <c r="AL153" s="402">
        <v>4.53</v>
      </c>
      <c r="AM153" s="402"/>
      <c r="AN153" s="350"/>
      <c r="AO153" s="205">
        <f t="shared" si="34"/>
        <v>69</v>
      </c>
      <c r="AP153">
        <v>7.2556</v>
      </c>
    </row>
    <row r="154" ht="24" hidden="1" spans="1:42">
      <c r="A154" s="284" t="s">
        <v>195</v>
      </c>
      <c r="B154" s="284" t="s">
        <v>196</v>
      </c>
      <c r="C154" s="284" t="s">
        <v>374</v>
      </c>
      <c r="D154" s="284" t="s">
        <v>370</v>
      </c>
      <c r="E154" s="402">
        <f t="shared" si="35"/>
        <v>244.94</v>
      </c>
      <c r="F154" s="402">
        <f t="shared" si="36"/>
        <v>211.83</v>
      </c>
      <c r="G154" s="402">
        <f t="shared" si="32"/>
        <v>79.45</v>
      </c>
      <c r="H154" s="402">
        <v>40.2</v>
      </c>
      <c r="I154" s="402">
        <v>35.9</v>
      </c>
      <c r="J154" s="402">
        <v>3.35</v>
      </c>
      <c r="K154" s="402"/>
      <c r="L154" s="402"/>
      <c r="M154" s="402">
        <f t="shared" si="37"/>
        <v>132.38</v>
      </c>
      <c r="N154" s="402">
        <v>12.38</v>
      </c>
      <c r="O154" s="402"/>
      <c r="P154" s="402">
        <v>120</v>
      </c>
      <c r="Q154" s="402">
        <f t="shared" si="38"/>
        <v>0</v>
      </c>
      <c r="R154" s="402">
        <f t="shared" si="39"/>
        <v>0</v>
      </c>
      <c r="S154" s="402"/>
      <c r="T154" s="402"/>
      <c r="U154" s="402"/>
      <c r="V154" s="402"/>
      <c r="W154" s="402"/>
      <c r="X154" s="402"/>
      <c r="Y154" s="402">
        <f t="shared" si="40"/>
        <v>0</v>
      </c>
      <c r="Z154" s="402"/>
      <c r="AA154" s="402"/>
      <c r="AB154" s="402"/>
      <c r="AC154" s="402"/>
      <c r="AD154" s="402"/>
      <c r="AE154" s="402"/>
      <c r="AF154" s="402">
        <f t="shared" si="41"/>
        <v>33.11</v>
      </c>
      <c r="AG154" s="402">
        <v>12.71</v>
      </c>
      <c r="AH154" s="402">
        <v>6.09</v>
      </c>
      <c r="AI154" s="402">
        <v>4.57</v>
      </c>
      <c r="AJ154" s="402">
        <v>0.15</v>
      </c>
      <c r="AK154" s="402">
        <v>0.46</v>
      </c>
      <c r="AL154" s="402">
        <v>9.13</v>
      </c>
      <c r="AM154" s="402"/>
      <c r="AN154" s="350"/>
      <c r="AO154" s="205">
        <f t="shared" si="34"/>
        <v>120</v>
      </c>
      <c r="AP154">
        <v>12.118</v>
      </c>
    </row>
    <row r="155" ht="24" hidden="1" spans="1:41">
      <c r="A155" s="284" t="s">
        <v>195</v>
      </c>
      <c r="B155" s="284" t="s">
        <v>199</v>
      </c>
      <c r="C155" s="284" t="s">
        <v>375</v>
      </c>
      <c r="D155" s="284" t="s">
        <v>376</v>
      </c>
      <c r="E155" s="402">
        <f t="shared" si="35"/>
        <v>30.16</v>
      </c>
      <c r="F155" s="402">
        <f t="shared" si="36"/>
        <v>0</v>
      </c>
      <c r="G155" s="402">
        <f t="shared" si="32"/>
        <v>0</v>
      </c>
      <c r="H155" s="402"/>
      <c r="I155" s="402"/>
      <c r="J155" s="402"/>
      <c r="K155" s="402"/>
      <c r="L155" s="402"/>
      <c r="M155" s="402">
        <f t="shared" si="37"/>
        <v>0</v>
      </c>
      <c r="N155" s="402"/>
      <c r="O155" s="402"/>
      <c r="P155" s="402"/>
      <c r="Q155" s="402">
        <f t="shared" si="38"/>
        <v>21.12</v>
      </c>
      <c r="R155" s="402">
        <f t="shared" si="39"/>
        <v>17.64</v>
      </c>
      <c r="S155" s="402">
        <v>11.84</v>
      </c>
      <c r="T155" s="402"/>
      <c r="U155" s="402">
        <v>5.8</v>
      </c>
      <c r="V155" s="402"/>
      <c r="W155" s="402"/>
      <c r="X155" s="402"/>
      <c r="Y155" s="402">
        <f t="shared" si="40"/>
        <v>3.48</v>
      </c>
      <c r="Z155" s="402">
        <v>3.48</v>
      </c>
      <c r="AA155" s="402"/>
      <c r="AB155" s="402"/>
      <c r="AC155" s="402"/>
      <c r="AD155" s="402"/>
      <c r="AE155" s="402"/>
      <c r="AF155" s="402">
        <f t="shared" si="41"/>
        <v>9.04</v>
      </c>
      <c r="AG155" s="402">
        <v>3.38</v>
      </c>
      <c r="AH155" s="402">
        <v>1.69</v>
      </c>
      <c r="AI155" s="402">
        <v>1.27</v>
      </c>
      <c r="AJ155" s="402">
        <v>0.04</v>
      </c>
      <c r="AK155" s="402">
        <v>0.13</v>
      </c>
      <c r="AL155" s="402">
        <v>2.53</v>
      </c>
      <c r="AM155" s="402"/>
      <c r="AN155" s="350"/>
      <c r="AO155" s="205">
        <f t="shared" si="34"/>
        <v>0</v>
      </c>
    </row>
    <row r="156" ht="24" hidden="1" spans="1:41">
      <c r="A156" s="284" t="s">
        <v>195</v>
      </c>
      <c r="B156" s="284" t="s">
        <v>199</v>
      </c>
      <c r="C156" s="284" t="s">
        <v>377</v>
      </c>
      <c r="D156" s="284" t="s">
        <v>376</v>
      </c>
      <c r="E156" s="402">
        <f t="shared" si="35"/>
        <v>23.07</v>
      </c>
      <c r="F156" s="402">
        <f t="shared" si="36"/>
        <v>0</v>
      </c>
      <c r="G156" s="402">
        <f t="shared" si="32"/>
        <v>0</v>
      </c>
      <c r="H156" s="402"/>
      <c r="I156" s="402"/>
      <c r="J156" s="402"/>
      <c r="K156" s="402"/>
      <c r="L156" s="402"/>
      <c r="M156" s="402">
        <f t="shared" si="37"/>
        <v>0</v>
      </c>
      <c r="N156" s="402"/>
      <c r="O156" s="402"/>
      <c r="P156" s="402"/>
      <c r="Q156" s="402">
        <f t="shared" si="38"/>
        <v>16.15</v>
      </c>
      <c r="R156" s="402">
        <f t="shared" si="39"/>
        <v>13.54</v>
      </c>
      <c r="S156" s="402">
        <v>9.19</v>
      </c>
      <c r="T156" s="402"/>
      <c r="U156" s="402">
        <v>4.35</v>
      </c>
      <c r="V156" s="402"/>
      <c r="W156" s="402"/>
      <c r="X156" s="402"/>
      <c r="Y156" s="402">
        <f t="shared" si="40"/>
        <v>2.61</v>
      </c>
      <c r="Z156" s="402">
        <v>2.61</v>
      </c>
      <c r="AA156" s="402"/>
      <c r="AB156" s="402"/>
      <c r="AC156" s="402"/>
      <c r="AD156" s="402"/>
      <c r="AE156" s="402"/>
      <c r="AF156" s="402">
        <f t="shared" si="41"/>
        <v>6.92</v>
      </c>
      <c r="AG156" s="402">
        <v>2.59</v>
      </c>
      <c r="AH156" s="402">
        <v>1.29</v>
      </c>
      <c r="AI156" s="402">
        <v>0.97</v>
      </c>
      <c r="AJ156" s="402">
        <v>0.03</v>
      </c>
      <c r="AK156" s="402">
        <v>0.1</v>
      </c>
      <c r="AL156" s="402">
        <v>1.94</v>
      </c>
      <c r="AM156" s="402"/>
      <c r="AN156" s="350"/>
      <c r="AO156" s="205">
        <f t="shared" si="34"/>
        <v>0</v>
      </c>
    </row>
    <row r="157" ht="24" hidden="1" spans="1:41">
      <c r="A157" s="284" t="s">
        <v>195</v>
      </c>
      <c r="B157" s="284" t="s">
        <v>199</v>
      </c>
      <c r="C157" s="284" t="s">
        <v>378</v>
      </c>
      <c r="D157" s="284" t="s">
        <v>376</v>
      </c>
      <c r="E157" s="402">
        <f t="shared" si="35"/>
        <v>16.37</v>
      </c>
      <c r="F157" s="402">
        <f t="shared" si="36"/>
        <v>0</v>
      </c>
      <c r="G157" s="402">
        <f t="shared" si="32"/>
        <v>0</v>
      </c>
      <c r="H157" s="402"/>
      <c r="I157" s="402"/>
      <c r="J157" s="402"/>
      <c r="K157" s="402"/>
      <c r="L157" s="402"/>
      <c r="M157" s="402">
        <f t="shared" si="37"/>
        <v>0</v>
      </c>
      <c r="N157" s="402"/>
      <c r="O157" s="402"/>
      <c r="P157" s="402"/>
      <c r="Q157" s="402">
        <f t="shared" si="38"/>
        <v>11.46</v>
      </c>
      <c r="R157" s="402">
        <f t="shared" si="39"/>
        <v>9.69</v>
      </c>
      <c r="S157" s="402">
        <v>6.74</v>
      </c>
      <c r="T157" s="402"/>
      <c r="U157" s="402">
        <v>2.95</v>
      </c>
      <c r="V157" s="402"/>
      <c r="W157" s="402"/>
      <c r="X157" s="402"/>
      <c r="Y157" s="402">
        <f t="shared" si="40"/>
        <v>1.77</v>
      </c>
      <c r="Z157" s="402">
        <v>1.77</v>
      </c>
      <c r="AA157" s="402"/>
      <c r="AB157" s="402"/>
      <c r="AC157" s="402"/>
      <c r="AD157" s="402"/>
      <c r="AE157" s="402"/>
      <c r="AF157" s="402">
        <f t="shared" si="41"/>
        <v>4.91</v>
      </c>
      <c r="AG157" s="402">
        <v>1.83</v>
      </c>
      <c r="AH157" s="402">
        <v>0.92</v>
      </c>
      <c r="AI157" s="402">
        <v>0.69</v>
      </c>
      <c r="AJ157" s="402">
        <v>0.02</v>
      </c>
      <c r="AK157" s="402">
        <v>0.07</v>
      </c>
      <c r="AL157" s="402">
        <v>1.38</v>
      </c>
      <c r="AM157" s="402"/>
      <c r="AN157" s="350"/>
      <c r="AO157" s="205">
        <f t="shared" si="34"/>
        <v>0</v>
      </c>
    </row>
    <row r="158" ht="24" hidden="1" spans="1:41">
      <c r="A158" s="284" t="s">
        <v>195</v>
      </c>
      <c r="B158" s="284" t="s">
        <v>199</v>
      </c>
      <c r="C158" s="284" t="s">
        <v>379</v>
      </c>
      <c r="D158" s="284" t="s">
        <v>376</v>
      </c>
      <c r="E158" s="402">
        <f t="shared" si="35"/>
        <v>18.29</v>
      </c>
      <c r="F158" s="402">
        <f t="shared" si="36"/>
        <v>0</v>
      </c>
      <c r="G158" s="402">
        <f t="shared" si="32"/>
        <v>0</v>
      </c>
      <c r="H158" s="402"/>
      <c r="I158" s="402"/>
      <c r="J158" s="402"/>
      <c r="K158" s="402"/>
      <c r="L158" s="402"/>
      <c r="M158" s="402">
        <f t="shared" si="37"/>
        <v>0</v>
      </c>
      <c r="N158" s="402"/>
      <c r="O158" s="402"/>
      <c r="P158" s="402"/>
      <c r="Q158" s="402">
        <f t="shared" si="38"/>
        <v>12.8</v>
      </c>
      <c r="R158" s="402">
        <f t="shared" si="39"/>
        <v>11.14</v>
      </c>
      <c r="S158" s="402">
        <v>7.17</v>
      </c>
      <c r="T158" s="402">
        <v>1.2</v>
      </c>
      <c r="U158" s="402">
        <v>2.77</v>
      </c>
      <c r="V158" s="402"/>
      <c r="W158" s="402"/>
      <c r="X158" s="402"/>
      <c r="Y158" s="402">
        <f t="shared" si="40"/>
        <v>1.66</v>
      </c>
      <c r="Z158" s="402">
        <v>1.66</v>
      </c>
      <c r="AA158" s="402"/>
      <c r="AB158" s="402"/>
      <c r="AC158" s="402"/>
      <c r="AD158" s="402"/>
      <c r="AE158" s="402"/>
      <c r="AF158" s="402">
        <f t="shared" si="41"/>
        <v>5.49</v>
      </c>
      <c r="AG158" s="402">
        <v>2.05</v>
      </c>
      <c r="AH158" s="402">
        <v>1.02</v>
      </c>
      <c r="AI158" s="402">
        <v>0.77</v>
      </c>
      <c r="AJ158" s="402">
        <v>0.03</v>
      </c>
      <c r="AK158" s="402">
        <v>0.08</v>
      </c>
      <c r="AL158" s="402">
        <v>1.54</v>
      </c>
      <c r="AM158" s="402"/>
      <c r="AN158" s="350"/>
      <c r="AO158" s="205">
        <f t="shared" si="34"/>
        <v>0</v>
      </c>
    </row>
    <row r="159" ht="24" hidden="1" spans="1:42">
      <c r="A159" s="284" t="s">
        <v>195</v>
      </c>
      <c r="B159" s="284" t="s">
        <v>199</v>
      </c>
      <c r="C159" s="284" t="s">
        <v>380</v>
      </c>
      <c r="D159" s="284" t="s">
        <v>376</v>
      </c>
      <c r="E159" s="402">
        <f t="shared" si="35"/>
        <v>28.35</v>
      </c>
      <c r="F159" s="402">
        <f t="shared" si="36"/>
        <v>0</v>
      </c>
      <c r="G159" s="402">
        <f t="shared" si="32"/>
        <v>0</v>
      </c>
      <c r="H159" s="402"/>
      <c r="I159" s="402"/>
      <c r="J159" s="402"/>
      <c r="K159" s="402"/>
      <c r="L159" s="402"/>
      <c r="M159" s="402">
        <f t="shared" si="37"/>
        <v>0</v>
      </c>
      <c r="N159" s="402"/>
      <c r="O159" s="402"/>
      <c r="P159" s="402"/>
      <c r="Q159" s="402">
        <f t="shared" si="38"/>
        <v>23.75</v>
      </c>
      <c r="R159" s="402">
        <f t="shared" si="39"/>
        <v>9.06</v>
      </c>
      <c r="S159" s="402">
        <v>6.24</v>
      </c>
      <c r="T159" s="402"/>
      <c r="U159" s="402">
        <v>2.82</v>
      </c>
      <c r="V159" s="402"/>
      <c r="W159" s="402"/>
      <c r="X159" s="402"/>
      <c r="Y159" s="402">
        <f t="shared" si="40"/>
        <v>14.69</v>
      </c>
      <c r="Z159" s="402">
        <v>1.69</v>
      </c>
      <c r="AA159" s="402"/>
      <c r="AB159" s="402"/>
      <c r="AC159" s="402"/>
      <c r="AD159" s="402"/>
      <c r="AE159" s="404">
        <v>13</v>
      </c>
      <c r="AF159" s="402">
        <f t="shared" si="41"/>
        <v>4.6</v>
      </c>
      <c r="AG159" s="402">
        <v>1.72</v>
      </c>
      <c r="AH159" s="402">
        <v>0.86</v>
      </c>
      <c r="AI159" s="402">
        <v>0.65</v>
      </c>
      <c r="AJ159" s="402">
        <v>0.02</v>
      </c>
      <c r="AK159" s="402">
        <v>0.06</v>
      </c>
      <c r="AL159" s="402">
        <v>1.29</v>
      </c>
      <c r="AM159" s="402"/>
      <c r="AN159" s="350"/>
      <c r="AO159" s="205">
        <f t="shared" si="34"/>
        <v>13</v>
      </c>
      <c r="AP159">
        <v>0</v>
      </c>
    </row>
    <row r="160" ht="24" hidden="1" spans="1:41">
      <c r="A160" s="284" t="s">
        <v>195</v>
      </c>
      <c r="B160" s="284" t="s">
        <v>199</v>
      </c>
      <c r="C160" s="284" t="s">
        <v>381</v>
      </c>
      <c r="D160" s="284" t="s">
        <v>376</v>
      </c>
      <c r="E160" s="402">
        <f t="shared" si="35"/>
        <v>30.49</v>
      </c>
      <c r="F160" s="402">
        <f t="shared" si="36"/>
        <v>0</v>
      </c>
      <c r="G160" s="402">
        <f t="shared" si="32"/>
        <v>0</v>
      </c>
      <c r="H160" s="402"/>
      <c r="I160" s="402"/>
      <c r="J160" s="402"/>
      <c r="K160" s="402"/>
      <c r="L160" s="402"/>
      <c r="M160" s="402">
        <f t="shared" si="37"/>
        <v>0</v>
      </c>
      <c r="N160" s="402"/>
      <c r="O160" s="402"/>
      <c r="P160" s="402"/>
      <c r="Q160" s="402">
        <f t="shared" si="38"/>
        <v>21.35</v>
      </c>
      <c r="R160" s="402">
        <f t="shared" si="39"/>
        <v>18.15</v>
      </c>
      <c r="S160" s="402">
        <v>12.82</v>
      </c>
      <c r="T160" s="402"/>
      <c r="U160" s="402">
        <v>5.33</v>
      </c>
      <c r="V160" s="402"/>
      <c r="W160" s="402"/>
      <c r="X160" s="402"/>
      <c r="Y160" s="402">
        <f t="shared" si="40"/>
        <v>3.2</v>
      </c>
      <c r="Z160" s="402">
        <v>3.2</v>
      </c>
      <c r="AA160" s="402"/>
      <c r="AB160" s="402"/>
      <c r="AC160" s="402"/>
      <c r="AD160" s="402"/>
      <c r="AE160" s="402"/>
      <c r="AF160" s="402">
        <f t="shared" si="41"/>
        <v>9.14</v>
      </c>
      <c r="AG160" s="402">
        <v>3.42</v>
      </c>
      <c r="AH160" s="402">
        <v>1.71</v>
      </c>
      <c r="AI160" s="402">
        <v>1.28</v>
      </c>
      <c r="AJ160" s="402">
        <v>0.04</v>
      </c>
      <c r="AK160" s="402">
        <v>0.13</v>
      </c>
      <c r="AL160" s="402">
        <v>2.56</v>
      </c>
      <c r="AM160" s="402"/>
      <c r="AN160" s="350"/>
      <c r="AO160" s="205">
        <f t="shared" si="34"/>
        <v>0</v>
      </c>
    </row>
    <row r="161" ht="24" hidden="1" spans="1:41">
      <c r="A161" s="284" t="s">
        <v>195</v>
      </c>
      <c r="B161" s="284" t="s">
        <v>199</v>
      </c>
      <c r="C161" s="284" t="s">
        <v>382</v>
      </c>
      <c r="D161" s="284" t="s">
        <v>376</v>
      </c>
      <c r="E161" s="402">
        <f t="shared" si="35"/>
        <v>24.91</v>
      </c>
      <c r="F161" s="402">
        <f t="shared" si="36"/>
        <v>0</v>
      </c>
      <c r="G161" s="402">
        <f t="shared" si="32"/>
        <v>0</v>
      </c>
      <c r="H161" s="402"/>
      <c r="I161" s="402"/>
      <c r="J161" s="402"/>
      <c r="K161" s="402"/>
      <c r="L161" s="402"/>
      <c r="M161" s="402">
        <f t="shared" si="37"/>
        <v>0</v>
      </c>
      <c r="N161" s="402"/>
      <c r="O161" s="402"/>
      <c r="P161" s="402"/>
      <c r="Q161" s="402">
        <f t="shared" si="38"/>
        <v>17.45</v>
      </c>
      <c r="R161" s="402">
        <f t="shared" si="39"/>
        <v>14.84</v>
      </c>
      <c r="S161" s="402">
        <v>10.49</v>
      </c>
      <c r="T161" s="402"/>
      <c r="U161" s="402">
        <v>4.35</v>
      </c>
      <c r="V161" s="402"/>
      <c r="W161" s="402"/>
      <c r="X161" s="402"/>
      <c r="Y161" s="402">
        <f t="shared" si="40"/>
        <v>2.61</v>
      </c>
      <c r="Z161" s="402">
        <v>2.61</v>
      </c>
      <c r="AA161" s="402"/>
      <c r="AB161" s="402"/>
      <c r="AC161" s="402"/>
      <c r="AD161" s="402"/>
      <c r="AE161" s="402"/>
      <c r="AF161" s="402">
        <f t="shared" si="41"/>
        <v>7.46</v>
      </c>
      <c r="AG161" s="402">
        <v>2.79</v>
      </c>
      <c r="AH161" s="402">
        <v>1.4</v>
      </c>
      <c r="AI161" s="402">
        <v>1.05</v>
      </c>
      <c r="AJ161" s="402">
        <v>0.03</v>
      </c>
      <c r="AK161" s="402">
        <v>0.1</v>
      </c>
      <c r="AL161" s="402">
        <v>2.09</v>
      </c>
      <c r="AM161" s="402"/>
      <c r="AN161" s="350"/>
      <c r="AO161" s="205">
        <f t="shared" si="34"/>
        <v>0</v>
      </c>
    </row>
    <row r="162" ht="24" hidden="1" spans="1:41">
      <c r="A162" s="284" t="s">
        <v>195</v>
      </c>
      <c r="B162" s="284" t="s">
        <v>199</v>
      </c>
      <c r="C162" s="284" t="s">
        <v>383</v>
      </c>
      <c r="D162" s="284" t="s">
        <v>376</v>
      </c>
      <c r="E162" s="402">
        <f t="shared" si="35"/>
        <v>77.05</v>
      </c>
      <c r="F162" s="402">
        <f t="shared" si="36"/>
        <v>0</v>
      </c>
      <c r="G162" s="402">
        <f t="shared" si="32"/>
        <v>0</v>
      </c>
      <c r="H162" s="402"/>
      <c r="I162" s="402"/>
      <c r="J162" s="402"/>
      <c r="K162" s="402"/>
      <c r="L162" s="402"/>
      <c r="M162" s="402">
        <f t="shared" si="37"/>
        <v>0</v>
      </c>
      <c r="N162" s="402"/>
      <c r="O162" s="402"/>
      <c r="P162" s="402"/>
      <c r="Q162" s="402">
        <f t="shared" si="38"/>
        <v>53.46</v>
      </c>
      <c r="R162" s="402">
        <f t="shared" si="39"/>
        <v>46.83</v>
      </c>
      <c r="S162" s="402">
        <v>33.06</v>
      </c>
      <c r="T162" s="402"/>
      <c r="U162" s="402">
        <v>13.77</v>
      </c>
      <c r="V162" s="402"/>
      <c r="W162" s="402"/>
      <c r="X162" s="402"/>
      <c r="Y162" s="402">
        <f t="shared" si="40"/>
        <v>6.63</v>
      </c>
      <c r="Z162" s="404">
        <v>6.63</v>
      </c>
      <c r="AA162" s="402"/>
      <c r="AB162" s="402"/>
      <c r="AC162" s="402"/>
      <c r="AD162" s="402"/>
      <c r="AE162" s="402"/>
      <c r="AF162" s="402">
        <f t="shared" si="41"/>
        <v>23.59</v>
      </c>
      <c r="AG162" s="402">
        <v>8.82</v>
      </c>
      <c r="AH162" s="402">
        <v>4.41</v>
      </c>
      <c r="AI162" s="402">
        <v>3.31</v>
      </c>
      <c r="AJ162" s="402">
        <v>0.11</v>
      </c>
      <c r="AK162" s="402">
        <v>0.33</v>
      </c>
      <c r="AL162" s="402">
        <v>6.61</v>
      </c>
      <c r="AM162" s="402"/>
      <c r="AN162" s="350"/>
      <c r="AO162" s="205">
        <f t="shared" si="34"/>
        <v>0</v>
      </c>
    </row>
    <row r="163" ht="24" hidden="1" spans="1:42">
      <c r="A163" s="284" t="s">
        <v>195</v>
      </c>
      <c r="B163" s="284" t="s">
        <v>196</v>
      </c>
      <c r="C163" s="284" t="s">
        <v>384</v>
      </c>
      <c r="D163" s="284" t="s">
        <v>385</v>
      </c>
      <c r="E163" s="402">
        <f t="shared" si="35"/>
        <v>323.13</v>
      </c>
      <c r="F163" s="402">
        <f t="shared" si="36"/>
        <v>273.93</v>
      </c>
      <c r="G163" s="402">
        <f>SUM(H163:L163)</f>
        <v>120.45</v>
      </c>
      <c r="H163" s="402">
        <v>66.22</v>
      </c>
      <c r="I163" s="402">
        <v>48.71</v>
      </c>
      <c r="J163" s="402">
        <v>5.52</v>
      </c>
      <c r="K163" s="402"/>
      <c r="L163" s="402"/>
      <c r="M163" s="402">
        <f t="shared" si="37"/>
        <v>153.48</v>
      </c>
      <c r="N163" s="402">
        <v>2.48</v>
      </c>
      <c r="O163" s="402"/>
      <c r="P163" s="404">
        <v>151</v>
      </c>
      <c r="Q163" s="402">
        <f t="shared" si="38"/>
        <v>0</v>
      </c>
      <c r="R163" s="402">
        <f t="shared" si="39"/>
        <v>0</v>
      </c>
      <c r="S163" s="402"/>
      <c r="T163" s="402"/>
      <c r="U163" s="402"/>
      <c r="V163" s="402"/>
      <c r="W163" s="402"/>
      <c r="X163" s="402"/>
      <c r="Y163" s="402">
        <f t="shared" si="40"/>
        <v>0</v>
      </c>
      <c r="Z163" s="402"/>
      <c r="AA163" s="402"/>
      <c r="AB163" s="402"/>
      <c r="AC163" s="402"/>
      <c r="AD163" s="402"/>
      <c r="AE163" s="402"/>
      <c r="AF163" s="402">
        <f t="shared" si="41"/>
        <v>49.2</v>
      </c>
      <c r="AG163" s="402">
        <v>18.39</v>
      </c>
      <c r="AH163" s="402">
        <v>9.2</v>
      </c>
      <c r="AI163" s="402">
        <v>6.9</v>
      </c>
      <c r="AJ163" s="402">
        <v>0.23</v>
      </c>
      <c r="AK163" s="402">
        <v>0.69</v>
      </c>
      <c r="AL163" s="402">
        <v>13.79</v>
      </c>
      <c r="AM163" s="402"/>
      <c r="AN163" s="350"/>
      <c r="AO163" s="205">
        <f t="shared" si="34"/>
        <v>151</v>
      </c>
      <c r="AP163">
        <v>16.3551</v>
      </c>
    </row>
    <row r="164" ht="24" hidden="1" spans="1:41">
      <c r="A164" s="284" t="s">
        <v>195</v>
      </c>
      <c r="B164" s="284" t="s">
        <v>196</v>
      </c>
      <c r="C164" s="284" t="s">
        <v>386</v>
      </c>
      <c r="D164" s="284" t="s">
        <v>385</v>
      </c>
      <c r="E164" s="402">
        <f t="shared" si="35"/>
        <v>28.07</v>
      </c>
      <c r="F164" s="402">
        <f t="shared" si="36"/>
        <v>19.83</v>
      </c>
      <c r="G164" s="402">
        <f t="shared" ref="G164:G188" si="42">SUM(H164:L164)</f>
        <v>19.83</v>
      </c>
      <c r="H164" s="402">
        <v>10.75</v>
      </c>
      <c r="I164" s="402">
        <v>8.18</v>
      </c>
      <c r="J164" s="402">
        <v>0.9</v>
      </c>
      <c r="K164" s="402"/>
      <c r="L164" s="402"/>
      <c r="M164" s="402">
        <f t="shared" si="37"/>
        <v>0</v>
      </c>
      <c r="N164" s="402"/>
      <c r="O164" s="402"/>
      <c r="P164" s="402"/>
      <c r="Q164" s="402">
        <f t="shared" si="38"/>
        <v>0</v>
      </c>
      <c r="R164" s="402">
        <f t="shared" si="39"/>
        <v>0</v>
      </c>
      <c r="S164" s="402"/>
      <c r="T164" s="402"/>
      <c r="U164" s="402"/>
      <c r="V164" s="402"/>
      <c r="W164" s="402"/>
      <c r="X164" s="402"/>
      <c r="Y164" s="402">
        <f t="shared" si="40"/>
        <v>0</v>
      </c>
      <c r="Z164" s="402"/>
      <c r="AA164" s="402"/>
      <c r="AB164" s="402"/>
      <c r="AC164" s="402"/>
      <c r="AD164" s="402"/>
      <c r="AE164" s="402"/>
      <c r="AF164" s="402">
        <f t="shared" si="41"/>
        <v>8.24</v>
      </c>
      <c r="AG164" s="402">
        <v>3.17</v>
      </c>
      <c r="AH164" s="402">
        <v>1.51</v>
      </c>
      <c r="AI164" s="402">
        <v>1.14</v>
      </c>
      <c r="AJ164" s="402">
        <v>0.04</v>
      </c>
      <c r="AK164" s="402">
        <v>0.11</v>
      </c>
      <c r="AL164" s="402">
        <v>2.27</v>
      </c>
      <c r="AM164" s="402"/>
      <c r="AN164" s="350"/>
      <c r="AO164" s="205">
        <f t="shared" si="34"/>
        <v>0</v>
      </c>
    </row>
    <row r="165" ht="24" hidden="1" spans="1:41">
      <c r="A165" s="284" t="s">
        <v>195</v>
      </c>
      <c r="B165" s="284" t="s">
        <v>199</v>
      </c>
      <c r="C165" s="284" t="s">
        <v>387</v>
      </c>
      <c r="D165" s="284" t="s">
        <v>388</v>
      </c>
      <c r="E165" s="402">
        <f t="shared" si="35"/>
        <v>14.23</v>
      </c>
      <c r="F165" s="402">
        <f t="shared" si="36"/>
        <v>0</v>
      </c>
      <c r="G165" s="402">
        <f t="shared" si="42"/>
        <v>0</v>
      </c>
      <c r="H165" s="402"/>
      <c r="I165" s="402"/>
      <c r="J165" s="402"/>
      <c r="K165" s="402"/>
      <c r="L165" s="402"/>
      <c r="M165" s="402">
        <f t="shared" si="37"/>
        <v>0</v>
      </c>
      <c r="N165" s="402"/>
      <c r="O165" s="402"/>
      <c r="P165" s="402"/>
      <c r="Q165" s="402">
        <f t="shared" si="38"/>
        <v>9.96</v>
      </c>
      <c r="R165" s="402">
        <f t="shared" si="39"/>
        <v>8.38</v>
      </c>
      <c r="S165" s="402">
        <v>5.74</v>
      </c>
      <c r="T165" s="402"/>
      <c r="U165" s="402">
        <v>2.64</v>
      </c>
      <c r="V165" s="402"/>
      <c r="W165" s="402"/>
      <c r="X165" s="402"/>
      <c r="Y165" s="402">
        <f t="shared" si="40"/>
        <v>1.58</v>
      </c>
      <c r="Z165" s="402">
        <v>1.58</v>
      </c>
      <c r="AA165" s="402"/>
      <c r="AB165" s="402"/>
      <c r="AC165" s="402"/>
      <c r="AD165" s="402"/>
      <c r="AE165" s="402"/>
      <c r="AF165" s="402">
        <f t="shared" si="41"/>
        <v>4.27</v>
      </c>
      <c r="AG165" s="402">
        <v>1.59</v>
      </c>
      <c r="AH165" s="402">
        <v>0.8</v>
      </c>
      <c r="AI165" s="402">
        <v>0.6</v>
      </c>
      <c r="AJ165" s="402">
        <v>0.02</v>
      </c>
      <c r="AK165" s="402">
        <v>0.06</v>
      </c>
      <c r="AL165" s="402">
        <v>1.2</v>
      </c>
      <c r="AM165" s="402"/>
      <c r="AN165" s="350"/>
      <c r="AO165" s="205">
        <f t="shared" si="34"/>
        <v>0</v>
      </c>
    </row>
    <row r="166" ht="24" hidden="1" spans="1:41">
      <c r="A166" s="284" t="s">
        <v>195</v>
      </c>
      <c r="B166" s="284" t="s">
        <v>199</v>
      </c>
      <c r="C166" s="284" t="s">
        <v>389</v>
      </c>
      <c r="D166" s="284" t="s">
        <v>388</v>
      </c>
      <c r="E166" s="402">
        <f t="shared" si="35"/>
        <v>42.26</v>
      </c>
      <c r="F166" s="402">
        <f t="shared" si="36"/>
        <v>0</v>
      </c>
      <c r="G166" s="402">
        <f t="shared" si="42"/>
        <v>0</v>
      </c>
      <c r="H166" s="402"/>
      <c r="I166" s="402"/>
      <c r="J166" s="402"/>
      <c r="K166" s="402"/>
      <c r="L166" s="402"/>
      <c r="M166" s="402">
        <f t="shared" si="37"/>
        <v>0</v>
      </c>
      <c r="N166" s="402"/>
      <c r="O166" s="402"/>
      <c r="P166" s="402"/>
      <c r="Q166" s="402">
        <f t="shared" si="38"/>
        <v>29.59</v>
      </c>
      <c r="R166" s="402">
        <f t="shared" si="39"/>
        <v>25.05</v>
      </c>
      <c r="S166" s="402">
        <v>17.48</v>
      </c>
      <c r="T166" s="402"/>
      <c r="U166" s="402">
        <v>7.57</v>
      </c>
      <c r="V166" s="402"/>
      <c r="W166" s="402"/>
      <c r="X166" s="402"/>
      <c r="Y166" s="402">
        <f t="shared" si="40"/>
        <v>4.54</v>
      </c>
      <c r="Z166" s="402">
        <v>4.54</v>
      </c>
      <c r="AA166" s="402"/>
      <c r="AB166" s="402"/>
      <c r="AC166" s="402"/>
      <c r="AD166" s="402"/>
      <c r="AE166" s="402"/>
      <c r="AF166" s="402">
        <f t="shared" si="41"/>
        <v>12.67</v>
      </c>
      <c r="AG166" s="402">
        <v>4.73</v>
      </c>
      <c r="AH166" s="402">
        <v>2.37</v>
      </c>
      <c r="AI166" s="402">
        <v>1.78</v>
      </c>
      <c r="AJ166" s="402">
        <v>0.06</v>
      </c>
      <c r="AK166" s="402">
        <v>0.18</v>
      </c>
      <c r="AL166" s="402">
        <v>3.55</v>
      </c>
      <c r="AM166" s="402"/>
      <c r="AN166" s="350"/>
      <c r="AO166" s="205">
        <f t="shared" si="34"/>
        <v>0</v>
      </c>
    </row>
    <row r="167" ht="24" hidden="1" spans="1:42">
      <c r="A167" s="284" t="s">
        <v>195</v>
      </c>
      <c r="B167" s="284" t="s">
        <v>196</v>
      </c>
      <c r="C167" s="284" t="s">
        <v>390</v>
      </c>
      <c r="D167" s="284" t="s">
        <v>391</v>
      </c>
      <c r="E167" s="402">
        <f t="shared" si="35"/>
        <v>296.17</v>
      </c>
      <c r="F167" s="402">
        <f t="shared" si="36"/>
        <v>253.24</v>
      </c>
      <c r="G167" s="402">
        <f t="shared" si="42"/>
        <v>103.33</v>
      </c>
      <c r="H167" s="402">
        <v>57.76</v>
      </c>
      <c r="I167" s="402">
        <v>40.76</v>
      </c>
      <c r="J167" s="402">
        <v>4.81</v>
      </c>
      <c r="K167" s="402"/>
      <c r="L167" s="402"/>
      <c r="M167" s="402">
        <f t="shared" si="37"/>
        <v>149.91</v>
      </c>
      <c r="N167" s="402">
        <v>9.91</v>
      </c>
      <c r="O167" s="402">
        <v>20</v>
      </c>
      <c r="P167" s="404">
        <v>120</v>
      </c>
      <c r="Q167" s="402">
        <f t="shared" si="38"/>
        <v>0</v>
      </c>
      <c r="R167" s="402">
        <f t="shared" si="39"/>
        <v>0</v>
      </c>
      <c r="S167" s="402"/>
      <c r="T167" s="402"/>
      <c r="U167" s="402"/>
      <c r="V167" s="402"/>
      <c r="W167" s="402"/>
      <c r="X167" s="402"/>
      <c r="Y167" s="402">
        <f t="shared" si="40"/>
        <v>0</v>
      </c>
      <c r="Z167" s="402"/>
      <c r="AA167" s="402"/>
      <c r="AB167" s="402"/>
      <c r="AC167" s="402"/>
      <c r="AD167" s="402"/>
      <c r="AE167" s="402"/>
      <c r="AF167" s="402">
        <f t="shared" si="41"/>
        <v>42.93</v>
      </c>
      <c r="AG167" s="402">
        <v>16.53</v>
      </c>
      <c r="AH167" s="402">
        <v>7.88</v>
      </c>
      <c r="AI167" s="402">
        <v>5.91</v>
      </c>
      <c r="AJ167" s="402">
        <v>0.2</v>
      </c>
      <c r="AK167" s="402">
        <v>0.59</v>
      </c>
      <c r="AL167" s="402">
        <v>11.82</v>
      </c>
      <c r="AM167" s="402"/>
      <c r="AN167" s="350"/>
      <c r="AO167" s="205">
        <f t="shared" si="34"/>
        <v>120</v>
      </c>
      <c r="AP167">
        <v>14.276</v>
      </c>
    </row>
    <row r="168" ht="24" hidden="1" spans="1:41">
      <c r="A168" s="284" t="s">
        <v>195</v>
      </c>
      <c r="B168" s="284" t="s">
        <v>199</v>
      </c>
      <c r="C168" s="284" t="s">
        <v>392</v>
      </c>
      <c r="D168" s="284" t="s">
        <v>393</v>
      </c>
      <c r="E168" s="402">
        <f t="shared" si="35"/>
        <v>64.39</v>
      </c>
      <c r="F168" s="402">
        <f t="shared" si="36"/>
        <v>0</v>
      </c>
      <c r="G168" s="402">
        <f t="shared" si="42"/>
        <v>0</v>
      </c>
      <c r="H168" s="402"/>
      <c r="I168" s="402"/>
      <c r="J168" s="402"/>
      <c r="K168" s="402"/>
      <c r="L168" s="402"/>
      <c r="M168" s="402">
        <f t="shared" si="37"/>
        <v>0</v>
      </c>
      <c r="N168" s="402"/>
      <c r="O168" s="402"/>
      <c r="P168" s="402"/>
      <c r="Q168" s="402">
        <f t="shared" si="38"/>
        <v>47.07</v>
      </c>
      <c r="R168" s="402">
        <f t="shared" si="39"/>
        <v>39.98</v>
      </c>
      <c r="S168" s="402">
        <v>28.17</v>
      </c>
      <c r="T168" s="402"/>
      <c r="U168" s="402">
        <v>11.81</v>
      </c>
      <c r="V168" s="402"/>
      <c r="W168" s="402"/>
      <c r="X168" s="402"/>
      <c r="Y168" s="402">
        <f t="shared" si="40"/>
        <v>7.09</v>
      </c>
      <c r="Z168" s="402">
        <v>7.09</v>
      </c>
      <c r="AA168" s="402"/>
      <c r="AB168" s="402"/>
      <c r="AC168" s="402"/>
      <c r="AD168" s="402"/>
      <c r="AE168" s="402"/>
      <c r="AF168" s="402">
        <f t="shared" si="41"/>
        <v>17.32</v>
      </c>
      <c r="AG168" s="402">
        <v>7.53</v>
      </c>
      <c r="AH168" s="402">
        <v>3.77</v>
      </c>
      <c r="AI168" s="402"/>
      <c r="AJ168" s="402">
        <v>0.09</v>
      </c>
      <c r="AK168" s="402">
        <v>0.28</v>
      </c>
      <c r="AL168" s="402">
        <v>5.65</v>
      </c>
      <c r="AM168" s="402"/>
      <c r="AN168" s="350"/>
      <c r="AO168" s="205">
        <f t="shared" si="34"/>
        <v>0</v>
      </c>
    </row>
    <row r="169" ht="24" hidden="1" spans="1:42">
      <c r="A169" s="284" t="s">
        <v>195</v>
      </c>
      <c r="B169" s="284" t="s">
        <v>196</v>
      </c>
      <c r="C169" s="284" t="s">
        <v>394</v>
      </c>
      <c r="D169" s="284" t="s">
        <v>395</v>
      </c>
      <c r="E169" s="402">
        <f t="shared" si="35"/>
        <v>156.38</v>
      </c>
      <c r="F169" s="402">
        <f t="shared" si="36"/>
        <v>130.75</v>
      </c>
      <c r="G169" s="402">
        <f t="shared" si="42"/>
        <v>61.75</v>
      </c>
      <c r="H169" s="402">
        <v>35.9</v>
      </c>
      <c r="I169" s="402">
        <v>22.86</v>
      </c>
      <c r="J169" s="402">
        <v>2.99</v>
      </c>
      <c r="K169" s="402"/>
      <c r="L169" s="402"/>
      <c r="M169" s="402">
        <f t="shared" si="37"/>
        <v>69</v>
      </c>
      <c r="N169" s="402"/>
      <c r="O169" s="402"/>
      <c r="P169" s="402">
        <v>69</v>
      </c>
      <c r="Q169" s="402">
        <f t="shared" si="38"/>
        <v>0</v>
      </c>
      <c r="R169" s="402">
        <f t="shared" si="39"/>
        <v>0</v>
      </c>
      <c r="S169" s="402"/>
      <c r="T169" s="402"/>
      <c r="U169" s="402"/>
      <c r="V169" s="402"/>
      <c r="W169" s="402"/>
      <c r="X169" s="402"/>
      <c r="Y169" s="402">
        <f t="shared" si="40"/>
        <v>0</v>
      </c>
      <c r="Z169" s="402"/>
      <c r="AA169" s="402"/>
      <c r="AB169" s="402"/>
      <c r="AC169" s="402"/>
      <c r="AD169" s="402"/>
      <c r="AE169" s="402"/>
      <c r="AF169" s="402">
        <f t="shared" si="41"/>
        <v>25.63</v>
      </c>
      <c r="AG169" s="402">
        <v>9.88</v>
      </c>
      <c r="AH169" s="402">
        <v>4.7</v>
      </c>
      <c r="AI169" s="402">
        <v>3.53</v>
      </c>
      <c r="AJ169" s="402">
        <v>0.12</v>
      </c>
      <c r="AK169" s="402">
        <v>0.35</v>
      </c>
      <c r="AL169" s="402">
        <v>7.05</v>
      </c>
      <c r="AM169" s="402"/>
      <c r="AN169" s="350"/>
      <c r="AO169" s="205">
        <f t="shared" si="34"/>
        <v>69</v>
      </c>
      <c r="AP169">
        <v>8.5438</v>
      </c>
    </row>
    <row r="170" ht="24" hidden="1" spans="1:41">
      <c r="A170" s="284" t="s">
        <v>195</v>
      </c>
      <c r="B170" s="284" t="s">
        <v>199</v>
      </c>
      <c r="C170" s="284" t="s">
        <v>396</v>
      </c>
      <c r="D170" s="284" t="s">
        <v>397</v>
      </c>
      <c r="E170" s="402">
        <f t="shared" si="35"/>
        <v>21.93</v>
      </c>
      <c r="F170" s="402">
        <f t="shared" si="36"/>
        <v>0</v>
      </c>
      <c r="G170" s="402">
        <f t="shared" si="42"/>
        <v>0</v>
      </c>
      <c r="H170" s="402"/>
      <c r="I170" s="402"/>
      <c r="J170" s="402"/>
      <c r="K170" s="402"/>
      <c r="L170" s="402"/>
      <c r="M170" s="402">
        <f t="shared" si="37"/>
        <v>0</v>
      </c>
      <c r="N170" s="402"/>
      <c r="O170" s="402"/>
      <c r="P170" s="402"/>
      <c r="Q170" s="402">
        <f t="shared" si="38"/>
        <v>15.3</v>
      </c>
      <c r="R170" s="402">
        <f t="shared" si="39"/>
        <v>12.89</v>
      </c>
      <c r="S170" s="402">
        <v>8.88</v>
      </c>
      <c r="T170" s="402"/>
      <c r="U170" s="402">
        <v>4.01</v>
      </c>
      <c r="V170" s="402"/>
      <c r="W170" s="402"/>
      <c r="X170" s="402"/>
      <c r="Y170" s="402">
        <f t="shared" si="40"/>
        <v>2.41</v>
      </c>
      <c r="Z170" s="411">
        <v>2.41</v>
      </c>
      <c r="AA170" s="402"/>
      <c r="AB170" s="402"/>
      <c r="AC170" s="402"/>
      <c r="AD170" s="402"/>
      <c r="AE170" s="402"/>
      <c r="AF170" s="402">
        <f t="shared" si="41"/>
        <v>6.63</v>
      </c>
      <c r="AG170" s="402">
        <v>2.48</v>
      </c>
      <c r="AH170" s="402">
        <v>1.24</v>
      </c>
      <c r="AI170" s="402">
        <v>0.93</v>
      </c>
      <c r="AJ170" s="402">
        <v>0.03</v>
      </c>
      <c r="AK170" s="402">
        <v>0.09</v>
      </c>
      <c r="AL170" s="402">
        <v>1.86</v>
      </c>
      <c r="AM170" s="402"/>
      <c r="AN170" s="350"/>
      <c r="AO170" s="205">
        <f t="shared" si="34"/>
        <v>0</v>
      </c>
    </row>
    <row r="171" ht="24" hidden="1" spans="1:41">
      <c r="A171" s="284" t="s">
        <v>195</v>
      </c>
      <c r="B171" s="284" t="s">
        <v>199</v>
      </c>
      <c r="C171" s="284" t="s">
        <v>398</v>
      </c>
      <c r="D171" s="284" t="s">
        <v>397</v>
      </c>
      <c r="E171" s="402">
        <f t="shared" si="35"/>
        <v>7.78</v>
      </c>
      <c r="F171" s="402">
        <f t="shared" si="36"/>
        <v>0</v>
      </c>
      <c r="G171" s="402">
        <f t="shared" si="42"/>
        <v>0</v>
      </c>
      <c r="H171" s="402"/>
      <c r="I171" s="402"/>
      <c r="J171" s="402"/>
      <c r="K171" s="402"/>
      <c r="L171" s="402"/>
      <c r="M171" s="402">
        <f t="shared" si="37"/>
        <v>0</v>
      </c>
      <c r="N171" s="402"/>
      <c r="O171" s="402"/>
      <c r="P171" s="402"/>
      <c r="Q171" s="402">
        <f t="shared" si="38"/>
        <v>5.45</v>
      </c>
      <c r="R171" s="402">
        <f t="shared" si="39"/>
        <v>4.58</v>
      </c>
      <c r="S171" s="402">
        <v>3.13</v>
      </c>
      <c r="T171" s="402"/>
      <c r="U171" s="402">
        <v>1.45</v>
      </c>
      <c r="V171" s="402"/>
      <c r="W171" s="402"/>
      <c r="X171" s="402"/>
      <c r="Y171" s="402">
        <f t="shared" si="40"/>
        <v>0.87</v>
      </c>
      <c r="Z171" s="402">
        <v>0.87</v>
      </c>
      <c r="AA171" s="402"/>
      <c r="AB171" s="402"/>
      <c r="AC171" s="402"/>
      <c r="AD171" s="402"/>
      <c r="AE171" s="402"/>
      <c r="AF171" s="402">
        <f t="shared" si="41"/>
        <v>2.33</v>
      </c>
      <c r="AG171" s="402">
        <v>0.87</v>
      </c>
      <c r="AH171" s="402">
        <v>0.44</v>
      </c>
      <c r="AI171" s="402">
        <v>0.33</v>
      </c>
      <c r="AJ171" s="402">
        <v>0.01</v>
      </c>
      <c r="AK171" s="402">
        <v>0.03</v>
      </c>
      <c r="AL171" s="402">
        <v>0.65</v>
      </c>
      <c r="AM171" s="402"/>
      <c r="AN171" s="350"/>
      <c r="AO171" s="205">
        <f t="shared" si="34"/>
        <v>0</v>
      </c>
    </row>
    <row r="172" ht="24" hidden="1" spans="1:42">
      <c r="A172" s="284" t="s">
        <v>195</v>
      </c>
      <c r="B172" s="284" t="s">
        <v>196</v>
      </c>
      <c r="C172" s="284" t="s">
        <v>399</v>
      </c>
      <c r="D172" s="284" t="s">
        <v>400</v>
      </c>
      <c r="E172" s="402">
        <f t="shared" si="35"/>
        <v>73.55</v>
      </c>
      <c r="F172" s="402">
        <f t="shared" si="36"/>
        <v>60.64</v>
      </c>
      <c r="G172" s="402">
        <f t="shared" si="42"/>
        <v>31.09</v>
      </c>
      <c r="H172" s="402">
        <v>17.84</v>
      </c>
      <c r="I172" s="402">
        <v>11.76</v>
      </c>
      <c r="J172" s="402">
        <v>1.49</v>
      </c>
      <c r="K172" s="402"/>
      <c r="L172" s="402"/>
      <c r="M172" s="402">
        <f t="shared" si="37"/>
        <v>29.55</v>
      </c>
      <c r="N172" s="402">
        <v>4.95</v>
      </c>
      <c r="O172" s="410">
        <v>1.6</v>
      </c>
      <c r="P172" s="402">
        <v>23</v>
      </c>
      <c r="Q172" s="402">
        <f t="shared" si="38"/>
        <v>0</v>
      </c>
      <c r="R172" s="402">
        <f t="shared" si="39"/>
        <v>0</v>
      </c>
      <c r="S172" s="402"/>
      <c r="T172" s="402"/>
      <c r="U172" s="402"/>
      <c r="V172" s="402"/>
      <c r="W172" s="402"/>
      <c r="X172" s="402"/>
      <c r="Y172" s="402">
        <f t="shared" si="40"/>
        <v>0</v>
      </c>
      <c r="Z172" s="402"/>
      <c r="AA172" s="402"/>
      <c r="AB172" s="402"/>
      <c r="AC172" s="402"/>
      <c r="AD172" s="410"/>
      <c r="AE172" s="402"/>
      <c r="AF172" s="402">
        <f t="shared" si="41"/>
        <v>12.91</v>
      </c>
      <c r="AG172" s="402">
        <v>4.97</v>
      </c>
      <c r="AH172" s="402">
        <v>2.37</v>
      </c>
      <c r="AI172" s="402">
        <v>1.78</v>
      </c>
      <c r="AJ172" s="402">
        <v>0.06</v>
      </c>
      <c r="AK172" s="402">
        <v>0.18</v>
      </c>
      <c r="AL172" s="402">
        <v>3.55</v>
      </c>
      <c r="AM172" s="402"/>
      <c r="AN172" s="350"/>
      <c r="AO172" s="205">
        <f t="shared" si="34"/>
        <v>23</v>
      </c>
      <c r="AP172">
        <v>6.2848</v>
      </c>
    </row>
    <row r="173" ht="24" hidden="1" spans="1:41">
      <c r="A173" s="284" t="s">
        <v>195</v>
      </c>
      <c r="B173" s="284" t="s">
        <v>196</v>
      </c>
      <c r="C173" s="284" t="s">
        <v>401</v>
      </c>
      <c r="D173" s="284" t="s">
        <v>355</v>
      </c>
      <c r="E173" s="402">
        <f t="shared" si="35"/>
        <v>9</v>
      </c>
      <c r="F173" s="402">
        <f t="shared" si="36"/>
        <v>9</v>
      </c>
      <c r="G173" s="402">
        <f t="shared" si="42"/>
        <v>0</v>
      </c>
      <c r="H173" s="402"/>
      <c r="I173" s="402"/>
      <c r="J173" s="402"/>
      <c r="K173" s="402"/>
      <c r="L173" s="402"/>
      <c r="M173" s="402">
        <f t="shared" ref="M173:M188" si="43">SUM(N173:P173)</f>
        <v>9</v>
      </c>
      <c r="N173" s="402"/>
      <c r="O173" s="402"/>
      <c r="P173" s="404">
        <v>9</v>
      </c>
      <c r="Q173" s="402">
        <f t="shared" si="38"/>
        <v>0</v>
      </c>
      <c r="R173" s="402"/>
      <c r="S173" s="402"/>
      <c r="T173" s="402"/>
      <c r="U173" s="402"/>
      <c r="V173" s="402"/>
      <c r="W173" s="402"/>
      <c r="X173" s="402"/>
      <c r="Y173" s="402">
        <f t="shared" si="40"/>
        <v>0</v>
      </c>
      <c r="Z173" s="402"/>
      <c r="AA173" s="402"/>
      <c r="AB173" s="402"/>
      <c r="AC173" s="402"/>
      <c r="AD173" s="411"/>
      <c r="AE173" s="402"/>
      <c r="AF173" s="402">
        <f t="shared" si="41"/>
        <v>0</v>
      </c>
      <c r="AG173" s="402"/>
      <c r="AH173" s="402"/>
      <c r="AI173" s="402"/>
      <c r="AJ173" s="402"/>
      <c r="AK173" s="402"/>
      <c r="AL173" s="402"/>
      <c r="AM173" s="402"/>
      <c r="AN173" s="350"/>
      <c r="AO173" s="205">
        <f t="shared" si="34"/>
        <v>9</v>
      </c>
    </row>
    <row r="174" ht="24" hidden="1" spans="1:42">
      <c r="A174" s="284" t="s">
        <v>195</v>
      </c>
      <c r="B174" s="284" t="s">
        <v>196</v>
      </c>
      <c r="C174" s="284" t="s">
        <v>402</v>
      </c>
      <c r="D174" s="284" t="s">
        <v>355</v>
      </c>
      <c r="E174" s="402">
        <f t="shared" si="35"/>
        <v>7</v>
      </c>
      <c r="F174" s="402">
        <f t="shared" si="36"/>
        <v>7</v>
      </c>
      <c r="G174" s="402">
        <f t="shared" si="42"/>
        <v>0</v>
      </c>
      <c r="H174" s="402"/>
      <c r="I174" s="402"/>
      <c r="J174" s="402"/>
      <c r="K174" s="402"/>
      <c r="L174" s="402"/>
      <c r="M174" s="402">
        <f t="shared" si="43"/>
        <v>7</v>
      </c>
      <c r="N174" s="402"/>
      <c r="O174" s="402"/>
      <c r="P174" s="404">
        <v>7</v>
      </c>
      <c r="Q174" s="402">
        <f t="shared" si="38"/>
        <v>0</v>
      </c>
      <c r="R174" s="402"/>
      <c r="S174" s="402"/>
      <c r="T174" s="402"/>
      <c r="U174" s="402"/>
      <c r="V174" s="402"/>
      <c r="W174" s="402"/>
      <c r="X174" s="402"/>
      <c r="Y174" s="402">
        <f t="shared" si="40"/>
        <v>0</v>
      </c>
      <c r="Z174" s="402"/>
      <c r="AA174" s="402"/>
      <c r="AB174" s="402"/>
      <c r="AC174" s="402"/>
      <c r="AD174" s="411"/>
      <c r="AE174" s="402"/>
      <c r="AF174" s="402">
        <f t="shared" si="41"/>
        <v>0</v>
      </c>
      <c r="AG174" s="402"/>
      <c r="AH174" s="402"/>
      <c r="AI174" s="402"/>
      <c r="AJ174" s="402"/>
      <c r="AK174" s="402"/>
      <c r="AL174" s="402"/>
      <c r="AM174" s="402"/>
      <c r="AN174" s="350"/>
      <c r="AO174" s="205">
        <f t="shared" si="34"/>
        <v>7</v>
      </c>
      <c r="AP174">
        <v>0</v>
      </c>
    </row>
    <row r="175" ht="24" hidden="1" spans="1:42">
      <c r="A175" s="284" t="s">
        <v>195</v>
      </c>
      <c r="B175" s="284" t="s">
        <v>196</v>
      </c>
      <c r="C175" s="284" t="s">
        <v>403</v>
      </c>
      <c r="D175" s="284" t="s">
        <v>355</v>
      </c>
      <c r="E175" s="402">
        <f t="shared" si="35"/>
        <v>15</v>
      </c>
      <c r="F175" s="402">
        <f t="shared" si="36"/>
        <v>15</v>
      </c>
      <c r="G175" s="402">
        <f t="shared" si="42"/>
        <v>0</v>
      </c>
      <c r="H175" s="402"/>
      <c r="I175" s="402"/>
      <c r="J175" s="402"/>
      <c r="K175" s="402"/>
      <c r="L175" s="402"/>
      <c r="M175" s="402">
        <f t="shared" si="43"/>
        <v>15</v>
      </c>
      <c r="N175" s="402"/>
      <c r="O175" s="402"/>
      <c r="P175" s="404">
        <v>15</v>
      </c>
      <c r="Q175" s="402">
        <f t="shared" si="38"/>
        <v>0</v>
      </c>
      <c r="R175" s="402"/>
      <c r="S175" s="402"/>
      <c r="T175" s="402"/>
      <c r="U175" s="402"/>
      <c r="V175" s="402"/>
      <c r="W175" s="402"/>
      <c r="X175" s="402"/>
      <c r="Y175" s="402">
        <f t="shared" si="40"/>
        <v>0</v>
      </c>
      <c r="Z175" s="402"/>
      <c r="AA175" s="402"/>
      <c r="AB175" s="402"/>
      <c r="AC175" s="402"/>
      <c r="AD175" s="411"/>
      <c r="AE175" s="402"/>
      <c r="AF175" s="402">
        <f t="shared" si="41"/>
        <v>0</v>
      </c>
      <c r="AG175" s="402"/>
      <c r="AH175" s="402"/>
      <c r="AI175" s="402"/>
      <c r="AJ175" s="402"/>
      <c r="AK175" s="402"/>
      <c r="AL175" s="402"/>
      <c r="AM175" s="402"/>
      <c r="AN175" s="350"/>
      <c r="AO175" s="205">
        <f t="shared" si="34"/>
        <v>15</v>
      </c>
      <c r="AP175">
        <v>0</v>
      </c>
    </row>
    <row r="176" ht="24" hidden="1" spans="1:42">
      <c r="A176" s="284" t="s">
        <v>195</v>
      </c>
      <c r="B176" s="284" t="s">
        <v>196</v>
      </c>
      <c r="C176" s="284" t="s">
        <v>404</v>
      </c>
      <c r="D176" s="284" t="s">
        <v>400</v>
      </c>
      <c r="E176" s="402">
        <f t="shared" si="35"/>
        <v>31.01</v>
      </c>
      <c r="F176" s="402">
        <f t="shared" si="36"/>
        <v>25.46</v>
      </c>
      <c r="G176" s="402">
        <f t="shared" si="42"/>
        <v>13.46</v>
      </c>
      <c r="H176" s="402">
        <v>7.44</v>
      </c>
      <c r="I176" s="402">
        <v>5.21</v>
      </c>
      <c r="J176" s="402">
        <v>0.81</v>
      </c>
      <c r="K176" s="402"/>
      <c r="L176" s="402"/>
      <c r="M176" s="402">
        <f t="shared" si="43"/>
        <v>12</v>
      </c>
      <c r="N176" s="402"/>
      <c r="O176" s="402"/>
      <c r="P176" s="402">
        <v>12</v>
      </c>
      <c r="Q176" s="402">
        <f t="shared" si="38"/>
        <v>0</v>
      </c>
      <c r="R176" s="402">
        <f t="shared" ref="R176:R188" si="44">SUM(S176:X176)</f>
        <v>0</v>
      </c>
      <c r="S176" s="402"/>
      <c r="T176" s="402"/>
      <c r="U176" s="402"/>
      <c r="V176" s="402"/>
      <c r="W176" s="402"/>
      <c r="X176" s="402"/>
      <c r="Y176" s="402">
        <f t="shared" si="40"/>
        <v>0</v>
      </c>
      <c r="Z176" s="402"/>
      <c r="AA176" s="402"/>
      <c r="AB176" s="402"/>
      <c r="AC176" s="402"/>
      <c r="AD176" s="402"/>
      <c r="AE176" s="402"/>
      <c r="AF176" s="402">
        <f t="shared" si="41"/>
        <v>5.55</v>
      </c>
      <c r="AG176" s="402">
        <v>2.15</v>
      </c>
      <c r="AH176" s="402">
        <v>1.01</v>
      </c>
      <c r="AI176" s="402">
        <v>0.76</v>
      </c>
      <c r="AJ176" s="402">
        <v>0.03</v>
      </c>
      <c r="AK176" s="402">
        <v>0.08</v>
      </c>
      <c r="AL176" s="402">
        <v>1.52</v>
      </c>
      <c r="AM176" s="402"/>
      <c r="AN176" s="350"/>
      <c r="AO176" s="205">
        <f t="shared" si="34"/>
        <v>12</v>
      </c>
      <c r="AP176">
        <v>1.639</v>
      </c>
    </row>
    <row r="177" ht="24" hidden="1" spans="1:42">
      <c r="A177" s="284" t="s">
        <v>195</v>
      </c>
      <c r="B177" s="284" t="s">
        <v>196</v>
      </c>
      <c r="C177" s="284" t="s">
        <v>405</v>
      </c>
      <c r="D177" s="284" t="s">
        <v>400</v>
      </c>
      <c r="E177" s="402">
        <f t="shared" si="35"/>
        <v>119.77</v>
      </c>
      <c r="F177" s="402">
        <f t="shared" si="36"/>
        <v>98.03</v>
      </c>
      <c r="G177" s="402">
        <f t="shared" si="42"/>
        <v>52.08</v>
      </c>
      <c r="H177" s="402">
        <v>29.26</v>
      </c>
      <c r="I177" s="402">
        <v>20.38</v>
      </c>
      <c r="J177" s="402">
        <v>2.44</v>
      </c>
      <c r="K177" s="402"/>
      <c r="L177" s="402"/>
      <c r="M177" s="402">
        <f t="shared" si="43"/>
        <v>45.95</v>
      </c>
      <c r="N177" s="402">
        <v>4.95</v>
      </c>
      <c r="O177" s="402"/>
      <c r="P177" s="402">
        <v>41</v>
      </c>
      <c r="Q177" s="402">
        <f t="shared" si="38"/>
        <v>0</v>
      </c>
      <c r="R177" s="402">
        <f t="shared" si="44"/>
        <v>0</v>
      </c>
      <c r="S177" s="402"/>
      <c r="T177" s="402"/>
      <c r="U177" s="402"/>
      <c r="V177" s="402"/>
      <c r="W177" s="402"/>
      <c r="X177" s="402"/>
      <c r="Y177" s="402">
        <f t="shared" si="40"/>
        <v>0</v>
      </c>
      <c r="Z177" s="402"/>
      <c r="AA177" s="402"/>
      <c r="AB177" s="402"/>
      <c r="AC177" s="402"/>
      <c r="AD177" s="402"/>
      <c r="AE177" s="402"/>
      <c r="AF177" s="402">
        <f t="shared" si="41"/>
        <v>21.74</v>
      </c>
      <c r="AG177" s="402">
        <v>8.37</v>
      </c>
      <c r="AH177" s="402">
        <v>3.99</v>
      </c>
      <c r="AI177" s="402">
        <v>2.99</v>
      </c>
      <c r="AJ177" s="402">
        <v>0.1</v>
      </c>
      <c r="AK177" s="402">
        <v>0.3</v>
      </c>
      <c r="AL177" s="402">
        <v>5.99</v>
      </c>
      <c r="AM177" s="402"/>
      <c r="AN177" s="350"/>
      <c r="AO177" s="205">
        <f t="shared" si="34"/>
        <v>41</v>
      </c>
      <c r="AP177">
        <v>4.474</v>
      </c>
    </row>
    <row r="178" ht="24" hidden="1" spans="1:42">
      <c r="A178" s="284" t="s">
        <v>195</v>
      </c>
      <c r="B178" s="284" t="s">
        <v>196</v>
      </c>
      <c r="C178" s="284" t="s">
        <v>406</v>
      </c>
      <c r="D178" s="284" t="s">
        <v>400</v>
      </c>
      <c r="E178" s="402">
        <f t="shared" si="35"/>
        <v>30.24</v>
      </c>
      <c r="F178" s="402">
        <f t="shared" si="36"/>
        <v>24.9</v>
      </c>
      <c r="G178" s="402">
        <f t="shared" si="42"/>
        <v>12.9</v>
      </c>
      <c r="H178" s="402">
        <v>7.35</v>
      </c>
      <c r="I178" s="402">
        <v>4.94</v>
      </c>
      <c r="J178" s="402">
        <v>0.61</v>
      </c>
      <c r="K178" s="402"/>
      <c r="L178" s="402"/>
      <c r="M178" s="402">
        <f t="shared" si="43"/>
        <v>12</v>
      </c>
      <c r="N178" s="402"/>
      <c r="O178" s="402"/>
      <c r="P178" s="402">
        <v>12</v>
      </c>
      <c r="Q178" s="402">
        <f t="shared" si="38"/>
        <v>0</v>
      </c>
      <c r="R178" s="402">
        <f t="shared" si="44"/>
        <v>0</v>
      </c>
      <c r="S178" s="402"/>
      <c r="T178" s="402"/>
      <c r="U178" s="402"/>
      <c r="V178" s="402"/>
      <c r="W178" s="402"/>
      <c r="X178" s="402"/>
      <c r="Y178" s="402">
        <f t="shared" si="40"/>
        <v>0</v>
      </c>
      <c r="Z178" s="402"/>
      <c r="AA178" s="402"/>
      <c r="AB178" s="402"/>
      <c r="AC178" s="402"/>
      <c r="AD178" s="402"/>
      <c r="AE178" s="402"/>
      <c r="AF178" s="402">
        <f t="shared" si="41"/>
        <v>5.34</v>
      </c>
      <c r="AG178" s="402">
        <v>2.06</v>
      </c>
      <c r="AH178" s="402">
        <v>0.98</v>
      </c>
      <c r="AI178" s="402">
        <v>0.74</v>
      </c>
      <c r="AJ178" s="402">
        <v>0.02</v>
      </c>
      <c r="AK178" s="402">
        <v>0.07</v>
      </c>
      <c r="AL178" s="402">
        <v>1.47</v>
      </c>
      <c r="AM178" s="402"/>
      <c r="AN178" s="350"/>
      <c r="AO178" s="205">
        <f t="shared" si="34"/>
        <v>12</v>
      </c>
      <c r="AP178">
        <v>1.0008</v>
      </c>
    </row>
    <row r="179" ht="24" hidden="1" spans="1:42">
      <c r="A179" s="284" t="s">
        <v>195</v>
      </c>
      <c r="B179" s="284" t="s">
        <v>196</v>
      </c>
      <c r="C179" s="284" t="s">
        <v>407</v>
      </c>
      <c r="D179" s="284" t="s">
        <v>400</v>
      </c>
      <c r="E179" s="402">
        <f t="shared" si="35"/>
        <v>167.99</v>
      </c>
      <c r="F179" s="402">
        <f t="shared" si="36"/>
        <v>136</v>
      </c>
      <c r="G179" s="402">
        <f t="shared" si="42"/>
        <v>77</v>
      </c>
      <c r="H179" s="402">
        <v>42.97</v>
      </c>
      <c r="I179" s="402">
        <v>30.45</v>
      </c>
      <c r="J179" s="402">
        <v>3.58</v>
      </c>
      <c r="K179" s="402"/>
      <c r="L179" s="402"/>
      <c r="M179" s="402">
        <f t="shared" si="43"/>
        <v>59</v>
      </c>
      <c r="N179" s="402"/>
      <c r="O179" s="402"/>
      <c r="P179" s="404">
        <v>59</v>
      </c>
      <c r="Q179" s="402">
        <f t="shared" si="38"/>
        <v>0</v>
      </c>
      <c r="R179" s="402">
        <f t="shared" si="44"/>
        <v>0</v>
      </c>
      <c r="S179" s="402"/>
      <c r="T179" s="402"/>
      <c r="U179" s="402"/>
      <c r="V179" s="402"/>
      <c r="W179" s="402"/>
      <c r="X179" s="402"/>
      <c r="Y179" s="402">
        <f t="shared" si="40"/>
        <v>0</v>
      </c>
      <c r="Z179" s="402"/>
      <c r="AA179" s="402"/>
      <c r="AB179" s="402"/>
      <c r="AC179" s="402"/>
      <c r="AD179" s="402"/>
      <c r="AE179" s="402"/>
      <c r="AF179" s="402">
        <f t="shared" si="41"/>
        <v>31.99</v>
      </c>
      <c r="AG179" s="402">
        <v>12.32</v>
      </c>
      <c r="AH179" s="402">
        <v>5.87</v>
      </c>
      <c r="AI179" s="402">
        <v>4.4</v>
      </c>
      <c r="AJ179" s="402">
        <v>0.15</v>
      </c>
      <c r="AK179" s="402">
        <v>0.44</v>
      </c>
      <c r="AL179" s="402">
        <v>8.81</v>
      </c>
      <c r="AM179" s="402"/>
      <c r="AN179" s="350"/>
      <c r="AO179" s="205">
        <f t="shared" si="34"/>
        <v>59</v>
      </c>
      <c r="AP179">
        <v>7.773</v>
      </c>
    </row>
    <row r="180" ht="24" hidden="1" spans="1:42">
      <c r="A180" s="284" t="s">
        <v>195</v>
      </c>
      <c r="B180" s="284" t="s">
        <v>196</v>
      </c>
      <c r="C180" s="284" t="s">
        <v>408</v>
      </c>
      <c r="D180" s="284" t="s">
        <v>409</v>
      </c>
      <c r="E180" s="402">
        <f t="shared" si="35"/>
        <v>23.34</v>
      </c>
      <c r="F180" s="402">
        <f t="shared" si="36"/>
        <v>21.17</v>
      </c>
      <c r="G180" s="402">
        <f t="shared" si="42"/>
        <v>5.17</v>
      </c>
      <c r="H180" s="402">
        <v>2.59</v>
      </c>
      <c r="I180" s="402">
        <v>2.36</v>
      </c>
      <c r="J180" s="402">
        <v>0.22</v>
      </c>
      <c r="K180" s="402"/>
      <c r="L180" s="402"/>
      <c r="M180" s="402">
        <f t="shared" si="43"/>
        <v>16</v>
      </c>
      <c r="N180" s="402"/>
      <c r="O180" s="402"/>
      <c r="P180" s="404">
        <v>16</v>
      </c>
      <c r="Q180" s="402">
        <f t="shared" si="38"/>
        <v>0</v>
      </c>
      <c r="R180" s="402">
        <f t="shared" si="44"/>
        <v>0</v>
      </c>
      <c r="S180" s="402"/>
      <c r="T180" s="402"/>
      <c r="U180" s="402"/>
      <c r="V180" s="402"/>
      <c r="W180" s="402"/>
      <c r="X180" s="402"/>
      <c r="Y180" s="402">
        <f t="shared" si="40"/>
        <v>0</v>
      </c>
      <c r="Z180" s="402"/>
      <c r="AA180" s="402"/>
      <c r="AB180" s="402"/>
      <c r="AC180" s="402"/>
      <c r="AD180" s="402"/>
      <c r="AE180" s="402"/>
      <c r="AF180" s="402">
        <f t="shared" si="41"/>
        <v>2.17</v>
      </c>
      <c r="AG180" s="402">
        <v>0.83</v>
      </c>
      <c r="AH180" s="402">
        <v>0.4</v>
      </c>
      <c r="AI180" s="402">
        <v>0.3</v>
      </c>
      <c r="AJ180" s="402">
        <v>0.02</v>
      </c>
      <c r="AK180" s="402">
        <v>0.03</v>
      </c>
      <c r="AL180" s="402">
        <v>0.59</v>
      </c>
      <c r="AM180" s="402"/>
      <c r="AN180" s="350"/>
      <c r="AO180" s="205">
        <f t="shared" si="34"/>
        <v>16</v>
      </c>
      <c r="AP180">
        <v>0.4768</v>
      </c>
    </row>
    <row r="181" ht="24" hidden="1" spans="1:42">
      <c r="A181" s="284" t="s">
        <v>195</v>
      </c>
      <c r="B181" s="284" t="s">
        <v>199</v>
      </c>
      <c r="C181" s="284" t="s">
        <v>410</v>
      </c>
      <c r="D181" s="284" t="s">
        <v>411</v>
      </c>
      <c r="E181" s="402">
        <f t="shared" si="35"/>
        <v>62.13</v>
      </c>
      <c r="F181" s="402">
        <f t="shared" si="36"/>
        <v>0</v>
      </c>
      <c r="G181" s="402">
        <f t="shared" si="42"/>
        <v>0</v>
      </c>
      <c r="H181" s="402"/>
      <c r="I181" s="402"/>
      <c r="J181" s="402"/>
      <c r="K181" s="402"/>
      <c r="L181" s="402"/>
      <c r="M181" s="402">
        <f t="shared" si="43"/>
        <v>0</v>
      </c>
      <c r="N181" s="402"/>
      <c r="O181" s="402"/>
      <c r="P181" s="404"/>
      <c r="Q181" s="402">
        <f t="shared" si="38"/>
        <v>58.19</v>
      </c>
      <c r="R181" s="402">
        <f t="shared" si="44"/>
        <v>8.97</v>
      </c>
      <c r="S181" s="402">
        <v>6.07</v>
      </c>
      <c r="T181" s="402"/>
      <c r="U181" s="402">
        <v>2.9</v>
      </c>
      <c r="V181" s="402"/>
      <c r="W181" s="402"/>
      <c r="X181" s="402"/>
      <c r="Y181" s="402">
        <f t="shared" si="40"/>
        <v>49.22</v>
      </c>
      <c r="Z181" s="402">
        <v>1.74</v>
      </c>
      <c r="AA181" s="402"/>
      <c r="AB181" s="402">
        <v>2.48</v>
      </c>
      <c r="AC181" s="402"/>
      <c r="AD181" s="402"/>
      <c r="AE181" s="404">
        <v>45</v>
      </c>
      <c r="AF181" s="402">
        <f t="shared" si="41"/>
        <v>3.94</v>
      </c>
      <c r="AG181" s="402">
        <v>1.71</v>
      </c>
      <c r="AH181" s="402">
        <v>0.86</v>
      </c>
      <c r="AI181" s="402"/>
      <c r="AJ181" s="402">
        <v>0.02</v>
      </c>
      <c r="AK181" s="402">
        <v>0.06</v>
      </c>
      <c r="AL181" s="402">
        <v>1.29</v>
      </c>
      <c r="AM181" s="402"/>
      <c r="AN181" s="350"/>
      <c r="AO181" s="205">
        <f t="shared" si="34"/>
        <v>45</v>
      </c>
      <c r="AP181">
        <v>1</v>
      </c>
    </row>
    <row r="182" ht="24" hidden="1" spans="1:42">
      <c r="A182" s="284" t="s">
        <v>195</v>
      </c>
      <c r="B182" s="284" t="s">
        <v>199</v>
      </c>
      <c r="C182" s="284" t="s">
        <v>412</v>
      </c>
      <c r="D182" s="284" t="s">
        <v>411</v>
      </c>
      <c r="E182" s="402">
        <f t="shared" si="35"/>
        <v>39.78</v>
      </c>
      <c r="F182" s="402">
        <f t="shared" si="36"/>
        <v>0</v>
      </c>
      <c r="G182" s="402">
        <f t="shared" si="42"/>
        <v>0</v>
      </c>
      <c r="H182" s="402"/>
      <c r="I182" s="402"/>
      <c r="J182" s="402"/>
      <c r="K182" s="402"/>
      <c r="L182" s="402"/>
      <c r="M182" s="402">
        <f t="shared" si="43"/>
        <v>0</v>
      </c>
      <c r="N182" s="402"/>
      <c r="O182" s="402"/>
      <c r="P182" s="404"/>
      <c r="Q182" s="402">
        <f t="shared" si="38"/>
        <v>33.39</v>
      </c>
      <c r="R182" s="402">
        <f t="shared" si="44"/>
        <v>14.78</v>
      </c>
      <c r="S182" s="402">
        <v>10.43</v>
      </c>
      <c r="T182" s="402"/>
      <c r="U182" s="402">
        <v>4.35</v>
      </c>
      <c r="V182" s="402"/>
      <c r="W182" s="402"/>
      <c r="X182" s="402"/>
      <c r="Y182" s="402">
        <f t="shared" si="40"/>
        <v>18.61</v>
      </c>
      <c r="Z182" s="402">
        <v>2.61</v>
      </c>
      <c r="AA182" s="402"/>
      <c r="AB182" s="402"/>
      <c r="AC182" s="402"/>
      <c r="AD182" s="402"/>
      <c r="AE182" s="404">
        <v>16</v>
      </c>
      <c r="AF182" s="402">
        <f t="shared" si="41"/>
        <v>6.39</v>
      </c>
      <c r="AG182" s="402">
        <v>2.78</v>
      </c>
      <c r="AH182" s="402">
        <v>1.39</v>
      </c>
      <c r="AI182" s="402"/>
      <c r="AJ182" s="402">
        <v>0.03</v>
      </c>
      <c r="AK182" s="402">
        <v>0.1</v>
      </c>
      <c r="AL182" s="402">
        <v>2.09</v>
      </c>
      <c r="AM182" s="402"/>
      <c r="AN182" s="350"/>
      <c r="AO182" s="205">
        <f t="shared" si="34"/>
        <v>16</v>
      </c>
      <c r="AP182">
        <v>1.5</v>
      </c>
    </row>
    <row r="183" ht="24" hidden="1" spans="1:42">
      <c r="A183" s="284" t="s">
        <v>195</v>
      </c>
      <c r="B183" s="284" t="s">
        <v>199</v>
      </c>
      <c r="C183" s="284" t="s">
        <v>413</v>
      </c>
      <c r="D183" s="284" t="s">
        <v>411</v>
      </c>
      <c r="E183" s="402">
        <f t="shared" si="35"/>
        <v>39.3</v>
      </c>
      <c r="F183" s="402">
        <f t="shared" si="36"/>
        <v>0</v>
      </c>
      <c r="G183" s="402">
        <f t="shared" si="42"/>
        <v>0</v>
      </c>
      <c r="H183" s="402"/>
      <c r="I183" s="402"/>
      <c r="J183" s="402"/>
      <c r="K183" s="402"/>
      <c r="L183" s="402"/>
      <c r="M183" s="402">
        <f t="shared" si="43"/>
        <v>0</v>
      </c>
      <c r="N183" s="402"/>
      <c r="O183" s="402"/>
      <c r="P183" s="402"/>
      <c r="Q183" s="402">
        <f t="shared" si="38"/>
        <v>33.57</v>
      </c>
      <c r="R183" s="402">
        <f t="shared" si="44"/>
        <v>12.96</v>
      </c>
      <c r="S183" s="402">
        <v>8.61</v>
      </c>
      <c r="T183" s="402"/>
      <c r="U183" s="402">
        <v>4.35</v>
      </c>
      <c r="V183" s="402"/>
      <c r="W183" s="402"/>
      <c r="X183" s="402"/>
      <c r="Y183" s="402">
        <f t="shared" si="40"/>
        <v>20.61</v>
      </c>
      <c r="Z183" s="402">
        <v>2.61</v>
      </c>
      <c r="AA183" s="402"/>
      <c r="AB183" s="402"/>
      <c r="AC183" s="402"/>
      <c r="AD183" s="402"/>
      <c r="AE183" s="402">
        <v>18</v>
      </c>
      <c r="AF183" s="402">
        <f t="shared" si="41"/>
        <v>5.73</v>
      </c>
      <c r="AG183" s="402">
        <v>2.49</v>
      </c>
      <c r="AH183" s="402">
        <v>1.25</v>
      </c>
      <c r="AI183" s="402"/>
      <c r="AJ183" s="402">
        <v>0.03</v>
      </c>
      <c r="AK183" s="402">
        <v>0.09</v>
      </c>
      <c r="AL183" s="402">
        <v>1.87</v>
      </c>
      <c r="AM183" s="402"/>
      <c r="AN183" s="350"/>
      <c r="AO183" s="205">
        <f t="shared" si="34"/>
        <v>18</v>
      </c>
      <c r="AP183">
        <v>1.5</v>
      </c>
    </row>
    <row r="184" ht="24" hidden="1" spans="1:42">
      <c r="A184" s="284" t="s">
        <v>195</v>
      </c>
      <c r="B184" s="284" t="s">
        <v>199</v>
      </c>
      <c r="C184" s="284" t="s">
        <v>414</v>
      </c>
      <c r="D184" s="284" t="s">
        <v>411</v>
      </c>
      <c r="E184" s="402">
        <f t="shared" si="35"/>
        <v>13.34</v>
      </c>
      <c r="F184" s="402">
        <f t="shared" si="36"/>
        <v>0</v>
      </c>
      <c r="G184" s="402">
        <f t="shared" si="42"/>
        <v>0</v>
      </c>
      <c r="H184" s="402"/>
      <c r="I184" s="402"/>
      <c r="J184" s="402"/>
      <c r="K184" s="402"/>
      <c r="L184" s="402"/>
      <c r="M184" s="402">
        <f t="shared" si="43"/>
        <v>0</v>
      </c>
      <c r="N184" s="402"/>
      <c r="O184" s="402"/>
      <c r="P184" s="402"/>
      <c r="Q184" s="402">
        <f t="shared" si="38"/>
        <v>11.37</v>
      </c>
      <c r="R184" s="402">
        <f t="shared" si="44"/>
        <v>4.5</v>
      </c>
      <c r="S184" s="402">
        <v>3.05</v>
      </c>
      <c r="T184" s="402"/>
      <c r="U184" s="402">
        <v>1.45</v>
      </c>
      <c r="V184" s="402"/>
      <c r="W184" s="402"/>
      <c r="X184" s="402"/>
      <c r="Y184" s="402">
        <f t="shared" si="40"/>
        <v>6.87</v>
      </c>
      <c r="Z184" s="402">
        <v>0.87</v>
      </c>
      <c r="AA184" s="402"/>
      <c r="AB184" s="402"/>
      <c r="AC184" s="402"/>
      <c r="AD184" s="402"/>
      <c r="AE184" s="402">
        <v>6</v>
      </c>
      <c r="AF184" s="402">
        <f t="shared" si="41"/>
        <v>1.97</v>
      </c>
      <c r="AG184" s="402">
        <v>0.86</v>
      </c>
      <c r="AH184" s="402">
        <v>0.43</v>
      </c>
      <c r="AI184" s="402"/>
      <c r="AJ184" s="402">
        <v>0.01</v>
      </c>
      <c r="AK184" s="402">
        <v>0.03</v>
      </c>
      <c r="AL184" s="402">
        <v>0.64</v>
      </c>
      <c r="AM184" s="402"/>
      <c r="AN184" s="350"/>
      <c r="AO184" s="205">
        <f t="shared" si="34"/>
        <v>6</v>
      </c>
      <c r="AP184">
        <v>0.5</v>
      </c>
    </row>
    <row r="185" ht="24" hidden="1" spans="1:42">
      <c r="A185" s="284" t="s">
        <v>195</v>
      </c>
      <c r="B185" s="284" t="s">
        <v>196</v>
      </c>
      <c r="C185" s="284" t="s">
        <v>415</v>
      </c>
      <c r="D185" s="284" t="s">
        <v>416</v>
      </c>
      <c r="E185" s="402">
        <f t="shared" si="35"/>
        <v>1107.46</v>
      </c>
      <c r="F185" s="402">
        <f t="shared" si="36"/>
        <v>890.62</v>
      </c>
      <c r="G185" s="402">
        <f t="shared" si="42"/>
        <v>528.33</v>
      </c>
      <c r="H185" s="402">
        <v>297.96</v>
      </c>
      <c r="I185" s="402">
        <v>199.42</v>
      </c>
      <c r="J185" s="402">
        <v>24.83</v>
      </c>
      <c r="K185" s="402">
        <v>6.12</v>
      </c>
      <c r="L185" s="402"/>
      <c r="M185" s="402">
        <f t="shared" si="43"/>
        <v>362.29</v>
      </c>
      <c r="N185" s="402">
        <v>22.29</v>
      </c>
      <c r="O185" s="402"/>
      <c r="P185" s="404">
        <v>340</v>
      </c>
      <c r="Q185" s="402">
        <f t="shared" si="38"/>
        <v>0</v>
      </c>
      <c r="R185" s="402">
        <f t="shared" si="44"/>
        <v>0</v>
      </c>
      <c r="S185" s="402"/>
      <c r="T185" s="402"/>
      <c r="U185" s="402"/>
      <c r="V185" s="402"/>
      <c r="W185" s="402"/>
      <c r="X185" s="402"/>
      <c r="Y185" s="402">
        <f t="shared" si="40"/>
        <v>0</v>
      </c>
      <c r="Z185" s="402"/>
      <c r="AA185" s="402"/>
      <c r="AB185" s="402"/>
      <c r="AC185" s="402"/>
      <c r="AD185" s="402"/>
      <c r="AE185" s="402"/>
      <c r="AF185" s="402">
        <f t="shared" si="41"/>
        <v>216.84</v>
      </c>
      <c r="AG185" s="402">
        <v>83.55</v>
      </c>
      <c r="AH185" s="402">
        <v>39.79</v>
      </c>
      <c r="AI185" s="402">
        <v>29.84</v>
      </c>
      <c r="AJ185" s="402">
        <v>0.99</v>
      </c>
      <c r="AK185" s="402">
        <v>2.98</v>
      </c>
      <c r="AL185" s="402">
        <v>59.69</v>
      </c>
      <c r="AM185" s="402"/>
      <c r="AN185" s="350"/>
      <c r="AO185" s="205">
        <f t="shared" si="34"/>
        <v>340</v>
      </c>
      <c r="AP185">
        <v>57.1106</v>
      </c>
    </row>
    <row r="186" ht="24" hidden="1" spans="1:42">
      <c r="A186" s="284" t="s">
        <v>195</v>
      </c>
      <c r="B186" s="284" t="s">
        <v>199</v>
      </c>
      <c r="C186" s="284" t="s">
        <v>417</v>
      </c>
      <c r="D186" s="284" t="s">
        <v>418</v>
      </c>
      <c r="E186" s="402">
        <f t="shared" si="35"/>
        <v>113.56</v>
      </c>
      <c r="F186" s="402">
        <f t="shared" si="36"/>
        <v>0</v>
      </c>
      <c r="G186" s="402">
        <f t="shared" si="42"/>
        <v>0</v>
      </c>
      <c r="H186" s="402"/>
      <c r="I186" s="402"/>
      <c r="J186" s="402"/>
      <c r="K186" s="402"/>
      <c r="L186" s="402"/>
      <c r="M186" s="402">
        <f t="shared" si="43"/>
        <v>0</v>
      </c>
      <c r="N186" s="402"/>
      <c r="O186" s="402"/>
      <c r="P186" s="402"/>
      <c r="Q186" s="402">
        <f t="shared" si="38"/>
        <v>93.01</v>
      </c>
      <c r="R186" s="402">
        <f t="shared" si="44"/>
        <v>40.49</v>
      </c>
      <c r="S186" s="402">
        <v>27.96</v>
      </c>
      <c r="T186" s="402"/>
      <c r="U186" s="402">
        <v>12.53</v>
      </c>
      <c r="V186" s="402"/>
      <c r="W186" s="402"/>
      <c r="X186" s="402"/>
      <c r="Y186" s="402">
        <f t="shared" si="40"/>
        <v>52.52</v>
      </c>
      <c r="Z186" s="402">
        <v>7.52</v>
      </c>
      <c r="AA186" s="402"/>
      <c r="AB186" s="402"/>
      <c r="AC186" s="402"/>
      <c r="AD186" s="402"/>
      <c r="AE186" s="402">
        <v>45</v>
      </c>
      <c r="AF186" s="402">
        <f t="shared" si="41"/>
        <v>20.55</v>
      </c>
      <c r="AG186" s="402">
        <v>7.68</v>
      </c>
      <c r="AH186" s="402">
        <v>3.84</v>
      </c>
      <c r="AI186" s="402">
        <v>2.88</v>
      </c>
      <c r="AJ186" s="402">
        <v>0.1</v>
      </c>
      <c r="AK186" s="402">
        <v>0.29</v>
      </c>
      <c r="AL186" s="402">
        <v>5.76</v>
      </c>
      <c r="AM186" s="402"/>
      <c r="AN186" s="350"/>
      <c r="AO186" s="205">
        <f t="shared" si="34"/>
        <v>45</v>
      </c>
      <c r="AP186">
        <v>4.5417</v>
      </c>
    </row>
    <row r="187" ht="24" hidden="1" spans="1:42">
      <c r="A187" s="284" t="s">
        <v>195</v>
      </c>
      <c r="B187" s="284" t="s">
        <v>199</v>
      </c>
      <c r="C187" s="284" t="s">
        <v>419</v>
      </c>
      <c r="D187" s="284" t="s">
        <v>418</v>
      </c>
      <c r="E187" s="402">
        <f t="shared" si="35"/>
        <v>40.94</v>
      </c>
      <c r="F187" s="402">
        <f t="shared" si="36"/>
        <v>0</v>
      </c>
      <c r="G187" s="402">
        <f t="shared" si="42"/>
        <v>0</v>
      </c>
      <c r="H187" s="402"/>
      <c r="I187" s="402"/>
      <c r="J187" s="402"/>
      <c r="K187" s="402"/>
      <c r="L187" s="402"/>
      <c r="M187" s="402">
        <f t="shared" si="43"/>
        <v>0</v>
      </c>
      <c r="N187" s="402"/>
      <c r="O187" s="402"/>
      <c r="P187" s="402"/>
      <c r="Q187" s="402">
        <f t="shared" si="38"/>
        <v>33.16</v>
      </c>
      <c r="R187" s="402">
        <f t="shared" si="44"/>
        <v>15.64</v>
      </c>
      <c r="S187" s="402">
        <v>11.44</v>
      </c>
      <c r="T187" s="402"/>
      <c r="U187" s="402">
        <v>4.2</v>
      </c>
      <c r="V187" s="402"/>
      <c r="W187" s="402"/>
      <c r="X187" s="402"/>
      <c r="Y187" s="402">
        <f t="shared" si="40"/>
        <v>17.52</v>
      </c>
      <c r="Z187" s="402">
        <v>2.52</v>
      </c>
      <c r="AA187" s="402"/>
      <c r="AB187" s="402"/>
      <c r="AC187" s="402"/>
      <c r="AD187" s="402"/>
      <c r="AE187" s="402">
        <v>15</v>
      </c>
      <c r="AF187" s="402">
        <f t="shared" si="41"/>
        <v>7.78</v>
      </c>
      <c r="AG187" s="402">
        <v>2.91</v>
      </c>
      <c r="AH187" s="402">
        <v>1.45</v>
      </c>
      <c r="AI187" s="402">
        <v>1.09</v>
      </c>
      <c r="AJ187" s="402">
        <v>0.04</v>
      </c>
      <c r="AK187" s="402">
        <v>0.11</v>
      </c>
      <c r="AL187" s="402">
        <v>2.18</v>
      </c>
      <c r="AM187" s="402"/>
      <c r="AN187" s="350"/>
      <c r="AO187" s="205">
        <f t="shared" si="34"/>
        <v>15</v>
      </c>
      <c r="AP187">
        <v>1.5</v>
      </c>
    </row>
    <row r="188" ht="24" hidden="1" spans="1:42">
      <c r="A188" s="284" t="s">
        <v>195</v>
      </c>
      <c r="B188" s="284" t="s">
        <v>199</v>
      </c>
      <c r="C188" s="284" t="s">
        <v>420</v>
      </c>
      <c r="D188" s="284" t="s">
        <v>418</v>
      </c>
      <c r="E188" s="402">
        <f t="shared" si="35"/>
        <v>312.86</v>
      </c>
      <c r="F188" s="402">
        <f t="shared" si="36"/>
        <v>0</v>
      </c>
      <c r="G188" s="402">
        <f t="shared" si="42"/>
        <v>0</v>
      </c>
      <c r="H188" s="402"/>
      <c r="I188" s="402"/>
      <c r="J188" s="402"/>
      <c r="K188" s="402"/>
      <c r="L188" s="402"/>
      <c r="M188" s="402">
        <f t="shared" si="43"/>
        <v>0</v>
      </c>
      <c r="N188" s="402"/>
      <c r="O188" s="402"/>
      <c r="P188" s="402"/>
      <c r="Q188" s="402">
        <f t="shared" si="38"/>
        <v>254.76</v>
      </c>
      <c r="R188" s="402">
        <f t="shared" si="44"/>
        <v>115.12</v>
      </c>
      <c r="S188" s="402">
        <v>80.73</v>
      </c>
      <c r="T188" s="402"/>
      <c r="U188" s="402">
        <v>34.39</v>
      </c>
      <c r="V188" s="402"/>
      <c r="W188" s="402"/>
      <c r="X188" s="402"/>
      <c r="Y188" s="402">
        <f t="shared" si="40"/>
        <v>139.64</v>
      </c>
      <c r="Z188" s="402">
        <v>20.64</v>
      </c>
      <c r="AA188" s="402"/>
      <c r="AB188" s="402"/>
      <c r="AC188" s="402"/>
      <c r="AD188" s="402"/>
      <c r="AE188" s="402">
        <v>119</v>
      </c>
      <c r="AF188" s="402">
        <f t="shared" si="41"/>
        <v>58.1</v>
      </c>
      <c r="AG188" s="402">
        <v>21.72</v>
      </c>
      <c r="AH188" s="402">
        <v>10.86</v>
      </c>
      <c r="AI188" s="402">
        <v>8.15</v>
      </c>
      <c r="AJ188" s="402">
        <v>0.27</v>
      </c>
      <c r="AK188" s="402">
        <v>0.81</v>
      </c>
      <c r="AL188" s="402">
        <v>16.29</v>
      </c>
      <c r="AM188" s="402"/>
      <c r="AN188" s="350"/>
      <c r="AO188" s="205">
        <f t="shared" si="34"/>
        <v>119</v>
      </c>
      <c r="AP188">
        <v>12.68</v>
      </c>
    </row>
    <row r="189" s="311" customFormat="1" ht="21" customHeight="1" spans="1:44">
      <c r="A189" s="328"/>
      <c r="B189" s="328"/>
      <c r="C189" s="328" t="s">
        <v>133</v>
      </c>
      <c r="D189" s="329">
        <v>204</v>
      </c>
      <c r="E189" s="401">
        <f t="shared" ref="E189:P189" si="45">SUM(E190:E198)</f>
        <v>8215.71</v>
      </c>
      <c r="F189" s="401">
        <f t="shared" si="45"/>
        <v>6275.3</v>
      </c>
      <c r="G189" s="401">
        <f t="shared" si="45"/>
        <v>3482.05</v>
      </c>
      <c r="H189" s="401">
        <f t="shared" si="45"/>
        <v>1434.98</v>
      </c>
      <c r="I189" s="401">
        <f t="shared" si="45"/>
        <v>1814.48</v>
      </c>
      <c r="J189" s="401">
        <f t="shared" si="45"/>
        <v>151.83</v>
      </c>
      <c r="K189" s="401">
        <f t="shared" si="45"/>
        <v>8.04</v>
      </c>
      <c r="L189" s="401">
        <f t="shared" si="45"/>
        <v>72.72</v>
      </c>
      <c r="M189" s="401">
        <f t="shared" si="45"/>
        <v>2793.25</v>
      </c>
      <c r="N189" s="401">
        <f t="shared" si="45"/>
        <v>1131.11</v>
      </c>
      <c r="O189" s="401">
        <f t="shared" si="45"/>
        <v>9.14</v>
      </c>
      <c r="P189" s="401">
        <f t="shared" si="45"/>
        <v>1653</v>
      </c>
      <c r="Q189" s="401">
        <f t="shared" ref="Q189:AE189" si="46">SUM(Q190:Q198)</f>
        <v>435.15</v>
      </c>
      <c r="R189" s="401">
        <f t="shared" si="46"/>
        <v>177.25</v>
      </c>
      <c r="S189" s="401">
        <f t="shared" si="46"/>
        <v>123</v>
      </c>
      <c r="T189" s="401">
        <f t="shared" si="46"/>
        <v>0.24</v>
      </c>
      <c r="U189" s="401">
        <f t="shared" si="46"/>
        <v>54.01</v>
      </c>
      <c r="V189" s="401">
        <f t="shared" si="46"/>
        <v>0</v>
      </c>
      <c r="W189" s="401">
        <f t="shared" si="46"/>
        <v>0</v>
      </c>
      <c r="X189" s="401">
        <f t="shared" si="46"/>
        <v>0</v>
      </c>
      <c r="Y189" s="401">
        <f t="shared" si="46"/>
        <v>257.9</v>
      </c>
      <c r="Z189" s="401">
        <f t="shared" si="46"/>
        <v>32.4</v>
      </c>
      <c r="AA189" s="401">
        <f t="shared" si="46"/>
        <v>0</v>
      </c>
      <c r="AB189" s="401">
        <f t="shared" si="46"/>
        <v>0</v>
      </c>
      <c r="AC189" s="401">
        <f t="shared" si="46"/>
        <v>0</v>
      </c>
      <c r="AD189" s="401">
        <f t="shared" si="46"/>
        <v>0</v>
      </c>
      <c r="AE189" s="401">
        <f t="shared" si="46"/>
        <v>225.5</v>
      </c>
      <c r="AF189" s="401">
        <f t="shared" ref="AF189:AM189" si="47">SUM(AF190:AF198)</f>
        <v>1505.26</v>
      </c>
      <c r="AG189" s="401">
        <f t="shared" si="47"/>
        <v>577.75</v>
      </c>
      <c r="AH189" s="401">
        <f t="shared" si="47"/>
        <v>276.73</v>
      </c>
      <c r="AI189" s="401">
        <f t="shared" si="47"/>
        <v>207.55</v>
      </c>
      <c r="AJ189" s="401">
        <f t="shared" si="47"/>
        <v>7.39</v>
      </c>
      <c r="AK189" s="401">
        <f t="shared" si="47"/>
        <v>20.75</v>
      </c>
      <c r="AL189" s="401">
        <f t="shared" si="47"/>
        <v>415.09</v>
      </c>
      <c r="AM189" s="401">
        <f t="shared" si="47"/>
        <v>0</v>
      </c>
      <c r="AN189" s="362"/>
      <c r="AO189" s="407">
        <f t="shared" si="34"/>
        <v>1878.5</v>
      </c>
      <c r="AP189" s="373"/>
      <c r="AR189"/>
    </row>
    <row r="190" ht="24" hidden="1" spans="1:42">
      <c r="A190" s="284" t="s">
        <v>195</v>
      </c>
      <c r="B190" s="284" t="s">
        <v>196</v>
      </c>
      <c r="C190" s="284" t="s">
        <v>421</v>
      </c>
      <c r="D190" s="284" t="s">
        <v>422</v>
      </c>
      <c r="E190" s="402">
        <f t="shared" ref="E190:E198" si="48">F190+Q190+AF190</f>
        <v>5809.66</v>
      </c>
      <c r="F190" s="402">
        <f t="shared" ref="F190:F198" si="49">G190+M190</f>
        <v>4650.54</v>
      </c>
      <c r="G190" s="402">
        <f t="shared" ref="G190:G198" si="50">SUM(H190:L190)</f>
        <v>2785.43</v>
      </c>
      <c r="H190" s="402">
        <v>1125.54</v>
      </c>
      <c r="I190" s="402">
        <v>1536.59</v>
      </c>
      <c r="J190" s="402">
        <v>123.3</v>
      </c>
      <c r="K190" s="402"/>
      <c r="L190" s="402"/>
      <c r="M190" s="402">
        <f>SUM(N190:P190)</f>
        <v>1865.11</v>
      </c>
      <c r="N190" s="404">
        <v>663.64</v>
      </c>
      <c r="O190" s="409">
        <v>3.47</v>
      </c>
      <c r="P190" s="404">
        <f>1100+98</f>
        <v>1198</v>
      </c>
      <c r="Q190" s="402">
        <f t="shared" ref="Q190:Q198" si="51">R190+Y190</f>
        <v>0</v>
      </c>
      <c r="R190" s="402">
        <f t="shared" ref="R190:R198" si="52">SUM(S190:X190)</f>
        <v>0</v>
      </c>
      <c r="S190" s="402"/>
      <c r="T190" s="402"/>
      <c r="U190" s="402"/>
      <c r="V190" s="402"/>
      <c r="W190" s="402"/>
      <c r="X190" s="402"/>
      <c r="Y190" s="402">
        <f t="shared" ref="Y190:Y198" si="53">SUM(Z190:AE190)</f>
        <v>0</v>
      </c>
      <c r="Z190" s="402"/>
      <c r="AA190" s="402"/>
      <c r="AB190" s="402"/>
      <c r="AC190" s="402"/>
      <c r="AD190" s="402"/>
      <c r="AE190" s="402"/>
      <c r="AF190" s="402">
        <f t="shared" ref="AF190:AF198" si="54">SUM(AG190:AM190)</f>
        <v>1159.12</v>
      </c>
      <c r="AG190" s="402">
        <v>445.67</v>
      </c>
      <c r="AH190" s="402">
        <v>212.97</v>
      </c>
      <c r="AI190" s="402">
        <v>159.73</v>
      </c>
      <c r="AJ190" s="402">
        <v>5.32</v>
      </c>
      <c r="AK190" s="402">
        <v>15.97</v>
      </c>
      <c r="AL190" s="402">
        <v>319.46</v>
      </c>
      <c r="AM190" s="402"/>
      <c r="AN190" s="350"/>
      <c r="AO190" s="205">
        <f t="shared" si="34"/>
        <v>1198</v>
      </c>
      <c r="AP190">
        <v>214.5407</v>
      </c>
    </row>
    <row r="191" ht="24" hidden="1" spans="1:42">
      <c r="A191" s="284" t="s">
        <v>195</v>
      </c>
      <c r="B191" s="284" t="s">
        <v>196</v>
      </c>
      <c r="C191" s="284" t="s">
        <v>423</v>
      </c>
      <c r="D191" s="284" t="s">
        <v>422</v>
      </c>
      <c r="E191" s="402">
        <f t="shared" si="48"/>
        <v>786.8</v>
      </c>
      <c r="F191" s="402">
        <f t="shared" si="49"/>
        <v>683.3</v>
      </c>
      <c r="G191" s="402">
        <f t="shared" si="50"/>
        <v>252.45</v>
      </c>
      <c r="H191" s="402">
        <v>104.73</v>
      </c>
      <c r="I191" s="402">
        <v>131.69</v>
      </c>
      <c r="J191" s="402">
        <v>11.47</v>
      </c>
      <c r="K191" s="402">
        <v>0.96</v>
      </c>
      <c r="L191" s="402">
        <v>3.6</v>
      </c>
      <c r="M191" s="402">
        <f t="shared" ref="M191:M198" si="55">SUM(N191:P191)</f>
        <v>430.85</v>
      </c>
      <c r="N191" s="402">
        <v>330.85</v>
      </c>
      <c r="O191" s="402"/>
      <c r="P191" s="404">
        <v>100</v>
      </c>
      <c r="Q191" s="402">
        <f t="shared" si="51"/>
        <v>0</v>
      </c>
      <c r="R191" s="402">
        <f t="shared" si="52"/>
        <v>0</v>
      </c>
      <c r="S191" s="402"/>
      <c r="T191" s="402"/>
      <c r="U191" s="402"/>
      <c r="V191" s="402"/>
      <c r="W191" s="402"/>
      <c r="X191" s="402"/>
      <c r="Y191" s="402">
        <f t="shared" si="53"/>
        <v>0</v>
      </c>
      <c r="Z191" s="402"/>
      <c r="AA191" s="402"/>
      <c r="AB191" s="402"/>
      <c r="AC191" s="402"/>
      <c r="AD191" s="402"/>
      <c r="AE191" s="402"/>
      <c r="AF191" s="402">
        <f t="shared" si="54"/>
        <v>103.5</v>
      </c>
      <c r="AG191" s="402">
        <v>39.66</v>
      </c>
      <c r="AH191" s="402">
        <v>18.91</v>
      </c>
      <c r="AI191" s="402">
        <v>14.19</v>
      </c>
      <c r="AJ191" s="402">
        <v>0.95</v>
      </c>
      <c r="AK191" s="402">
        <v>1.42</v>
      </c>
      <c r="AL191" s="402">
        <v>28.37</v>
      </c>
      <c r="AM191" s="402"/>
      <c r="AN191" s="350"/>
      <c r="AO191" s="205">
        <f t="shared" si="34"/>
        <v>100</v>
      </c>
      <c r="AP191">
        <v>15.2372</v>
      </c>
    </row>
    <row r="192" ht="24" hidden="1" spans="1:42">
      <c r="A192" s="284" t="s">
        <v>195</v>
      </c>
      <c r="B192" s="284" t="s">
        <v>196</v>
      </c>
      <c r="C192" s="284" t="s">
        <v>424</v>
      </c>
      <c r="D192" s="284" t="s">
        <v>422</v>
      </c>
      <c r="E192" s="402">
        <f t="shared" si="48"/>
        <v>129.81</v>
      </c>
      <c r="F192" s="402">
        <f t="shared" si="49"/>
        <v>129.81</v>
      </c>
      <c r="G192" s="402">
        <f t="shared" si="50"/>
        <v>0</v>
      </c>
      <c r="H192" s="402"/>
      <c r="I192" s="402"/>
      <c r="J192" s="402"/>
      <c r="K192" s="402"/>
      <c r="L192" s="402"/>
      <c r="M192" s="402">
        <f t="shared" si="55"/>
        <v>129.81</v>
      </c>
      <c r="N192" s="402">
        <v>57.81</v>
      </c>
      <c r="O192" s="402"/>
      <c r="P192" s="404">
        <v>72</v>
      </c>
      <c r="Q192" s="402">
        <f t="shared" si="51"/>
        <v>0</v>
      </c>
      <c r="R192" s="402">
        <f t="shared" si="52"/>
        <v>0</v>
      </c>
      <c r="S192" s="402"/>
      <c r="T192" s="402"/>
      <c r="U192" s="402"/>
      <c r="V192" s="402"/>
      <c r="W192" s="402"/>
      <c r="X192" s="402"/>
      <c r="Y192" s="402">
        <f t="shared" si="53"/>
        <v>0</v>
      </c>
      <c r="Z192" s="402"/>
      <c r="AA192" s="402"/>
      <c r="AB192" s="402"/>
      <c r="AC192" s="402"/>
      <c r="AD192" s="402"/>
      <c r="AE192" s="402"/>
      <c r="AF192" s="402">
        <f t="shared" si="54"/>
        <v>0</v>
      </c>
      <c r="AG192" s="402"/>
      <c r="AH192" s="402"/>
      <c r="AI192" s="402"/>
      <c r="AJ192" s="402"/>
      <c r="AK192" s="402"/>
      <c r="AL192" s="402"/>
      <c r="AM192" s="402"/>
      <c r="AN192" s="350"/>
      <c r="AO192" s="205">
        <f t="shared" si="34"/>
        <v>72</v>
      </c>
      <c r="AP192">
        <v>0</v>
      </c>
    </row>
    <row r="193" ht="24" hidden="1" spans="1:42">
      <c r="A193" s="284" t="s">
        <v>195</v>
      </c>
      <c r="B193" s="284" t="s">
        <v>199</v>
      </c>
      <c r="C193" s="284" t="s">
        <v>425</v>
      </c>
      <c r="D193" s="284" t="s">
        <v>426</v>
      </c>
      <c r="E193" s="402">
        <f t="shared" si="48"/>
        <v>443.82</v>
      </c>
      <c r="F193" s="402">
        <f t="shared" si="49"/>
        <v>0</v>
      </c>
      <c r="G193" s="402">
        <f t="shared" si="50"/>
        <v>0</v>
      </c>
      <c r="H193" s="402"/>
      <c r="I193" s="402"/>
      <c r="J193" s="402"/>
      <c r="K193" s="402"/>
      <c r="L193" s="402"/>
      <c r="M193" s="402">
        <f t="shared" si="55"/>
        <v>0</v>
      </c>
      <c r="N193" s="402"/>
      <c r="O193" s="402"/>
      <c r="P193" s="402"/>
      <c r="Q193" s="402">
        <f t="shared" si="51"/>
        <v>368.49</v>
      </c>
      <c r="R193" s="402">
        <f t="shared" si="52"/>
        <v>148.65</v>
      </c>
      <c r="S193" s="402">
        <v>102.84</v>
      </c>
      <c r="T193" s="402">
        <v>0.24</v>
      </c>
      <c r="U193" s="402">
        <v>45.57</v>
      </c>
      <c r="V193" s="402"/>
      <c r="W193" s="402"/>
      <c r="X193" s="402"/>
      <c r="Y193" s="402">
        <f t="shared" si="53"/>
        <v>219.84</v>
      </c>
      <c r="Z193" s="402">
        <v>27.34</v>
      </c>
      <c r="AA193" s="402"/>
      <c r="AB193" s="402"/>
      <c r="AC193" s="402"/>
      <c r="AD193" s="402"/>
      <c r="AE193" s="402">
        <v>192.5</v>
      </c>
      <c r="AF193" s="402">
        <f t="shared" si="54"/>
        <v>75.33</v>
      </c>
      <c r="AG193" s="402">
        <v>28.16</v>
      </c>
      <c r="AH193" s="402">
        <v>14.08</v>
      </c>
      <c r="AI193" s="402">
        <v>10.56</v>
      </c>
      <c r="AJ193" s="402">
        <v>0.35</v>
      </c>
      <c r="AK193" s="402">
        <v>1.06</v>
      </c>
      <c r="AL193" s="402">
        <v>21.12</v>
      </c>
      <c r="AM193" s="402"/>
      <c r="AN193" s="350"/>
      <c r="AO193" s="205">
        <f t="shared" si="34"/>
        <v>192.5</v>
      </c>
      <c r="AP193">
        <v>0</v>
      </c>
    </row>
    <row r="194" ht="24" hidden="1" spans="1:42">
      <c r="A194" s="284" t="s">
        <v>195</v>
      </c>
      <c r="B194" s="284" t="s">
        <v>196</v>
      </c>
      <c r="C194" s="284" t="s">
        <v>427</v>
      </c>
      <c r="D194" s="284" t="s">
        <v>428</v>
      </c>
      <c r="E194" s="402">
        <f t="shared" si="48"/>
        <v>874.25</v>
      </c>
      <c r="F194" s="402">
        <f t="shared" si="49"/>
        <v>737.56</v>
      </c>
      <c r="G194" s="402">
        <f t="shared" si="50"/>
        <v>405.08</v>
      </c>
      <c r="H194" s="402">
        <v>182.17</v>
      </c>
      <c r="I194" s="402">
        <v>131.53</v>
      </c>
      <c r="J194" s="402">
        <v>15.18</v>
      </c>
      <c r="K194" s="402">
        <v>7.08</v>
      </c>
      <c r="L194" s="402">
        <v>69.12</v>
      </c>
      <c r="M194" s="402">
        <f t="shared" si="55"/>
        <v>332.48</v>
      </c>
      <c r="N194" s="402">
        <f>62.4+16.41</f>
        <v>78.81</v>
      </c>
      <c r="O194" s="412">
        <v>5.67</v>
      </c>
      <c r="P194" s="404">
        <v>248</v>
      </c>
      <c r="Q194" s="402">
        <f t="shared" si="51"/>
        <v>0</v>
      </c>
      <c r="R194" s="402">
        <f t="shared" si="52"/>
        <v>0</v>
      </c>
      <c r="S194" s="402"/>
      <c r="T194" s="402"/>
      <c r="U194" s="402"/>
      <c r="V194" s="402"/>
      <c r="W194" s="402"/>
      <c r="X194" s="402"/>
      <c r="Y194" s="402">
        <f t="shared" si="53"/>
        <v>0</v>
      </c>
      <c r="Z194" s="402"/>
      <c r="AA194" s="402"/>
      <c r="AB194" s="402"/>
      <c r="AC194" s="402"/>
      <c r="AD194" s="402"/>
      <c r="AE194" s="402"/>
      <c r="AF194" s="402">
        <f t="shared" si="54"/>
        <v>136.69</v>
      </c>
      <c r="AG194" s="402">
        <v>52.62</v>
      </c>
      <c r="AH194" s="402">
        <v>25.1</v>
      </c>
      <c r="AI194" s="402">
        <v>18.82</v>
      </c>
      <c r="AJ194" s="402">
        <v>0.63</v>
      </c>
      <c r="AK194" s="402">
        <v>1.88</v>
      </c>
      <c r="AL194" s="402">
        <v>37.64</v>
      </c>
      <c r="AM194" s="402"/>
      <c r="AN194" s="350"/>
      <c r="AO194" s="205">
        <f t="shared" si="34"/>
        <v>248</v>
      </c>
      <c r="AP194">
        <v>35.1896</v>
      </c>
    </row>
    <row r="195" ht="24" hidden="1" spans="1:41">
      <c r="A195" s="284" t="s">
        <v>195</v>
      </c>
      <c r="B195" s="284" t="s">
        <v>366</v>
      </c>
      <c r="C195" s="284" t="s">
        <v>429</v>
      </c>
      <c r="D195" s="284" t="s">
        <v>430</v>
      </c>
      <c r="E195" s="402">
        <f t="shared" si="48"/>
        <v>0</v>
      </c>
      <c r="F195" s="402">
        <f t="shared" si="49"/>
        <v>0</v>
      </c>
      <c r="G195" s="402">
        <f t="shared" si="50"/>
        <v>0</v>
      </c>
      <c r="H195" s="402"/>
      <c r="I195" s="402"/>
      <c r="J195" s="402"/>
      <c r="K195" s="402"/>
      <c r="L195" s="402"/>
      <c r="M195" s="402">
        <f t="shared" si="55"/>
        <v>0</v>
      </c>
      <c r="N195" s="402"/>
      <c r="O195" s="402"/>
      <c r="P195" s="402"/>
      <c r="Q195" s="402">
        <f t="shared" si="51"/>
        <v>0</v>
      </c>
      <c r="R195" s="402">
        <f t="shared" si="52"/>
        <v>0</v>
      </c>
      <c r="S195" s="402"/>
      <c r="T195" s="402"/>
      <c r="U195" s="402"/>
      <c r="V195" s="402"/>
      <c r="W195" s="402"/>
      <c r="X195" s="402"/>
      <c r="Y195" s="402">
        <f t="shared" si="53"/>
        <v>0</v>
      </c>
      <c r="Z195" s="402"/>
      <c r="AA195" s="402"/>
      <c r="AB195" s="402"/>
      <c r="AC195" s="402"/>
      <c r="AD195" s="402"/>
      <c r="AE195" s="402"/>
      <c r="AF195" s="402">
        <f t="shared" si="54"/>
        <v>0</v>
      </c>
      <c r="AG195" s="402"/>
      <c r="AH195" s="402"/>
      <c r="AI195" s="402"/>
      <c r="AJ195" s="402"/>
      <c r="AK195" s="402"/>
      <c r="AL195" s="402"/>
      <c r="AM195" s="402"/>
      <c r="AN195" s="350"/>
      <c r="AO195" s="205">
        <f t="shared" si="34"/>
        <v>0</v>
      </c>
    </row>
    <row r="196" ht="24" hidden="1" spans="1:42">
      <c r="A196" s="284" t="s">
        <v>195</v>
      </c>
      <c r="B196" s="284" t="s">
        <v>199</v>
      </c>
      <c r="C196" s="284" t="s">
        <v>431</v>
      </c>
      <c r="D196" s="284" t="s">
        <v>430</v>
      </c>
      <c r="E196" s="402">
        <f t="shared" si="48"/>
        <v>56.43</v>
      </c>
      <c r="F196" s="402">
        <f t="shared" si="49"/>
        <v>0</v>
      </c>
      <c r="G196" s="402">
        <f t="shared" si="50"/>
        <v>0</v>
      </c>
      <c r="H196" s="402"/>
      <c r="I196" s="402"/>
      <c r="J196" s="402"/>
      <c r="K196" s="402"/>
      <c r="L196" s="402"/>
      <c r="M196" s="402">
        <f t="shared" si="55"/>
        <v>0</v>
      </c>
      <c r="N196" s="402"/>
      <c r="O196" s="402"/>
      <c r="P196" s="402"/>
      <c r="Q196" s="402">
        <f t="shared" si="51"/>
        <v>46.11</v>
      </c>
      <c r="R196" s="402">
        <f t="shared" si="52"/>
        <v>20.63</v>
      </c>
      <c r="S196" s="402">
        <v>14.83</v>
      </c>
      <c r="T196" s="402"/>
      <c r="U196" s="402">
        <v>5.8</v>
      </c>
      <c r="V196" s="402"/>
      <c r="W196" s="402"/>
      <c r="X196" s="402"/>
      <c r="Y196" s="402">
        <f t="shared" si="53"/>
        <v>25.48</v>
      </c>
      <c r="Z196" s="402">
        <v>3.48</v>
      </c>
      <c r="AA196" s="402"/>
      <c r="AB196" s="402"/>
      <c r="AC196" s="402"/>
      <c r="AD196" s="402"/>
      <c r="AE196" s="404">
        <v>22</v>
      </c>
      <c r="AF196" s="402">
        <f t="shared" si="54"/>
        <v>10.32</v>
      </c>
      <c r="AG196" s="402">
        <v>3.86</v>
      </c>
      <c r="AH196" s="402">
        <v>1.93</v>
      </c>
      <c r="AI196" s="402">
        <v>1.45</v>
      </c>
      <c r="AJ196" s="402">
        <v>0.05</v>
      </c>
      <c r="AK196" s="402">
        <v>0.14</v>
      </c>
      <c r="AL196" s="402">
        <v>2.89</v>
      </c>
      <c r="AM196" s="402"/>
      <c r="AN196" s="350"/>
      <c r="AO196" s="205">
        <f t="shared" si="34"/>
        <v>22</v>
      </c>
      <c r="AP196">
        <v>2</v>
      </c>
    </row>
    <row r="197" ht="24" hidden="1" spans="1:42">
      <c r="A197" s="284" t="s">
        <v>195</v>
      </c>
      <c r="B197" s="284" t="s">
        <v>199</v>
      </c>
      <c r="C197" s="284" t="s">
        <v>432</v>
      </c>
      <c r="D197" s="284" t="s">
        <v>430</v>
      </c>
      <c r="E197" s="402">
        <f t="shared" si="48"/>
        <v>24.64</v>
      </c>
      <c r="F197" s="402">
        <f t="shared" si="49"/>
        <v>0</v>
      </c>
      <c r="G197" s="402">
        <f t="shared" si="50"/>
        <v>0</v>
      </c>
      <c r="H197" s="402"/>
      <c r="I197" s="402"/>
      <c r="J197" s="402"/>
      <c r="K197" s="402"/>
      <c r="L197" s="402"/>
      <c r="M197" s="402">
        <f t="shared" si="55"/>
        <v>0</v>
      </c>
      <c r="N197" s="402"/>
      <c r="O197" s="402"/>
      <c r="P197" s="402"/>
      <c r="Q197" s="402">
        <f t="shared" si="51"/>
        <v>20.55</v>
      </c>
      <c r="R197" s="402">
        <f t="shared" si="52"/>
        <v>7.97</v>
      </c>
      <c r="S197" s="402">
        <v>5.33</v>
      </c>
      <c r="T197" s="402"/>
      <c r="U197" s="402">
        <v>2.64</v>
      </c>
      <c r="V197" s="402"/>
      <c r="W197" s="402"/>
      <c r="X197" s="402"/>
      <c r="Y197" s="402">
        <f t="shared" si="53"/>
        <v>12.58</v>
      </c>
      <c r="Z197" s="402">
        <v>1.58</v>
      </c>
      <c r="AA197" s="402"/>
      <c r="AB197" s="402"/>
      <c r="AC197" s="402"/>
      <c r="AD197" s="402"/>
      <c r="AE197" s="404">
        <v>11</v>
      </c>
      <c r="AF197" s="402">
        <f t="shared" si="54"/>
        <v>4.09</v>
      </c>
      <c r="AG197" s="402">
        <v>1.53</v>
      </c>
      <c r="AH197" s="402">
        <v>0.76</v>
      </c>
      <c r="AI197" s="402">
        <v>0.57</v>
      </c>
      <c r="AJ197" s="402">
        <v>0.02</v>
      </c>
      <c r="AK197" s="402">
        <v>0.06</v>
      </c>
      <c r="AL197" s="402">
        <v>1.15</v>
      </c>
      <c r="AM197" s="402"/>
      <c r="AN197" s="350"/>
      <c r="AO197" s="205">
        <f t="shared" si="34"/>
        <v>11</v>
      </c>
      <c r="AP197">
        <v>1.0417</v>
      </c>
    </row>
    <row r="198" ht="36" hidden="1" spans="1:42">
      <c r="A198" s="284" t="s">
        <v>195</v>
      </c>
      <c r="B198" s="284" t="s">
        <v>196</v>
      </c>
      <c r="C198" s="284" t="s">
        <v>433</v>
      </c>
      <c r="D198" s="284" t="s">
        <v>434</v>
      </c>
      <c r="E198" s="402">
        <f t="shared" si="48"/>
        <v>90.3</v>
      </c>
      <c r="F198" s="402">
        <f t="shared" si="49"/>
        <v>74.09</v>
      </c>
      <c r="G198" s="402">
        <f t="shared" si="50"/>
        <v>39.09</v>
      </c>
      <c r="H198" s="402">
        <v>22.54</v>
      </c>
      <c r="I198" s="402">
        <v>14.67</v>
      </c>
      <c r="J198" s="402">
        <v>1.88</v>
      </c>
      <c r="K198" s="402"/>
      <c r="L198" s="402"/>
      <c r="M198" s="402">
        <f t="shared" si="55"/>
        <v>35</v>
      </c>
      <c r="N198" s="402"/>
      <c r="O198" s="402"/>
      <c r="P198" s="404">
        <v>35</v>
      </c>
      <c r="Q198" s="402">
        <f t="shared" si="51"/>
        <v>0</v>
      </c>
      <c r="R198" s="402">
        <f t="shared" si="52"/>
        <v>0</v>
      </c>
      <c r="S198" s="402"/>
      <c r="T198" s="402"/>
      <c r="U198" s="402"/>
      <c r="V198" s="402"/>
      <c r="W198" s="402"/>
      <c r="X198" s="402"/>
      <c r="Y198" s="402">
        <f t="shared" si="53"/>
        <v>0</v>
      </c>
      <c r="Z198" s="402"/>
      <c r="AA198" s="402"/>
      <c r="AB198" s="402"/>
      <c r="AC198" s="402"/>
      <c r="AD198" s="402"/>
      <c r="AE198" s="402"/>
      <c r="AF198" s="402">
        <f t="shared" si="54"/>
        <v>16.21</v>
      </c>
      <c r="AG198" s="402">
        <v>6.25</v>
      </c>
      <c r="AH198" s="402">
        <v>2.98</v>
      </c>
      <c r="AI198" s="402">
        <v>2.23</v>
      </c>
      <c r="AJ198" s="402">
        <v>0.07</v>
      </c>
      <c r="AK198" s="402">
        <v>0.22</v>
      </c>
      <c r="AL198" s="402">
        <v>4.46</v>
      </c>
      <c r="AM198" s="402"/>
      <c r="AN198" s="350"/>
      <c r="AO198" s="205">
        <f t="shared" si="34"/>
        <v>35</v>
      </c>
      <c r="AP198">
        <v>3.963</v>
      </c>
    </row>
    <row r="199" s="311" customFormat="1" ht="21" customHeight="1" spans="1:44">
      <c r="A199" s="328"/>
      <c r="B199" s="328"/>
      <c r="C199" s="328" t="s">
        <v>134</v>
      </c>
      <c r="D199" s="329">
        <v>205</v>
      </c>
      <c r="E199" s="401">
        <f t="shared" ref="E199:P199" si="56">SUM(E200:E259)</f>
        <v>56478.43</v>
      </c>
      <c r="F199" s="401">
        <f t="shared" si="56"/>
        <v>235.72</v>
      </c>
      <c r="G199" s="401">
        <f t="shared" si="56"/>
        <v>131.72</v>
      </c>
      <c r="H199" s="401">
        <f t="shared" si="56"/>
        <v>74.63</v>
      </c>
      <c r="I199" s="401">
        <f t="shared" si="56"/>
        <v>49.8</v>
      </c>
      <c r="J199" s="401">
        <f t="shared" si="56"/>
        <v>6.22</v>
      </c>
      <c r="K199" s="401">
        <f t="shared" si="56"/>
        <v>0</v>
      </c>
      <c r="L199" s="401">
        <f t="shared" si="56"/>
        <v>1.07</v>
      </c>
      <c r="M199" s="401">
        <f t="shared" si="56"/>
        <v>104</v>
      </c>
      <c r="N199" s="401">
        <f t="shared" si="56"/>
        <v>0</v>
      </c>
      <c r="O199" s="401">
        <f t="shared" si="56"/>
        <v>0</v>
      </c>
      <c r="P199" s="401">
        <f t="shared" si="56"/>
        <v>104</v>
      </c>
      <c r="Q199" s="401">
        <f t="shared" ref="Q199:AE199" si="57">SUM(Q200:Q259)</f>
        <v>43685.54</v>
      </c>
      <c r="R199" s="401">
        <f t="shared" si="57"/>
        <v>26755.27</v>
      </c>
      <c r="S199" s="401">
        <f t="shared" si="57"/>
        <v>19031.73</v>
      </c>
      <c r="T199" s="401">
        <f t="shared" si="57"/>
        <v>360.46</v>
      </c>
      <c r="U199" s="401">
        <f t="shared" si="57"/>
        <v>6099.32</v>
      </c>
      <c r="V199" s="401">
        <f t="shared" si="57"/>
        <v>569.88</v>
      </c>
      <c r="W199" s="401">
        <f t="shared" si="57"/>
        <v>680.47</v>
      </c>
      <c r="X199" s="401">
        <f t="shared" si="57"/>
        <v>13.41</v>
      </c>
      <c r="Y199" s="401">
        <f t="shared" si="57"/>
        <v>16930.27</v>
      </c>
      <c r="Z199" s="401">
        <f t="shared" si="57"/>
        <v>3617.46</v>
      </c>
      <c r="AA199" s="401">
        <f t="shared" si="57"/>
        <v>0</v>
      </c>
      <c r="AB199" s="401">
        <f t="shared" si="57"/>
        <v>0</v>
      </c>
      <c r="AC199" s="401">
        <f t="shared" si="57"/>
        <v>3816</v>
      </c>
      <c r="AD199" s="401">
        <f t="shared" si="57"/>
        <v>237.31</v>
      </c>
      <c r="AE199" s="401">
        <f t="shared" si="57"/>
        <v>9259.5</v>
      </c>
      <c r="AF199" s="401">
        <f t="shared" ref="AF199:AM199" si="58">SUM(AF200:AF259)</f>
        <v>12557.17</v>
      </c>
      <c r="AG199" s="401">
        <f t="shared" si="58"/>
        <v>4676.74</v>
      </c>
      <c r="AH199" s="401">
        <f t="shared" si="58"/>
        <v>2335.34</v>
      </c>
      <c r="AI199" s="401">
        <f t="shared" si="58"/>
        <v>1751.5</v>
      </c>
      <c r="AJ199" s="401">
        <f t="shared" si="58"/>
        <v>115.47</v>
      </c>
      <c r="AK199" s="401">
        <f t="shared" si="58"/>
        <v>175.18</v>
      </c>
      <c r="AL199" s="401">
        <f t="shared" si="58"/>
        <v>3502.94</v>
      </c>
      <c r="AM199" s="401">
        <f t="shared" si="58"/>
        <v>0</v>
      </c>
      <c r="AN199" s="362"/>
      <c r="AO199" s="407">
        <f t="shared" si="34"/>
        <v>9363.5</v>
      </c>
      <c r="AP199" s="373"/>
      <c r="AR199"/>
    </row>
    <row r="200" ht="24" hidden="1" spans="1:42">
      <c r="A200" s="284" t="s">
        <v>195</v>
      </c>
      <c r="B200" s="284" t="s">
        <v>196</v>
      </c>
      <c r="C200" s="284" t="s">
        <v>435</v>
      </c>
      <c r="D200" s="284" t="s">
        <v>436</v>
      </c>
      <c r="E200" s="402">
        <f t="shared" ref="E200:E259" si="59">F200+Q200+AF200</f>
        <v>13395.83</v>
      </c>
      <c r="F200" s="402">
        <f t="shared" ref="F200:F259" si="60">G200+M200</f>
        <v>106.18</v>
      </c>
      <c r="G200" s="402">
        <f t="shared" ref="G200:G259" si="61">SUM(H200:L200)</f>
        <v>106.18</v>
      </c>
      <c r="H200" s="402">
        <v>59.93</v>
      </c>
      <c r="I200" s="402">
        <v>40.19</v>
      </c>
      <c r="J200" s="402">
        <v>4.99</v>
      </c>
      <c r="K200" s="402"/>
      <c r="L200" s="402">
        <v>1.07</v>
      </c>
      <c r="M200" s="402">
        <f t="shared" ref="M200:M259" si="62">SUM(N200:P200)</f>
        <v>0</v>
      </c>
      <c r="N200" s="402"/>
      <c r="O200" s="402"/>
      <c r="P200" s="402"/>
      <c r="Q200" s="402">
        <f t="shared" ref="Q200:Q259" si="63">R200+Y200</f>
        <v>13246</v>
      </c>
      <c r="R200" s="402">
        <f t="shared" ref="R200:R259" si="64">SUM(S200:X200)</f>
        <v>0</v>
      </c>
      <c r="S200" s="402"/>
      <c r="T200" s="402"/>
      <c r="U200" s="402"/>
      <c r="V200" s="402"/>
      <c r="W200" s="402"/>
      <c r="X200" s="402"/>
      <c r="Y200" s="402">
        <f t="shared" ref="Y200:Y259" si="65">SUM(Z200:AE200)</f>
        <v>13246</v>
      </c>
      <c r="Z200" s="402"/>
      <c r="AA200" s="402"/>
      <c r="AB200" s="402"/>
      <c r="AC200" s="402">
        <v>3816</v>
      </c>
      <c r="AD200" s="402">
        <v>230</v>
      </c>
      <c r="AE200" s="402">
        <f>10000-800</f>
        <v>9200</v>
      </c>
      <c r="AF200" s="402">
        <f t="shared" ref="AF200:AF259" si="66">SUM(AG200:AM200)</f>
        <v>43.65</v>
      </c>
      <c r="AG200" s="402">
        <v>16.82</v>
      </c>
      <c r="AH200" s="402">
        <v>8.01</v>
      </c>
      <c r="AI200" s="402">
        <v>6.01</v>
      </c>
      <c r="AJ200" s="402">
        <v>0.2</v>
      </c>
      <c r="AK200" s="402">
        <v>0.6</v>
      </c>
      <c r="AL200" s="402">
        <v>12.01</v>
      </c>
      <c r="AM200" s="402"/>
      <c r="AN200" s="363" t="s">
        <v>437</v>
      </c>
      <c r="AO200" s="205">
        <f t="shared" si="34"/>
        <v>9200</v>
      </c>
      <c r="AP200">
        <v>11.3145</v>
      </c>
    </row>
    <row r="201" ht="24" hidden="1" spans="1:42">
      <c r="A201" s="284" t="s">
        <v>195</v>
      </c>
      <c r="B201" s="284" t="s">
        <v>438</v>
      </c>
      <c r="C201" s="284" t="s">
        <v>439</v>
      </c>
      <c r="D201" s="284" t="s">
        <v>440</v>
      </c>
      <c r="E201" s="402">
        <f t="shared" si="59"/>
        <v>3097.67</v>
      </c>
      <c r="F201" s="402">
        <f t="shared" si="60"/>
        <v>0</v>
      </c>
      <c r="G201" s="402">
        <f t="shared" si="61"/>
        <v>0</v>
      </c>
      <c r="H201" s="402"/>
      <c r="I201" s="402"/>
      <c r="J201" s="402"/>
      <c r="K201" s="402"/>
      <c r="L201" s="402"/>
      <c r="M201" s="402">
        <f t="shared" si="62"/>
        <v>0</v>
      </c>
      <c r="N201" s="402"/>
      <c r="O201" s="402"/>
      <c r="P201" s="402"/>
      <c r="Q201" s="402">
        <f t="shared" si="63"/>
        <v>2166.45</v>
      </c>
      <c r="R201" s="402">
        <f t="shared" si="64"/>
        <v>1895.41</v>
      </c>
      <c r="S201" s="402">
        <v>1439.98</v>
      </c>
      <c r="T201" s="402">
        <v>2.87</v>
      </c>
      <c r="U201" s="402">
        <v>451.73</v>
      </c>
      <c r="V201" s="402"/>
      <c r="W201" s="402">
        <v>0.83</v>
      </c>
      <c r="X201" s="402"/>
      <c r="Y201" s="402">
        <f t="shared" si="65"/>
        <v>271.04</v>
      </c>
      <c r="Z201" s="402">
        <v>271.04</v>
      </c>
      <c r="AA201" s="402"/>
      <c r="AB201" s="402"/>
      <c r="AC201" s="402"/>
      <c r="AD201" s="402"/>
      <c r="AE201" s="402"/>
      <c r="AF201" s="402">
        <f t="shared" si="66"/>
        <v>931.22</v>
      </c>
      <c r="AG201" s="402">
        <v>346.5</v>
      </c>
      <c r="AH201" s="402">
        <v>173.25</v>
      </c>
      <c r="AI201" s="402">
        <v>129.94</v>
      </c>
      <c r="AJ201" s="402">
        <v>8.66</v>
      </c>
      <c r="AK201" s="402">
        <v>12.99</v>
      </c>
      <c r="AL201" s="402">
        <v>259.88</v>
      </c>
      <c r="AM201" s="402"/>
      <c r="AN201" s="350"/>
      <c r="AO201" s="205">
        <f t="shared" si="34"/>
        <v>0</v>
      </c>
      <c r="AP201">
        <v>142.5583</v>
      </c>
    </row>
    <row r="202" ht="24" hidden="1" spans="1:42">
      <c r="A202" s="284" t="s">
        <v>195</v>
      </c>
      <c r="B202" s="284" t="s">
        <v>438</v>
      </c>
      <c r="C202" s="284" t="s">
        <v>441</v>
      </c>
      <c r="D202" s="284" t="s">
        <v>440</v>
      </c>
      <c r="E202" s="402">
        <f t="shared" si="59"/>
        <v>2217.91</v>
      </c>
      <c r="F202" s="402">
        <f t="shared" si="60"/>
        <v>0</v>
      </c>
      <c r="G202" s="402">
        <f t="shared" si="61"/>
        <v>0</v>
      </c>
      <c r="H202" s="402"/>
      <c r="I202" s="402"/>
      <c r="J202" s="402"/>
      <c r="K202" s="402"/>
      <c r="L202" s="402"/>
      <c r="M202" s="402">
        <f t="shared" si="62"/>
        <v>0</v>
      </c>
      <c r="N202" s="402"/>
      <c r="O202" s="402"/>
      <c r="P202" s="402"/>
      <c r="Q202" s="402">
        <f t="shared" si="63"/>
        <v>1550.98</v>
      </c>
      <c r="R202" s="402">
        <f t="shared" si="64"/>
        <v>1355.97</v>
      </c>
      <c r="S202" s="402">
        <v>1029.02</v>
      </c>
      <c r="T202" s="402">
        <v>1.94</v>
      </c>
      <c r="U202" s="402">
        <v>325.01</v>
      </c>
      <c r="V202" s="402"/>
      <c r="W202" s="402"/>
      <c r="X202" s="402"/>
      <c r="Y202" s="402">
        <f t="shared" si="65"/>
        <v>195.01</v>
      </c>
      <c r="Z202" s="402">
        <v>195.01</v>
      </c>
      <c r="AA202" s="402"/>
      <c r="AB202" s="402"/>
      <c r="AC202" s="402"/>
      <c r="AD202" s="402"/>
      <c r="AE202" s="402"/>
      <c r="AF202" s="402">
        <f t="shared" si="66"/>
        <v>666.93</v>
      </c>
      <c r="AG202" s="402">
        <v>248.16</v>
      </c>
      <c r="AH202" s="402">
        <v>124.08</v>
      </c>
      <c r="AI202" s="402">
        <v>93.06</v>
      </c>
      <c r="AJ202" s="402">
        <v>6.2</v>
      </c>
      <c r="AK202" s="402">
        <v>9.31</v>
      </c>
      <c r="AL202" s="402">
        <v>186.12</v>
      </c>
      <c r="AM202" s="402"/>
      <c r="AN202" s="350"/>
      <c r="AO202" s="205">
        <f t="shared" ref="AO202:AO265" si="67">P202+AE202</f>
        <v>0</v>
      </c>
      <c r="AP202">
        <v>99.81</v>
      </c>
    </row>
    <row r="203" ht="24" hidden="1" spans="1:42">
      <c r="A203" s="284" t="s">
        <v>195</v>
      </c>
      <c r="B203" s="284" t="s">
        <v>442</v>
      </c>
      <c r="C203" s="284" t="s">
        <v>443</v>
      </c>
      <c r="D203" s="284" t="s">
        <v>444</v>
      </c>
      <c r="E203" s="402">
        <f t="shared" si="59"/>
        <v>1946.38</v>
      </c>
      <c r="F203" s="402">
        <f t="shared" si="60"/>
        <v>0</v>
      </c>
      <c r="G203" s="402">
        <f t="shared" si="61"/>
        <v>0</v>
      </c>
      <c r="H203" s="402"/>
      <c r="I203" s="402"/>
      <c r="J203" s="402"/>
      <c r="K203" s="402"/>
      <c r="L203" s="402"/>
      <c r="M203" s="402">
        <f t="shared" si="62"/>
        <v>0</v>
      </c>
      <c r="N203" s="402"/>
      <c r="O203" s="402"/>
      <c r="P203" s="402"/>
      <c r="Q203" s="402">
        <f t="shared" si="63"/>
        <v>1361.1</v>
      </c>
      <c r="R203" s="402">
        <f t="shared" si="64"/>
        <v>1184.93</v>
      </c>
      <c r="S203" s="402">
        <v>889.01</v>
      </c>
      <c r="T203" s="402">
        <v>2.31</v>
      </c>
      <c r="U203" s="402">
        <v>293.61</v>
      </c>
      <c r="V203" s="402"/>
      <c r="W203" s="402"/>
      <c r="X203" s="402"/>
      <c r="Y203" s="402">
        <f t="shared" si="65"/>
        <v>176.17</v>
      </c>
      <c r="Z203" s="402">
        <v>176.17</v>
      </c>
      <c r="AA203" s="402"/>
      <c r="AB203" s="402"/>
      <c r="AC203" s="402"/>
      <c r="AD203" s="402"/>
      <c r="AE203" s="402"/>
      <c r="AF203" s="402">
        <f t="shared" si="66"/>
        <v>585.28</v>
      </c>
      <c r="AG203" s="402">
        <v>217.78</v>
      </c>
      <c r="AH203" s="402">
        <v>108.89</v>
      </c>
      <c r="AI203" s="402">
        <v>81.67</v>
      </c>
      <c r="AJ203" s="402">
        <v>5.44</v>
      </c>
      <c r="AK203" s="402">
        <v>8.17</v>
      </c>
      <c r="AL203" s="402">
        <v>163.33</v>
      </c>
      <c r="AM203" s="402"/>
      <c r="AN203" s="350"/>
      <c r="AO203" s="205">
        <f t="shared" si="67"/>
        <v>0</v>
      </c>
      <c r="AP203">
        <v>103.3433</v>
      </c>
    </row>
    <row r="204" ht="24" hidden="1" spans="1:42">
      <c r="A204" s="284" t="s">
        <v>195</v>
      </c>
      <c r="B204" s="284" t="s">
        <v>442</v>
      </c>
      <c r="C204" s="284" t="s">
        <v>445</v>
      </c>
      <c r="D204" s="284" t="s">
        <v>444</v>
      </c>
      <c r="E204" s="402">
        <f t="shared" si="59"/>
        <v>1150.56</v>
      </c>
      <c r="F204" s="402">
        <f t="shared" si="60"/>
        <v>0</v>
      </c>
      <c r="G204" s="402">
        <f t="shared" si="61"/>
        <v>0</v>
      </c>
      <c r="H204" s="402"/>
      <c r="I204" s="402"/>
      <c r="J204" s="402"/>
      <c r="K204" s="402"/>
      <c r="L204" s="402"/>
      <c r="M204" s="402">
        <f t="shared" si="62"/>
        <v>0</v>
      </c>
      <c r="N204" s="402"/>
      <c r="O204" s="402"/>
      <c r="P204" s="402"/>
      <c r="Q204" s="402">
        <f t="shared" si="63"/>
        <v>804.58</v>
      </c>
      <c r="R204" s="402">
        <f t="shared" si="64"/>
        <v>702.76</v>
      </c>
      <c r="S204" s="402">
        <v>531.87</v>
      </c>
      <c r="T204" s="402">
        <v>1.18</v>
      </c>
      <c r="U204" s="402">
        <v>169.71</v>
      </c>
      <c r="V204" s="402"/>
      <c r="W204" s="402"/>
      <c r="X204" s="402"/>
      <c r="Y204" s="402">
        <f t="shared" si="65"/>
        <v>101.82</v>
      </c>
      <c r="Z204" s="402">
        <v>101.82</v>
      </c>
      <c r="AA204" s="402"/>
      <c r="AB204" s="402"/>
      <c r="AC204" s="402"/>
      <c r="AD204" s="402"/>
      <c r="AE204" s="402"/>
      <c r="AF204" s="402">
        <f t="shared" si="66"/>
        <v>345.98</v>
      </c>
      <c r="AG204" s="402">
        <v>128.73</v>
      </c>
      <c r="AH204" s="402">
        <v>64.37</v>
      </c>
      <c r="AI204" s="402">
        <v>48.28</v>
      </c>
      <c r="AJ204" s="402">
        <v>3.22</v>
      </c>
      <c r="AK204" s="402">
        <v>4.83</v>
      </c>
      <c r="AL204" s="402">
        <v>96.55</v>
      </c>
      <c r="AM204" s="402"/>
      <c r="AN204" s="350"/>
      <c r="AO204" s="205">
        <f t="shared" si="67"/>
        <v>0</v>
      </c>
      <c r="AP204">
        <v>55.2766</v>
      </c>
    </row>
    <row r="205" ht="24" hidden="1" spans="1:42">
      <c r="A205" s="284" t="s">
        <v>195</v>
      </c>
      <c r="B205" s="284" t="s">
        <v>199</v>
      </c>
      <c r="C205" s="284" t="s">
        <v>446</v>
      </c>
      <c r="D205" s="284" t="s">
        <v>447</v>
      </c>
      <c r="E205" s="402">
        <f t="shared" si="59"/>
        <v>593.77</v>
      </c>
      <c r="F205" s="402">
        <f t="shared" si="60"/>
        <v>0</v>
      </c>
      <c r="G205" s="402">
        <f t="shared" si="61"/>
        <v>0</v>
      </c>
      <c r="H205" s="402"/>
      <c r="I205" s="402"/>
      <c r="J205" s="402"/>
      <c r="K205" s="402"/>
      <c r="L205" s="402"/>
      <c r="M205" s="402">
        <f t="shared" si="62"/>
        <v>0</v>
      </c>
      <c r="N205" s="402"/>
      <c r="O205" s="402"/>
      <c r="P205" s="402"/>
      <c r="Q205" s="402">
        <f t="shared" si="63"/>
        <v>415.22</v>
      </c>
      <c r="R205" s="402">
        <f t="shared" si="64"/>
        <v>366.19</v>
      </c>
      <c r="S205" s="402">
        <v>283.66</v>
      </c>
      <c r="T205" s="402">
        <v>0.82</v>
      </c>
      <c r="U205" s="402">
        <v>81.71</v>
      </c>
      <c r="V205" s="402"/>
      <c r="W205" s="402"/>
      <c r="X205" s="402"/>
      <c r="Y205" s="402">
        <f t="shared" si="65"/>
        <v>49.03</v>
      </c>
      <c r="Z205" s="402">
        <v>49.03</v>
      </c>
      <c r="AA205" s="402"/>
      <c r="AB205" s="402"/>
      <c r="AC205" s="402"/>
      <c r="AD205" s="402"/>
      <c r="AE205" s="402"/>
      <c r="AF205" s="402">
        <f t="shared" si="66"/>
        <v>178.55</v>
      </c>
      <c r="AG205" s="402">
        <v>66.44</v>
      </c>
      <c r="AH205" s="402">
        <v>33.22</v>
      </c>
      <c r="AI205" s="402">
        <v>24.91</v>
      </c>
      <c r="AJ205" s="402">
        <v>1.66</v>
      </c>
      <c r="AK205" s="402">
        <v>2.49</v>
      </c>
      <c r="AL205" s="402">
        <v>49.83</v>
      </c>
      <c r="AM205" s="402"/>
      <c r="AN205" s="350"/>
      <c r="AO205" s="205">
        <f t="shared" si="67"/>
        <v>0</v>
      </c>
      <c r="AP205">
        <v>31.63</v>
      </c>
    </row>
    <row r="206" ht="36" hidden="1" spans="1:42">
      <c r="A206" s="284" t="s">
        <v>195</v>
      </c>
      <c r="B206" s="284" t="s">
        <v>438</v>
      </c>
      <c r="C206" s="284" t="s">
        <v>448</v>
      </c>
      <c r="D206" s="284" t="s">
        <v>449</v>
      </c>
      <c r="E206" s="402">
        <f t="shared" si="59"/>
        <v>315.68</v>
      </c>
      <c r="F206" s="402">
        <f t="shared" si="60"/>
        <v>0</v>
      </c>
      <c r="G206" s="402">
        <f t="shared" si="61"/>
        <v>0</v>
      </c>
      <c r="H206" s="402"/>
      <c r="I206" s="402"/>
      <c r="J206" s="402"/>
      <c r="K206" s="402"/>
      <c r="L206" s="402"/>
      <c r="M206" s="402">
        <f t="shared" si="62"/>
        <v>0</v>
      </c>
      <c r="N206" s="402"/>
      <c r="O206" s="402"/>
      <c r="P206" s="402"/>
      <c r="Q206" s="402">
        <f t="shared" si="63"/>
        <v>224.78</v>
      </c>
      <c r="R206" s="402">
        <f t="shared" si="64"/>
        <v>199.63</v>
      </c>
      <c r="S206" s="402">
        <v>125.25</v>
      </c>
      <c r="T206" s="402">
        <v>19.06</v>
      </c>
      <c r="U206" s="402">
        <v>41.91</v>
      </c>
      <c r="V206" s="402"/>
      <c r="W206" s="402"/>
      <c r="X206" s="402">
        <v>13.41</v>
      </c>
      <c r="Y206" s="402">
        <f t="shared" si="65"/>
        <v>25.15</v>
      </c>
      <c r="Z206" s="402">
        <v>25.15</v>
      </c>
      <c r="AA206" s="402"/>
      <c r="AB206" s="402"/>
      <c r="AC206" s="402"/>
      <c r="AD206" s="402"/>
      <c r="AE206" s="402"/>
      <c r="AF206" s="402">
        <f t="shared" si="66"/>
        <v>90.9</v>
      </c>
      <c r="AG206" s="402">
        <v>33.82</v>
      </c>
      <c r="AH206" s="402">
        <v>16.91</v>
      </c>
      <c r="AI206" s="402">
        <v>12.68</v>
      </c>
      <c r="AJ206" s="402">
        <v>0.85</v>
      </c>
      <c r="AK206" s="402">
        <v>1.27</v>
      </c>
      <c r="AL206" s="402">
        <v>25.37</v>
      </c>
      <c r="AM206" s="402"/>
      <c r="AN206" s="350"/>
      <c r="AO206" s="205">
        <f t="shared" si="67"/>
        <v>0</v>
      </c>
      <c r="AP206">
        <v>14.18</v>
      </c>
    </row>
    <row r="207" ht="24" hidden="1" spans="1:42">
      <c r="A207" s="284" t="s">
        <v>195</v>
      </c>
      <c r="B207" s="284" t="s">
        <v>442</v>
      </c>
      <c r="C207" s="284" t="s">
        <v>450</v>
      </c>
      <c r="D207" s="284" t="s">
        <v>444</v>
      </c>
      <c r="E207" s="402">
        <f t="shared" si="59"/>
        <v>299.6</v>
      </c>
      <c r="F207" s="402">
        <f t="shared" si="60"/>
        <v>0</v>
      </c>
      <c r="G207" s="402">
        <f t="shared" si="61"/>
        <v>0</v>
      </c>
      <c r="H207" s="402"/>
      <c r="I207" s="402"/>
      <c r="J207" s="402"/>
      <c r="K207" s="402"/>
      <c r="L207" s="402"/>
      <c r="M207" s="402">
        <f t="shared" si="62"/>
        <v>0</v>
      </c>
      <c r="N207" s="402"/>
      <c r="O207" s="402"/>
      <c r="P207" s="402"/>
      <c r="Q207" s="402">
        <f t="shared" si="63"/>
        <v>219.56</v>
      </c>
      <c r="R207" s="402">
        <f t="shared" si="64"/>
        <v>193.57</v>
      </c>
      <c r="S207" s="402">
        <v>116.66</v>
      </c>
      <c r="T207" s="402">
        <v>0.16</v>
      </c>
      <c r="U207" s="402">
        <v>43.32</v>
      </c>
      <c r="V207" s="402">
        <v>13.92</v>
      </c>
      <c r="W207" s="402">
        <v>19.51</v>
      </c>
      <c r="X207" s="402"/>
      <c r="Y207" s="402">
        <f t="shared" si="65"/>
        <v>25.99</v>
      </c>
      <c r="Z207" s="402">
        <v>25.99</v>
      </c>
      <c r="AA207" s="402"/>
      <c r="AB207" s="402"/>
      <c r="AC207" s="402"/>
      <c r="AD207" s="402"/>
      <c r="AE207" s="402"/>
      <c r="AF207" s="402">
        <f t="shared" si="66"/>
        <v>80.04</v>
      </c>
      <c r="AG207" s="402">
        <v>29.78</v>
      </c>
      <c r="AH207" s="402">
        <v>14.89</v>
      </c>
      <c r="AI207" s="402">
        <v>11.17</v>
      </c>
      <c r="AJ207" s="402">
        <v>0.74</v>
      </c>
      <c r="AK207" s="402">
        <v>1.12</v>
      </c>
      <c r="AL207" s="402">
        <v>22.34</v>
      </c>
      <c r="AM207" s="402"/>
      <c r="AN207" s="350"/>
      <c r="AO207" s="205">
        <f t="shared" si="67"/>
        <v>0</v>
      </c>
      <c r="AP207">
        <v>18.6766</v>
      </c>
    </row>
    <row r="208" ht="36" hidden="1" spans="1:42">
      <c r="A208" s="284" t="s">
        <v>195</v>
      </c>
      <c r="B208" s="284" t="s">
        <v>438</v>
      </c>
      <c r="C208" s="284" t="s">
        <v>451</v>
      </c>
      <c r="D208" s="284" t="s">
        <v>452</v>
      </c>
      <c r="E208" s="402">
        <f t="shared" si="59"/>
        <v>1669.45</v>
      </c>
      <c r="F208" s="402">
        <f t="shared" si="60"/>
        <v>0</v>
      </c>
      <c r="G208" s="402">
        <f t="shared" si="61"/>
        <v>0</v>
      </c>
      <c r="H208" s="402"/>
      <c r="I208" s="402"/>
      <c r="J208" s="402"/>
      <c r="K208" s="402"/>
      <c r="L208" s="402"/>
      <c r="M208" s="402">
        <f t="shared" si="62"/>
        <v>0</v>
      </c>
      <c r="N208" s="402"/>
      <c r="O208" s="402"/>
      <c r="P208" s="402"/>
      <c r="Q208" s="402">
        <f t="shared" si="63"/>
        <v>1167.45</v>
      </c>
      <c r="R208" s="402">
        <f t="shared" si="64"/>
        <v>1020.78</v>
      </c>
      <c r="S208" s="402">
        <v>774.85</v>
      </c>
      <c r="T208" s="402">
        <v>1.49</v>
      </c>
      <c r="U208" s="402">
        <v>244.44</v>
      </c>
      <c r="V208" s="402"/>
      <c r="W208" s="402"/>
      <c r="X208" s="402"/>
      <c r="Y208" s="402">
        <f t="shared" si="65"/>
        <v>146.67</v>
      </c>
      <c r="Z208" s="402">
        <v>146.67</v>
      </c>
      <c r="AA208" s="402"/>
      <c r="AB208" s="402"/>
      <c r="AC208" s="402"/>
      <c r="AD208" s="402"/>
      <c r="AE208" s="402"/>
      <c r="AF208" s="402">
        <f t="shared" si="66"/>
        <v>502</v>
      </c>
      <c r="AG208" s="402">
        <v>186.79</v>
      </c>
      <c r="AH208" s="402">
        <v>93.4</v>
      </c>
      <c r="AI208" s="402">
        <v>70.05</v>
      </c>
      <c r="AJ208" s="402">
        <v>4.67</v>
      </c>
      <c r="AK208" s="402">
        <v>7</v>
      </c>
      <c r="AL208" s="402">
        <v>140.09</v>
      </c>
      <c r="AM208" s="402"/>
      <c r="AN208" s="350"/>
      <c r="AO208" s="205">
        <f t="shared" si="67"/>
        <v>0</v>
      </c>
      <c r="AP208">
        <v>78.0238</v>
      </c>
    </row>
    <row r="209" ht="24" hidden="1" spans="1:42">
      <c r="A209" s="284" t="s">
        <v>195</v>
      </c>
      <c r="B209" s="284" t="s">
        <v>442</v>
      </c>
      <c r="C209" s="284" t="s">
        <v>453</v>
      </c>
      <c r="D209" s="284" t="s">
        <v>454</v>
      </c>
      <c r="E209" s="402">
        <f t="shared" si="59"/>
        <v>340.79</v>
      </c>
      <c r="F209" s="402">
        <f t="shared" si="60"/>
        <v>0</v>
      </c>
      <c r="G209" s="402">
        <f t="shared" si="61"/>
        <v>0</v>
      </c>
      <c r="H209" s="402"/>
      <c r="I209" s="402"/>
      <c r="J209" s="402"/>
      <c r="K209" s="402"/>
      <c r="L209" s="402"/>
      <c r="M209" s="402">
        <f t="shared" si="62"/>
        <v>0</v>
      </c>
      <c r="N209" s="402"/>
      <c r="O209" s="402"/>
      <c r="P209" s="402"/>
      <c r="Q209" s="402">
        <f t="shared" si="63"/>
        <v>247</v>
      </c>
      <c r="R209" s="402">
        <f t="shared" si="64"/>
        <v>218.89</v>
      </c>
      <c r="S209" s="402">
        <v>142.88</v>
      </c>
      <c r="T209" s="402">
        <v>0.29</v>
      </c>
      <c r="U209" s="402">
        <v>46.84</v>
      </c>
      <c r="V209" s="402">
        <v>13.92</v>
      </c>
      <c r="W209" s="402">
        <v>14.96</v>
      </c>
      <c r="X209" s="402"/>
      <c r="Y209" s="402">
        <f t="shared" si="65"/>
        <v>28.11</v>
      </c>
      <c r="Z209" s="402">
        <v>28.11</v>
      </c>
      <c r="AA209" s="402"/>
      <c r="AB209" s="402"/>
      <c r="AC209" s="402"/>
      <c r="AD209" s="402"/>
      <c r="AE209" s="402"/>
      <c r="AF209" s="402">
        <f t="shared" si="66"/>
        <v>93.79</v>
      </c>
      <c r="AG209" s="402">
        <v>34.9</v>
      </c>
      <c r="AH209" s="402">
        <v>17.45</v>
      </c>
      <c r="AI209" s="402">
        <v>13.09</v>
      </c>
      <c r="AJ209" s="402">
        <v>0.87</v>
      </c>
      <c r="AK209" s="402">
        <v>1.31</v>
      </c>
      <c r="AL209" s="402">
        <v>26.17</v>
      </c>
      <c r="AM209" s="402"/>
      <c r="AN209" s="350"/>
      <c r="AO209" s="205">
        <f t="shared" si="67"/>
        <v>0</v>
      </c>
      <c r="AP209">
        <v>15.1899</v>
      </c>
    </row>
    <row r="210" ht="24" hidden="1" spans="1:42">
      <c r="A210" s="284" t="s">
        <v>195</v>
      </c>
      <c r="B210" s="284" t="s">
        <v>442</v>
      </c>
      <c r="C210" s="284" t="s">
        <v>455</v>
      </c>
      <c r="D210" s="284" t="s">
        <v>444</v>
      </c>
      <c r="E210" s="402">
        <f t="shared" si="59"/>
        <v>480.28</v>
      </c>
      <c r="F210" s="402">
        <f t="shared" si="60"/>
        <v>0</v>
      </c>
      <c r="G210" s="402">
        <f t="shared" si="61"/>
        <v>0</v>
      </c>
      <c r="H210" s="402"/>
      <c r="I210" s="402"/>
      <c r="J210" s="402"/>
      <c r="K210" s="402"/>
      <c r="L210" s="402"/>
      <c r="M210" s="402">
        <f t="shared" si="62"/>
        <v>0</v>
      </c>
      <c r="N210" s="402"/>
      <c r="O210" s="402"/>
      <c r="P210" s="402"/>
      <c r="Q210" s="402">
        <f t="shared" si="63"/>
        <v>348.5</v>
      </c>
      <c r="R210" s="402">
        <f t="shared" si="64"/>
        <v>309.43</v>
      </c>
      <c r="S210" s="402">
        <v>201.52</v>
      </c>
      <c r="T210" s="402">
        <v>0.72</v>
      </c>
      <c r="U210" s="402">
        <v>65.12</v>
      </c>
      <c r="V210" s="402">
        <v>20.4</v>
      </c>
      <c r="W210" s="402">
        <v>21.67</v>
      </c>
      <c r="X210" s="402"/>
      <c r="Y210" s="402">
        <f t="shared" si="65"/>
        <v>39.07</v>
      </c>
      <c r="Z210" s="402">
        <v>39.07</v>
      </c>
      <c r="AA210" s="402"/>
      <c r="AB210" s="402"/>
      <c r="AC210" s="402"/>
      <c r="AD210" s="402"/>
      <c r="AE210" s="402"/>
      <c r="AF210" s="402">
        <f t="shared" si="66"/>
        <v>131.78</v>
      </c>
      <c r="AG210" s="402">
        <v>49.03</v>
      </c>
      <c r="AH210" s="402">
        <v>24.52</v>
      </c>
      <c r="AI210" s="402">
        <v>18.39</v>
      </c>
      <c r="AJ210" s="402">
        <v>1.23</v>
      </c>
      <c r="AK210" s="402">
        <v>1.84</v>
      </c>
      <c r="AL210" s="402">
        <v>36.77</v>
      </c>
      <c r="AM210" s="402"/>
      <c r="AN210" s="350"/>
      <c r="AO210" s="205">
        <f t="shared" si="67"/>
        <v>0</v>
      </c>
      <c r="AP210">
        <v>28.8281</v>
      </c>
    </row>
    <row r="211" ht="36" hidden="1" spans="1:42">
      <c r="A211" s="284" t="s">
        <v>195</v>
      </c>
      <c r="B211" s="284" t="s">
        <v>199</v>
      </c>
      <c r="C211" s="284" t="s">
        <v>456</v>
      </c>
      <c r="D211" s="284" t="s">
        <v>457</v>
      </c>
      <c r="E211" s="402">
        <f t="shared" si="59"/>
        <v>103.85</v>
      </c>
      <c r="F211" s="402">
        <f t="shared" si="60"/>
        <v>0</v>
      </c>
      <c r="G211" s="402">
        <f t="shared" si="61"/>
        <v>0</v>
      </c>
      <c r="H211" s="402"/>
      <c r="I211" s="402"/>
      <c r="J211" s="402"/>
      <c r="K211" s="402"/>
      <c r="L211" s="402"/>
      <c r="M211" s="402">
        <f t="shared" si="62"/>
        <v>0</v>
      </c>
      <c r="N211" s="402"/>
      <c r="O211" s="402"/>
      <c r="P211" s="402"/>
      <c r="Q211" s="402">
        <f t="shared" si="63"/>
        <v>72.62</v>
      </c>
      <c r="R211" s="402">
        <f t="shared" si="64"/>
        <v>64.1</v>
      </c>
      <c r="S211" s="402">
        <v>49.82</v>
      </c>
      <c r="T211" s="402">
        <v>0.08</v>
      </c>
      <c r="U211" s="402">
        <v>14.2</v>
      </c>
      <c r="V211" s="402"/>
      <c r="W211" s="402"/>
      <c r="X211" s="402"/>
      <c r="Y211" s="402">
        <f t="shared" si="65"/>
        <v>8.52</v>
      </c>
      <c r="Z211" s="402">
        <v>8.52</v>
      </c>
      <c r="AA211" s="402"/>
      <c r="AB211" s="402"/>
      <c r="AC211" s="402"/>
      <c r="AD211" s="402"/>
      <c r="AE211" s="402"/>
      <c r="AF211" s="402">
        <f t="shared" si="66"/>
        <v>31.23</v>
      </c>
      <c r="AG211" s="402">
        <v>11.62</v>
      </c>
      <c r="AH211" s="402">
        <v>5.81</v>
      </c>
      <c r="AI211" s="402">
        <v>4.36</v>
      </c>
      <c r="AJ211" s="402">
        <v>0.29</v>
      </c>
      <c r="AK211" s="402">
        <v>0.44</v>
      </c>
      <c r="AL211" s="402">
        <v>8.71</v>
      </c>
      <c r="AM211" s="402"/>
      <c r="AN211" s="350"/>
      <c r="AO211" s="205">
        <f t="shared" si="67"/>
        <v>0</v>
      </c>
      <c r="AP211">
        <v>5.02</v>
      </c>
    </row>
    <row r="212" ht="24" hidden="1" spans="1:42">
      <c r="A212" s="284" t="s">
        <v>195</v>
      </c>
      <c r="B212" s="284" t="s">
        <v>442</v>
      </c>
      <c r="C212" s="284" t="s">
        <v>458</v>
      </c>
      <c r="D212" s="284" t="s">
        <v>454</v>
      </c>
      <c r="E212" s="402">
        <f t="shared" si="59"/>
        <v>356.22</v>
      </c>
      <c r="F212" s="402">
        <f t="shared" si="60"/>
        <v>0</v>
      </c>
      <c r="G212" s="402">
        <f t="shared" si="61"/>
        <v>0</v>
      </c>
      <c r="H212" s="402"/>
      <c r="I212" s="402"/>
      <c r="J212" s="402"/>
      <c r="K212" s="402"/>
      <c r="L212" s="402"/>
      <c r="M212" s="402">
        <f t="shared" si="62"/>
        <v>0</v>
      </c>
      <c r="N212" s="402"/>
      <c r="O212" s="402"/>
      <c r="P212" s="402"/>
      <c r="Q212" s="402">
        <f t="shared" si="63"/>
        <v>251.78</v>
      </c>
      <c r="R212" s="402">
        <f t="shared" si="64"/>
        <v>223.71</v>
      </c>
      <c r="S212" s="402">
        <v>149.74</v>
      </c>
      <c r="T212" s="402">
        <v>13.25</v>
      </c>
      <c r="U212" s="402">
        <v>46.79</v>
      </c>
      <c r="V212" s="402"/>
      <c r="W212" s="402">
        <v>13.93</v>
      </c>
      <c r="X212" s="402"/>
      <c r="Y212" s="402">
        <f t="shared" si="65"/>
        <v>28.07</v>
      </c>
      <c r="Z212" s="402">
        <v>28.07</v>
      </c>
      <c r="AA212" s="402"/>
      <c r="AB212" s="402"/>
      <c r="AC212" s="402"/>
      <c r="AD212" s="402"/>
      <c r="AE212" s="402"/>
      <c r="AF212" s="402">
        <f t="shared" si="66"/>
        <v>104.44</v>
      </c>
      <c r="AG212" s="402">
        <v>40.22</v>
      </c>
      <c r="AH212" s="402">
        <v>19.03</v>
      </c>
      <c r="AI212" s="402">
        <v>14.27</v>
      </c>
      <c r="AJ212" s="402">
        <v>0.95</v>
      </c>
      <c r="AK212" s="402">
        <v>1.43</v>
      </c>
      <c r="AL212" s="402">
        <v>28.54</v>
      </c>
      <c r="AM212" s="402"/>
      <c r="AN212" s="350"/>
      <c r="AO212" s="205">
        <f t="shared" si="67"/>
        <v>0</v>
      </c>
      <c r="AP212">
        <v>15.53</v>
      </c>
    </row>
    <row r="213" ht="24" hidden="1" spans="1:42">
      <c r="A213" s="284" t="s">
        <v>195</v>
      </c>
      <c r="B213" s="284" t="s">
        <v>442</v>
      </c>
      <c r="C213" s="284" t="s">
        <v>459</v>
      </c>
      <c r="D213" s="284" t="s">
        <v>444</v>
      </c>
      <c r="E213" s="402">
        <f t="shared" si="59"/>
        <v>319.13</v>
      </c>
      <c r="F213" s="402">
        <f t="shared" si="60"/>
        <v>0</v>
      </c>
      <c r="G213" s="402">
        <f t="shared" si="61"/>
        <v>0</v>
      </c>
      <c r="H213" s="402"/>
      <c r="I213" s="402"/>
      <c r="J213" s="402"/>
      <c r="K213" s="402"/>
      <c r="L213" s="402"/>
      <c r="M213" s="402">
        <f t="shared" si="62"/>
        <v>0</v>
      </c>
      <c r="N213" s="402"/>
      <c r="O213" s="402"/>
      <c r="P213" s="402"/>
      <c r="Q213" s="402">
        <f t="shared" si="63"/>
        <v>232.3</v>
      </c>
      <c r="R213" s="402">
        <f t="shared" si="64"/>
        <v>204.89</v>
      </c>
      <c r="S213" s="402">
        <v>129.96</v>
      </c>
      <c r="T213" s="402">
        <v>0.2</v>
      </c>
      <c r="U213" s="402">
        <v>44.85</v>
      </c>
      <c r="V213" s="402">
        <v>14.4</v>
      </c>
      <c r="W213" s="402">
        <v>15.48</v>
      </c>
      <c r="X213" s="402"/>
      <c r="Y213" s="402">
        <f t="shared" si="65"/>
        <v>27.41</v>
      </c>
      <c r="Z213" s="402">
        <v>26.91</v>
      </c>
      <c r="AA213" s="402"/>
      <c r="AB213" s="402"/>
      <c r="AC213" s="402"/>
      <c r="AD213" s="409">
        <v>0.5</v>
      </c>
      <c r="AE213" s="402"/>
      <c r="AF213" s="402">
        <f t="shared" si="66"/>
        <v>86.83</v>
      </c>
      <c r="AG213" s="402">
        <v>32.31</v>
      </c>
      <c r="AH213" s="402">
        <v>16.15</v>
      </c>
      <c r="AI213" s="402">
        <v>12.12</v>
      </c>
      <c r="AJ213" s="402">
        <v>0.81</v>
      </c>
      <c r="AK213" s="402">
        <v>1.21</v>
      </c>
      <c r="AL213" s="402">
        <v>24.23</v>
      </c>
      <c r="AM213" s="402"/>
      <c r="AN213" s="350"/>
      <c r="AO213" s="205">
        <f t="shared" si="67"/>
        <v>0</v>
      </c>
      <c r="AP213">
        <v>19.96</v>
      </c>
    </row>
    <row r="214" ht="24" hidden="1" spans="1:42">
      <c r="A214" s="284" t="s">
        <v>195</v>
      </c>
      <c r="B214" s="284" t="s">
        <v>442</v>
      </c>
      <c r="C214" s="284" t="s">
        <v>460</v>
      </c>
      <c r="D214" s="284" t="s">
        <v>454</v>
      </c>
      <c r="E214" s="402">
        <f t="shared" si="59"/>
        <v>566.23</v>
      </c>
      <c r="F214" s="402">
        <f t="shared" si="60"/>
        <v>0</v>
      </c>
      <c r="G214" s="402">
        <f t="shared" si="61"/>
        <v>0</v>
      </c>
      <c r="H214" s="402"/>
      <c r="I214" s="402"/>
      <c r="J214" s="402"/>
      <c r="K214" s="402"/>
      <c r="L214" s="402"/>
      <c r="M214" s="402">
        <f t="shared" si="62"/>
        <v>0</v>
      </c>
      <c r="N214" s="402"/>
      <c r="O214" s="402"/>
      <c r="P214" s="402"/>
      <c r="Q214" s="402">
        <f t="shared" si="63"/>
        <v>405.36</v>
      </c>
      <c r="R214" s="402">
        <f t="shared" si="64"/>
        <v>359.22</v>
      </c>
      <c r="S214" s="402">
        <v>250.52</v>
      </c>
      <c r="T214" s="402">
        <v>0.53</v>
      </c>
      <c r="U214" s="402">
        <v>76.91</v>
      </c>
      <c r="V214" s="402">
        <v>15.48</v>
      </c>
      <c r="W214" s="402">
        <v>15.78</v>
      </c>
      <c r="X214" s="402"/>
      <c r="Y214" s="402">
        <f t="shared" si="65"/>
        <v>46.14</v>
      </c>
      <c r="Z214" s="402">
        <v>46.14</v>
      </c>
      <c r="AA214" s="402"/>
      <c r="AB214" s="402"/>
      <c r="AC214" s="402"/>
      <c r="AD214" s="402"/>
      <c r="AE214" s="402"/>
      <c r="AF214" s="402">
        <f t="shared" si="66"/>
        <v>160.87</v>
      </c>
      <c r="AG214" s="402">
        <v>59.86</v>
      </c>
      <c r="AH214" s="402">
        <v>29.93</v>
      </c>
      <c r="AI214" s="402">
        <v>22.45</v>
      </c>
      <c r="AJ214" s="402">
        <v>1.5</v>
      </c>
      <c r="AK214" s="402">
        <v>2.24</v>
      </c>
      <c r="AL214" s="402">
        <v>44.89</v>
      </c>
      <c r="AM214" s="402"/>
      <c r="AN214" s="350"/>
      <c r="AO214" s="205">
        <f t="shared" si="67"/>
        <v>0</v>
      </c>
      <c r="AP214">
        <v>23.4983</v>
      </c>
    </row>
    <row r="215" ht="24" hidden="1" spans="1:42">
      <c r="A215" s="284" t="s">
        <v>195</v>
      </c>
      <c r="B215" s="284" t="s">
        <v>442</v>
      </c>
      <c r="C215" s="284" t="s">
        <v>461</v>
      </c>
      <c r="D215" s="284" t="s">
        <v>454</v>
      </c>
      <c r="E215" s="402">
        <f t="shared" si="59"/>
        <v>259.97</v>
      </c>
      <c r="F215" s="402">
        <f t="shared" si="60"/>
        <v>0</v>
      </c>
      <c r="G215" s="402">
        <f t="shared" si="61"/>
        <v>0</v>
      </c>
      <c r="H215" s="402"/>
      <c r="I215" s="402"/>
      <c r="J215" s="402"/>
      <c r="K215" s="402"/>
      <c r="L215" s="402"/>
      <c r="M215" s="402">
        <f t="shared" si="62"/>
        <v>0</v>
      </c>
      <c r="N215" s="402"/>
      <c r="O215" s="402"/>
      <c r="P215" s="402"/>
      <c r="Q215" s="402">
        <f t="shared" si="63"/>
        <v>189.28</v>
      </c>
      <c r="R215" s="402">
        <f t="shared" si="64"/>
        <v>166.64</v>
      </c>
      <c r="S215" s="402">
        <v>103.87</v>
      </c>
      <c r="T215" s="402">
        <v>0.13</v>
      </c>
      <c r="U215" s="402">
        <v>37.74</v>
      </c>
      <c r="V215" s="402">
        <v>12</v>
      </c>
      <c r="W215" s="402">
        <v>12.9</v>
      </c>
      <c r="X215" s="402"/>
      <c r="Y215" s="402">
        <f t="shared" si="65"/>
        <v>22.64</v>
      </c>
      <c r="Z215" s="402">
        <v>22.64</v>
      </c>
      <c r="AA215" s="402"/>
      <c r="AB215" s="402"/>
      <c r="AC215" s="402"/>
      <c r="AD215" s="402"/>
      <c r="AE215" s="402"/>
      <c r="AF215" s="402">
        <f t="shared" si="66"/>
        <v>70.69</v>
      </c>
      <c r="AG215" s="402">
        <v>26.3</v>
      </c>
      <c r="AH215" s="402">
        <v>13.15</v>
      </c>
      <c r="AI215" s="402">
        <v>9.86</v>
      </c>
      <c r="AJ215" s="402">
        <v>0.66</v>
      </c>
      <c r="AK215" s="402">
        <v>0.99</v>
      </c>
      <c r="AL215" s="402">
        <v>19.73</v>
      </c>
      <c r="AM215" s="402"/>
      <c r="AN215" s="350"/>
      <c r="AO215" s="205">
        <f t="shared" si="67"/>
        <v>0</v>
      </c>
      <c r="AP215">
        <v>14.0998</v>
      </c>
    </row>
    <row r="216" ht="24" hidden="1" spans="1:42">
      <c r="A216" s="284" t="s">
        <v>195</v>
      </c>
      <c r="B216" s="284" t="s">
        <v>442</v>
      </c>
      <c r="C216" s="284" t="s">
        <v>462</v>
      </c>
      <c r="D216" s="284" t="s">
        <v>444</v>
      </c>
      <c r="E216" s="402">
        <f t="shared" si="59"/>
        <v>290.07</v>
      </c>
      <c r="F216" s="402">
        <f t="shared" si="60"/>
        <v>0</v>
      </c>
      <c r="G216" s="402">
        <f t="shared" si="61"/>
        <v>0</v>
      </c>
      <c r="H216" s="402"/>
      <c r="I216" s="402"/>
      <c r="J216" s="402"/>
      <c r="K216" s="402"/>
      <c r="L216" s="402"/>
      <c r="M216" s="402">
        <f t="shared" si="62"/>
        <v>0</v>
      </c>
      <c r="N216" s="402"/>
      <c r="O216" s="402"/>
      <c r="P216" s="402"/>
      <c r="Q216" s="402">
        <f t="shared" si="63"/>
        <v>212.26</v>
      </c>
      <c r="R216" s="402">
        <f t="shared" si="64"/>
        <v>188.25</v>
      </c>
      <c r="S216" s="402">
        <v>116.76</v>
      </c>
      <c r="T216" s="402">
        <v>0.16</v>
      </c>
      <c r="U216" s="402">
        <v>40.01</v>
      </c>
      <c r="V216" s="402">
        <v>12.48</v>
      </c>
      <c r="W216" s="402">
        <v>18.84</v>
      </c>
      <c r="X216" s="402"/>
      <c r="Y216" s="402">
        <f t="shared" si="65"/>
        <v>24.01</v>
      </c>
      <c r="Z216" s="402">
        <v>24.01</v>
      </c>
      <c r="AA216" s="402"/>
      <c r="AB216" s="402"/>
      <c r="AC216" s="402"/>
      <c r="AD216" s="402"/>
      <c r="AE216" s="402"/>
      <c r="AF216" s="402">
        <f t="shared" si="66"/>
        <v>77.81</v>
      </c>
      <c r="AG216" s="402">
        <v>28.95</v>
      </c>
      <c r="AH216" s="402">
        <v>14.48</v>
      </c>
      <c r="AI216" s="402">
        <v>10.86</v>
      </c>
      <c r="AJ216" s="402">
        <v>0.72</v>
      </c>
      <c r="AK216" s="402">
        <v>1.09</v>
      </c>
      <c r="AL216" s="402">
        <v>21.71</v>
      </c>
      <c r="AM216" s="402"/>
      <c r="AN216" s="350"/>
      <c r="AO216" s="205">
        <f t="shared" si="67"/>
        <v>0</v>
      </c>
      <c r="AP216">
        <v>14.8549</v>
      </c>
    </row>
    <row r="217" ht="24" hidden="1" spans="1:42">
      <c r="A217" s="284" t="s">
        <v>195</v>
      </c>
      <c r="B217" s="284" t="s">
        <v>442</v>
      </c>
      <c r="C217" s="284" t="s">
        <v>463</v>
      </c>
      <c r="D217" s="284" t="s">
        <v>444</v>
      </c>
      <c r="E217" s="402">
        <f t="shared" si="59"/>
        <v>877.16</v>
      </c>
      <c r="F217" s="402">
        <f t="shared" si="60"/>
        <v>0</v>
      </c>
      <c r="G217" s="402">
        <f t="shared" si="61"/>
        <v>0</v>
      </c>
      <c r="H217" s="402"/>
      <c r="I217" s="402"/>
      <c r="J217" s="402"/>
      <c r="K217" s="402"/>
      <c r="L217" s="402"/>
      <c r="M217" s="402">
        <f t="shared" si="62"/>
        <v>0</v>
      </c>
      <c r="N217" s="402"/>
      <c r="O217" s="402"/>
      <c r="P217" s="402"/>
      <c r="Q217" s="402">
        <f t="shared" si="63"/>
        <v>632.06</v>
      </c>
      <c r="R217" s="402">
        <f t="shared" si="64"/>
        <v>559.15</v>
      </c>
      <c r="S217" s="402">
        <v>374.98</v>
      </c>
      <c r="T217" s="402">
        <v>0.61</v>
      </c>
      <c r="U217" s="402">
        <v>121.52</v>
      </c>
      <c r="V217" s="402">
        <v>29.52</v>
      </c>
      <c r="W217" s="402">
        <v>32.52</v>
      </c>
      <c r="X217" s="402"/>
      <c r="Y217" s="402">
        <f t="shared" si="65"/>
        <v>72.91</v>
      </c>
      <c r="Z217" s="402">
        <v>72.91</v>
      </c>
      <c r="AA217" s="402"/>
      <c r="AB217" s="402"/>
      <c r="AC217" s="402"/>
      <c r="AD217" s="402"/>
      <c r="AE217" s="402"/>
      <c r="AF217" s="402">
        <f t="shared" si="66"/>
        <v>245.1</v>
      </c>
      <c r="AG217" s="402">
        <v>91.2</v>
      </c>
      <c r="AH217" s="402">
        <v>45.6</v>
      </c>
      <c r="AI217" s="402">
        <v>34.2</v>
      </c>
      <c r="AJ217" s="402">
        <v>2.28</v>
      </c>
      <c r="AK217" s="402">
        <v>3.42</v>
      </c>
      <c r="AL217" s="402">
        <v>68.4</v>
      </c>
      <c r="AM217" s="402"/>
      <c r="AN217" s="350"/>
      <c r="AO217" s="205">
        <f t="shared" si="67"/>
        <v>0</v>
      </c>
      <c r="AP217">
        <v>59.6759</v>
      </c>
    </row>
    <row r="218" ht="24" hidden="1" spans="1:42">
      <c r="A218" s="284" t="s">
        <v>195</v>
      </c>
      <c r="B218" s="284" t="s">
        <v>442</v>
      </c>
      <c r="C218" s="284" t="s">
        <v>464</v>
      </c>
      <c r="D218" s="284" t="s">
        <v>444</v>
      </c>
      <c r="E218" s="402">
        <f t="shared" si="59"/>
        <v>1503.16</v>
      </c>
      <c r="F218" s="402">
        <f t="shared" si="60"/>
        <v>0</v>
      </c>
      <c r="G218" s="402">
        <f t="shared" si="61"/>
        <v>0</v>
      </c>
      <c r="H218" s="402"/>
      <c r="I218" s="402"/>
      <c r="J218" s="402"/>
      <c r="K218" s="402"/>
      <c r="L218" s="402"/>
      <c r="M218" s="402">
        <f t="shared" si="62"/>
        <v>0</v>
      </c>
      <c r="N218" s="402"/>
      <c r="O218" s="402"/>
      <c r="P218" s="402"/>
      <c r="Q218" s="402">
        <f t="shared" si="63"/>
        <v>1073.99</v>
      </c>
      <c r="R218" s="402">
        <f t="shared" si="64"/>
        <v>947.38</v>
      </c>
      <c r="S218" s="402">
        <v>660.44</v>
      </c>
      <c r="T218" s="402"/>
      <c r="U218" s="402">
        <v>211.02</v>
      </c>
      <c r="V218" s="402">
        <v>32.88</v>
      </c>
      <c r="W218" s="402">
        <v>43.04</v>
      </c>
      <c r="X218" s="402"/>
      <c r="Y218" s="402">
        <f t="shared" si="65"/>
        <v>126.61</v>
      </c>
      <c r="Z218" s="402">
        <v>126.61</v>
      </c>
      <c r="AA218" s="402"/>
      <c r="AB218" s="402"/>
      <c r="AC218" s="402"/>
      <c r="AD218" s="402"/>
      <c r="AE218" s="402"/>
      <c r="AF218" s="402">
        <f t="shared" si="66"/>
        <v>429.17</v>
      </c>
      <c r="AG218" s="402">
        <v>159.69</v>
      </c>
      <c r="AH218" s="402">
        <v>79.85</v>
      </c>
      <c r="AI218" s="402">
        <v>59.88</v>
      </c>
      <c r="AJ218" s="402">
        <v>3.99</v>
      </c>
      <c r="AK218" s="402">
        <v>5.99</v>
      </c>
      <c r="AL218" s="402">
        <v>119.77</v>
      </c>
      <c r="AM218" s="402"/>
      <c r="AN218" s="350"/>
      <c r="AO218" s="205">
        <f t="shared" si="67"/>
        <v>0</v>
      </c>
      <c r="AP218">
        <v>101.3331</v>
      </c>
    </row>
    <row r="219" ht="24" hidden="1" spans="1:42">
      <c r="A219" s="284" t="s">
        <v>195</v>
      </c>
      <c r="B219" s="284" t="s">
        <v>442</v>
      </c>
      <c r="C219" s="284" t="s">
        <v>465</v>
      </c>
      <c r="D219" s="284" t="s">
        <v>454</v>
      </c>
      <c r="E219" s="402">
        <f t="shared" si="59"/>
        <v>1458.75</v>
      </c>
      <c r="F219" s="402">
        <f t="shared" si="60"/>
        <v>0</v>
      </c>
      <c r="G219" s="402">
        <f t="shared" si="61"/>
        <v>0</v>
      </c>
      <c r="H219" s="402"/>
      <c r="I219" s="402"/>
      <c r="J219" s="402"/>
      <c r="K219" s="402"/>
      <c r="L219" s="402"/>
      <c r="M219" s="402">
        <f t="shared" si="62"/>
        <v>0</v>
      </c>
      <c r="N219" s="402"/>
      <c r="O219" s="402"/>
      <c r="P219" s="402"/>
      <c r="Q219" s="402">
        <f t="shared" si="63"/>
        <v>1039.37</v>
      </c>
      <c r="R219" s="402">
        <f t="shared" si="64"/>
        <v>913.81</v>
      </c>
      <c r="S219" s="402">
        <v>650.24</v>
      </c>
      <c r="T219" s="402">
        <v>1.45</v>
      </c>
      <c r="U219" s="402">
        <v>202.26</v>
      </c>
      <c r="V219" s="402">
        <v>27.84</v>
      </c>
      <c r="W219" s="402">
        <v>32.02</v>
      </c>
      <c r="X219" s="402"/>
      <c r="Y219" s="402">
        <f t="shared" si="65"/>
        <v>125.56</v>
      </c>
      <c r="Z219" s="402">
        <v>121.35</v>
      </c>
      <c r="AA219" s="402"/>
      <c r="AB219" s="402"/>
      <c r="AC219" s="402"/>
      <c r="AD219" s="409">
        <v>4.21</v>
      </c>
      <c r="AE219" s="402"/>
      <c r="AF219" s="402">
        <f t="shared" si="66"/>
        <v>419.38</v>
      </c>
      <c r="AG219" s="402">
        <v>156.05</v>
      </c>
      <c r="AH219" s="402">
        <v>78.02</v>
      </c>
      <c r="AI219" s="402">
        <v>58.52</v>
      </c>
      <c r="AJ219" s="402">
        <v>3.9</v>
      </c>
      <c r="AK219" s="402">
        <v>5.85</v>
      </c>
      <c r="AL219" s="402">
        <v>117.04</v>
      </c>
      <c r="AM219" s="402"/>
      <c r="AN219" s="350"/>
      <c r="AO219" s="205">
        <f t="shared" si="67"/>
        <v>0</v>
      </c>
      <c r="AP219">
        <v>72.0016</v>
      </c>
    </row>
    <row r="220" ht="24" hidden="1" spans="1:42">
      <c r="A220" s="284" t="s">
        <v>195</v>
      </c>
      <c r="B220" s="284" t="s">
        <v>442</v>
      </c>
      <c r="C220" s="284" t="s">
        <v>466</v>
      </c>
      <c r="D220" s="284" t="s">
        <v>454</v>
      </c>
      <c r="E220" s="402">
        <f t="shared" si="59"/>
        <v>772</v>
      </c>
      <c r="F220" s="402">
        <f t="shared" si="60"/>
        <v>0</v>
      </c>
      <c r="G220" s="402">
        <f t="shared" si="61"/>
        <v>0</v>
      </c>
      <c r="H220" s="402"/>
      <c r="I220" s="402"/>
      <c r="J220" s="402"/>
      <c r="K220" s="402"/>
      <c r="L220" s="402"/>
      <c r="M220" s="402">
        <f t="shared" si="62"/>
        <v>0</v>
      </c>
      <c r="N220" s="402"/>
      <c r="O220" s="402"/>
      <c r="P220" s="402"/>
      <c r="Q220" s="402">
        <f t="shared" si="63"/>
        <v>545.85</v>
      </c>
      <c r="R220" s="402">
        <f t="shared" si="64"/>
        <v>480.28</v>
      </c>
      <c r="S220" s="402">
        <v>350.35</v>
      </c>
      <c r="T220" s="402">
        <v>0.72</v>
      </c>
      <c r="U220" s="402">
        <v>109.29</v>
      </c>
      <c r="V220" s="402">
        <v>15.6</v>
      </c>
      <c r="W220" s="402">
        <v>4.32</v>
      </c>
      <c r="X220" s="402"/>
      <c r="Y220" s="402">
        <f t="shared" si="65"/>
        <v>65.57</v>
      </c>
      <c r="Z220" s="402">
        <v>65.57</v>
      </c>
      <c r="AA220" s="402"/>
      <c r="AB220" s="402"/>
      <c r="AC220" s="402"/>
      <c r="AD220" s="402"/>
      <c r="AE220" s="402"/>
      <c r="AF220" s="402">
        <f t="shared" si="66"/>
        <v>226.15</v>
      </c>
      <c r="AG220" s="402">
        <v>84.15</v>
      </c>
      <c r="AH220" s="402">
        <v>42.07</v>
      </c>
      <c r="AI220" s="402">
        <v>31.56</v>
      </c>
      <c r="AJ220" s="402">
        <v>2.1</v>
      </c>
      <c r="AK220" s="402">
        <v>3.16</v>
      </c>
      <c r="AL220" s="402">
        <v>63.11</v>
      </c>
      <c r="AM220" s="402"/>
      <c r="AN220" s="350"/>
      <c r="AO220" s="205">
        <f t="shared" si="67"/>
        <v>0</v>
      </c>
      <c r="AP220">
        <v>35.36</v>
      </c>
    </row>
    <row r="221" ht="24" hidden="1" spans="1:42">
      <c r="A221" s="284" t="s">
        <v>195</v>
      </c>
      <c r="B221" s="284" t="s">
        <v>442</v>
      </c>
      <c r="C221" s="284" t="s">
        <v>467</v>
      </c>
      <c r="D221" s="284" t="s">
        <v>454</v>
      </c>
      <c r="E221" s="402">
        <f t="shared" si="59"/>
        <v>865.86</v>
      </c>
      <c r="F221" s="402">
        <f t="shared" si="60"/>
        <v>0</v>
      </c>
      <c r="G221" s="402">
        <f t="shared" si="61"/>
        <v>0</v>
      </c>
      <c r="H221" s="402"/>
      <c r="I221" s="402"/>
      <c r="J221" s="402"/>
      <c r="K221" s="402"/>
      <c r="L221" s="402"/>
      <c r="M221" s="402">
        <f t="shared" si="62"/>
        <v>0</v>
      </c>
      <c r="N221" s="402"/>
      <c r="O221" s="402"/>
      <c r="P221" s="402"/>
      <c r="Q221" s="402">
        <f t="shared" si="63"/>
        <v>610.7</v>
      </c>
      <c r="R221" s="402">
        <f t="shared" si="64"/>
        <v>536.73</v>
      </c>
      <c r="S221" s="402">
        <v>395.36</v>
      </c>
      <c r="T221" s="402">
        <v>0.81</v>
      </c>
      <c r="U221" s="402">
        <v>123.28</v>
      </c>
      <c r="V221" s="402">
        <v>17.28</v>
      </c>
      <c r="W221" s="402"/>
      <c r="X221" s="402"/>
      <c r="Y221" s="402">
        <f t="shared" si="65"/>
        <v>73.97</v>
      </c>
      <c r="Z221" s="402">
        <v>73.97</v>
      </c>
      <c r="AA221" s="402"/>
      <c r="AB221" s="402"/>
      <c r="AC221" s="402"/>
      <c r="AD221" s="402"/>
      <c r="AE221" s="402"/>
      <c r="AF221" s="402">
        <f t="shared" si="66"/>
        <v>255.16</v>
      </c>
      <c r="AG221" s="402">
        <v>94.95</v>
      </c>
      <c r="AH221" s="402">
        <v>47.47</v>
      </c>
      <c r="AI221" s="402">
        <v>35.6</v>
      </c>
      <c r="AJ221" s="402">
        <v>2.37</v>
      </c>
      <c r="AK221" s="402">
        <v>3.56</v>
      </c>
      <c r="AL221" s="402">
        <v>71.21</v>
      </c>
      <c r="AM221" s="402"/>
      <c r="AN221" s="350"/>
      <c r="AO221" s="205">
        <f t="shared" si="67"/>
        <v>0</v>
      </c>
      <c r="AP221">
        <v>41.53</v>
      </c>
    </row>
    <row r="222" ht="24" hidden="1" spans="1:42">
      <c r="A222" s="284" t="s">
        <v>195</v>
      </c>
      <c r="B222" s="284" t="s">
        <v>442</v>
      </c>
      <c r="C222" s="284" t="s">
        <v>468</v>
      </c>
      <c r="D222" s="284" t="s">
        <v>444</v>
      </c>
      <c r="E222" s="402">
        <f t="shared" si="59"/>
        <v>974.71</v>
      </c>
      <c r="F222" s="402">
        <f t="shared" si="60"/>
        <v>0</v>
      </c>
      <c r="G222" s="402">
        <f t="shared" si="61"/>
        <v>0</v>
      </c>
      <c r="H222" s="402"/>
      <c r="I222" s="402"/>
      <c r="J222" s="402"/>
      <c r="K222" s="402"/>
      <c r="L222" s="402"/>
      <c r="M222" s="402">
        <f t="shared" si="62"/>
        <v>0</v>
      </c>
      <c r="N222" s="402"/>
      <c r="O222" s="402"/>
      <c r="P222" s="402"/>
      <c r="Q222" s="402">
        <f t="shared" si="63"/>
        <v>701.75</v>
      </c>
      <c r="R222" s="402">
        <f t="shared" si="64"/>
        <v>623.87</v>
      </c>
      <c r="S222" s="402">
        <v>395.7</v>
      </c>
      <c r="T222" s="402">
        <v>31.4</v>
      </c>
      <c r="U222" s="402">
        <v>129.81</v>
      </c>
      <c r="V222" s="402">
        <v>30.72</v>
      </c>
      <c r="W222" s="402">
        <v>36.24</v>
      </c>
      <c r="X222" s="402"/>
      <c r="Y222" s="402">
        <f t="shared" si="65"/>
        <v>77.88</v>
      </c>
      <c r="Z222" s="402">
        <v>77.88</v>
      </c>
      <c r="AA222" s="402"/>
      <c r="AB222" s="402"/>
      <c r="AC222" s="402"/>
      <c r="AD222" s="402"/>
      <c r="AE222" s="402"/>
      <c r="AF222" s="402">
        <f t="shared" si="66"/>
        <v>272.96</v>
      </c>
      <c r="AG222" s="402">
        <v>101.57</v>
      </c>
      <c r="AH222" s="402">
        <v>50.78</v>
      </c>
      <c r="AI222" s="402">
        <v>38.09</v>
      </c>
      <c r="AJ222" s="402">
        <v>2.54</v>
      </c>
      <c r="AK222" s="402">
        <v>3.81</v>
      </c>
      <c r="AL222" s="402">
        <v>76.17</v>
      </c>
      <c r="AM222" s="402"/>
      <c r="AN222" s="350"/>
      <c r="AO222" s="205">
        <f t="shared" si="67"/>
        <v>0</v>
      </c>
      <c r="AP222">
        <v>53.953</v>
      </c>
    </row>
    <row r="223" ht="24" hidden="1" spans="1:42">
      <c r="A223" s="284" t="s">
        <v>195</v>
      </c>
      <c r="B223" s="284" t="s">
        <v>442</v>
      </c>
      <c r="C223" s="284" t="s">
        <v>469</v>
      </c>
      <c r="D223" s="284" t="s">
        <v>454</v>
      </c>
      <c r="E223" s="402">
        <f t="shared" si="59"/>
        <v>662.81</v>
      </c>
      <c r="F223" s="402">
        <f t="shared" si="60"/>
        <v>0</v>
      </c>
      <c r="G223" s="402">
        <f t="shared" si="61"/>
        <v>0</v>
      </c>
      <c r="H223" s="402"/>
      <c r="I223" s="402"/>
      <c r="J223" s="402"/>
      <c r="K223" s="402"/>
      <c r="L223" s="402"/>
      <c r="M223" s="402">
        <f t="shared" si="62"/>
        <v>0</v>
      </c>
      <c r="N223" s="402"/>
      <c r="O223" s="402"/>
      <c r="P223" s="402"/>
      <c r="Q223" s="402">
        <f t="shared" si="63"/>
        <v>474.76</v>
      </c>
      <c r="R223" s="402">
        <f t="shared" si="64"/>
        <v>419.87</v>
      </c>
      <c r="S223" s="402">
        <v>290.36</v>
      </c>
      <c r="T223" s="402">
        <v>0.59</v>
      </c>
      <c r="U223" s="402">
        <v>91.48</v>
      </c>
      <c r="V223" s="402">
        <v>18.72</v>
      </c>
      <c r="W223" s="402">
        <v>18.72</v>
      </c>
      <c r="X223" s="402"/>
      <c r="Y223" s="402">
        <f t="shared" si="65"/>
        <v>54.89</v>
      </c>
      <c r="Z223" s="402">
        <v>54.89</v>
      </c>
      <c r="AA223" s="402"/>
      <c r="AB223" s="402"/>
      <c r="AC223" s="402"/>
      <c r="AD223" s="402"/>
      <c r="AE223" s="402"/>
      <c r="AF223" s="402">
        <f t="shared" si="66"/>
        <v>188.05</v>
      </c>
      <c r="AG223" s="402">
        <v>69.97</v>
      </c>
      <c r="AH223" s="402">
        <v>34.99</v>
      </c>
      <c r="AI223" s="402">
        <v>26.24</v>
      </c>
      <c r="AJ223" s="402">
        <v>1.75</v>
      </c>
      <c r="AK223" s="402">
        <v>2.62</v>
      </c>
      <c r="AL223" s="402">
        <v>52.48</v>
      </c>
      <c r="AM223" s="402"/>
      <c r="AN223" s="350"/>
      <c r="AO223" s="205">
        <f t="shared" si="67"/>
        <v>0</v>
      </c>
      <c r="AP223">
        <v>60.04</v>
      </c>
    </row>
    <row r="224" ht="24" hidden="1" spans="1:42">
      <c r="A224" s="284" t="s">
        <v>195</v>
      </c>
      <c r="B224" s="284" t="s">
        <v>442</v>
      </c>
      <c r="C224" s="284" t="s">
        <v>470</v>
      </c>
      <c r="D224" s="284" t="s">
        <v>454</v>
      </c>
      <c r="E224" s="402">
        <f t="shared" si="59"/>
        <v>756.32</v>
      </c>
      <c r="F224" s="402">
        <f t="shared" si="60"/>
        <v>0</v>
      </c>
      <c r="G224" s="402">
        <f t="shared" si="61"/>
        <v>0</v>
      </c>
      <c r="H224" s="402"/>
      <c r="I224" s="402"/>
      <c r="J224" s="402"/>
      <c r="K224" s="402"/>
      <c r="L224" s="402"/>
      <c r="M224" s="402">
        <f t="shared" si="62"/>
        <v>0</v>
      </c>
      <c r="N224" s="402"/>
      <c r="O224" s="402"/>
      <c r="P224" s="402"/>
      <c r="Q224" s="402">
        <f t="shared" si="63"/>
        <v>539.72</v>
      </c>
      <c r="R224" s="402">
        <f t="shared" si="64"/>
        <v>488.77</v>
      </c>
      <c r="S224" s="402">
        <v>264.36</v>
      </c>
      <c r="T224" s="402">
        <v>103.49</v>
      </c>
      <c r="U224" s="402">
        <v>84.92</v>
      </c>
      <c r="V224" s="402">
        <v>18</v>
      </c>
      <c r="W224" s="402">
        <v>18</v>
      </c>
      <c r="X224" s="402"/>
      <c r="Y224" s="402">
        <f t="shared" si="65"/>
        <v>50.95</v>
      </c>
      <c r="Z224" s="402">
        <v>50.95</v>
      </c>
      <c r="AA224" s="402"/>
      <c r="AB224" s="402"/>
      <c r="AC224" s="402"/>
      <c r="AD224" s="402"/>
      <c r="AE224" s="402"/>
      <c r="AF224" s="402">
        <f t="shared" si="66"/>
        <v>216.6</v>
      </c>
      <c r="AG224" s="402">
        <v>80.6</v>
      </c>
      <c r="AH224" s="402">
        <v>40.3</v>
      </c>
      <c r="AI224" s="402">
        <v>30.22</v>
      </c>
      <c r="AJ224" s="402">
        <v>2.01</v>
      </c>
      <c r="AK224" s="402">
        <v>3.02</v>
      </c>
      <c r="AL224" s="402">
        <v>60.45</v>
      </c>
      <c r="AM224" s="402"/>
      <c r="AN224" s="350"/>
      <c r="AO224" s="205">
        <f t="shared" si="67"/>
        <v>0</v>
      </c>
      <c r="AP224">
        <v>27.93</v>
      </c>
    </row>
    <row r="225" ht="24" hidden="1" spans="1:42">
      <c r="A225" s="284" t="s">
        <v>195</v>
      </c>
      <c r="B225" s="284" t="s">
        <v>442</v>
      </c>
      <c r="C225" s="284" t="s">
        <v>471</v>
      </c>
      <c r="D225" s="284" t="s">
        <v>444</v>
      </c>
      <c r="E225" s="402">
        <f t="shared" si="59"/>
        <v>789.6</v>
      </c>
      <c r="F225" s="402">
        <f t="shared" si="60"/>
        <v>0</v>
      </c>
      <c r="G225" s="402">
        <f t="shared" si="61"/>
        <v>0</v>
      </c>
      <c r="H225" s="402"/>
      <c r="I225" s="402"/>
      <c r="J225" s="402"/>
      <c r="K225" s="402"/>
      <c r="L225" s="402"/>
      <c r="M225" s="402">
        <f t="shared" si="62"/>
        <v>0</v>
      </c>
      <c r="N225" s="402"/>
      <c r="O225" s="402"/>
      <c r="P225" s="402"/>
      <c r="Q225" s="402">
        <f t="shared" si="63"/>
        <v>568.6</v>
      </c>
      <c r="R225" s="402">
        <f t="shared" si="64"/>
        <v>505.72</v>
      </c>
      <c r="S225" s="402">
        <v>345.63</v>
      </c>
      <c r="T225" s="402">
        <v>0.63</v>
      </c>
      <c r="U225" s="402">
        <v>104.8</v>
      </c>
      <c r="V225" s="402">
        <v>24</v>
      </c>
      <c r="W225" s="402">
        <v>30.66</v>
      </c>
      <c r="X225" s="402"/>
      <c r="Y225" s="402">
        <f t="shared" si="65"/>
        <v>62.88</v>
      </c>
      <c r="Z225" s="402">
        <v>62.88</v>
      </c>
      <c r="AA225" s="402"/>
      <c r="AB225" s="402"/>
      <c r="AC225" s="402"/>
      <c r="AD225" s="402"/>
      <c r="AE225" s="402"/>
      <c r="AF225" s="402">
        <f t="shared" si="66"/>
        <v>221</v>
      </c>
      <c r="AG225" s="402">
        <v>82.23</v>
      </c>
      <c r="AH225" s="402">
        <v>41.12</v>
      </c>
      <c r="AI225" s="402">
        <v>30.84</v>
      </c>
      <c r="AJ225" s="402">
        <v>2.06</v>
      </c>
      <c r="AK225" s="402">
        <v>3.08</v>
      </c>
      <c r="AL225" s="402">
        <v>61.67</v>
      </c>
      <c r="AM225" s="402"/>
      <c r="AN225" s="350"/>
      <c r="AO225" s="205">
        <f t="shared" si="67"/>
        <v>0</v>
      </c>
      <c r="AP225">
        <v>55.2146</v>
      </c>
    </row>
    <row r="226" ht="24" hidden="1" spans="1:42">
      <c r="A226" s="284" t="s">
        <v>195</v>
      </c>
      <c r="B226" s="284" t="s">
        <v>442</v>
      </c>
      <c r="C226" s="284" t="s">
        <v>472</v>
      </c>
      <c r="D226" s="284" t="s">
        <v>444</v>
      </c>
      <c r="E226" s="402">
        <f t="shared" si="59"/>
        <v>1250.38</v>
      </c>
      <c r="F226" s="402">
        <f t="shared" si="60"/>
        <v>0</v>
      </c>
      <c r="G226" s="402">
        <f t="shared" si="61"/>
        <v>0</v>
      </c>
      <c r="H226" s="402"/>
      <c r="I226" s="402"/>
      <c r="J226" s="402"/>
      <c r="K226" s="402"/>
      <c r="L226" s="402"/>
      <c r="M226" s="402">
        <f t="shared" si="62"/>
        <v>0</v>
      </c>
      <c r="N226" s="402"/>
      <c r="O226" s="402"/>
      <c r="P226" s="402"/>
      <c r="Q226" s="402">
        <f t="shared" si="63"/>
        <v>882.55</v>
      </c>
      <c r="R226" s="402">
        <f t="shared" si="64"/>
        <v>774.08</v>
      </c>
      <c r="S226" s="402">
        <v>564.57</v>
      </c>
      <c r="T226" s="402">
        <v>1.61</v>
      </c>
      <c r="U226" s="402">
        <v>180.78</v>
      </c>
      <c r="V226" s="402">
        <v>27.12</v>
      </c>
      <c r="W226" s="402"/>
      <c r="X226" s="402"/>
      <c r="Y226" s="402">
        <f t="shared" si="65"/>
        <v>108.47</v>
      </c>
      <c r="Z226" s="402">
        <v>108.47</v>
      </c>
      <c r="AA226" s="402"/>
      <c r="AB226" s="402"/>
      <c r="AC226" s="402"/>
      <c r="AD226" s="402"/>
      <c r="AE226" s="402"/>
      <c r="AF226" s="402">
        <f t="shared" si="66"/>
        <v>367.83</v>
      </c>
      <c r="AG226" s="402">
        <v>136.87</v>
      </c>
      <c r="AH226" s="402">
        <v>68.43</v>
      </c>
      <c r="AI226" s="402">
        <v>51.33</v>
      </c>
      <c r="AJ226" s="402">
        <v>3.42</v>
      </c>
      <c r="AK226" s="402">
        <v>5.13</v>
      </c>
      <c r="AL226" s="402">
        <v>102.65</v>
      </c>
      <c r="AM226" s="402"/>
      <c r="AN226" s="350"/>
      <c r="AO226" s="205">
        <f t="shared" si="67"/>
        <v>0</v>
      </c>
      <c r="AP226">
        <v>160.6166</v>
      </c>
    </row>
    <row r="227" ht="24" hidden="1" spans="1:42">
      <c r="A227" s="284" t="s">
        <v>195</v>
      </c>
      <c r="B227" s="284" t="s">
        <v>442</v>
      </c>
      <c r="C227" s="284" t="s">
        <v>473</v>
      </c>
      <c r="D227" s="284" t="s">
        <v>444</v>
      </c>
      <c r="E227" s="402">
        <f t="shared" si="59"/>
        <v>1182.64</v>
      </c>
      <c r="F227" s="402">
        <f t="shared" si="60"/>
        <v>0</v>
      </c>
      <c r="G227" s="402">
        <f t="shared" si="61"/>
        <v>0</v>
      </c>
      <c r="H227" s="402"/>
      <c r="I227" s="402"/>
      <c r="J227" s="402"/>
      <c r="K227" s="402"/>
      <c r="L227" s="402"/>
      <c r="M227" s="402">
        <f t="shared" si="62"/>
        <v>0</v>
      </c>
      <c r="N227" s="402"/>
      <c r="O227" s="402"/>
      <c r="P227" s="402"/>
      <c r="Q227" s="402">
        <f t="shared" si="63"/>
        <v>828.12</v>
      </c>
      <c r="R227" s="402">
        <f t="shared" si="64"/>
        <v>718.28</v>
      </c>
      <c r="S227" s="402">
        <v>535.98</v>
      </c>
      <c r="T227" s="402">
        <v>1.17</v>
      </c>
      <c r="U227" s="402">
        <v>179.56</v>
      </c>
      <c r="V227" s="402"/>
      <c r="W227" s="402">
        <v>1.57</v>
      </c>
      <c r="X227" s="402"/>
      <c r="Y227" s="402">
        <f t="shared" si="65"/>
        <v>109.84</v>
      </c>
      <c r="Z227" s="402">
        <v>107.74</v>
      </c>
      <c r="AA227" s="402"/>
      <c r="AB227" s="402"/>
      <c r="AC227" s="402"/>
      <c r="AD227" s="409">
        <v>2.1</v>
      </c>
      <c r="AE227" s="402"/>
      <c r="AF227" s="402">
        <f t="shared" si="66"/>
        <v>354.52</v>
      </c>
      <c r="AG227" s="402">
        <v>131.91</v>
      </c>
      <c r="AH227" s="402">
        <v>65.96</v>
      </c>
      <c r="AI227" s="402">
        <v>49.47</v>
      </c>
      <c r="AJ227" s="402">
        <v>3.3</v>
      </c>
      <c r="AK227" s="402">
        <v>4.95</v>
      </c>
      <c r="AL227" s="402">
        <v>98.93</v>
      </c>
      <c r="AM227" s="402"/>
      <c r="AN227" s="350"/>
      <c r="AO227" s="205">
        <f t="shared" si="67"/>
        <v>0</v>
      </c>
      <c r="AP227">
        <v>70.8</v>
      </c>
    </row>
    <row r="228" ht="24" hidden="1" spans="1:42">
      <c r="A228" s="284" t="s">
        <v>195</v>
      </c>
      <c r="B228" s="284" t="s">
        <v>442</v>
      </c>
      <c r="C228" s="284" t="s">
        <v>474</v>
      </c>
      <c r="D228" s="284" t="s">
        <v>454</v>
      </c>
      <c r="E228" s="402">
        <f t="shared" si="59"/>
        <v>454.79</v>
      </c>
      <c r="F228" s="402">
        <f t="shared" si="60"/>
        <v>0</v>
      </c>
      <c r="G228" s="402">
        <f t="shared" si="61"/>
        <v>0</v>
      </c>
      <c r="H228" s="402"/>
      <c r="I228" s="402"/>
      <c r="J228" s="402"/>
      <c r="K228" s="402"/>
      <c r="L228" s="402"/>
      <c r="M228" s="402">
        <f t="shared" si="62"/>
        <v>0</v>
      </c>
      <c r="N228" s="402"/>
      <c r="O228" s="402"/>
      <c r="P228" s="402"/>
      <c r="Q228" s="402">
        <f t="shared" si="63"/>
        <v>321.7</v>
      </c>
      <c r="R228" s="402">
        <f t="shared" si="64"/>
        <v>283.36</v>
      </c>
      <c r="S228" s="402">
        <v>199.97</v>
      </c>
      <c r="T228" s="402">
        <v>0.4</v>
      </c>
      <c r="U228" s="402">
        <v>63.9</v>
      </c>
      <c r="V228" s="402">
        <v>8.88</v>
      </c>
      <c r="W228" s="402">
        <v>10.21</v>
      </c>
      <c r="X228" s="402"/>
      <c r="Y228" s="402">
        <f t="shared" si="65"/>
        <v>38.34</v>
      </c>
      <c r="Z228" s="402">
        <v>38.34</v>
      </c>
      <c r="AA228" s="402"/>
      <c r="AB228" s="402"/>
      <c r="AC228" s="402"/>
      <c r="AD228" s="402"/>
      <c r="AE228" s="402"/>
      <c r="AF228" s="402">
        <f t="shared" si="66"/>
        <v>133.09</v>
      </c>
      <c r="AG228" s="402">
        <v>51.38</v>
      </c>
      <c r="AH228" s="402">
        <v>24.21</v>
      </c>
      <c r="AI228" s="402">
        <v>18.16</v>
      </c>
      <c r="AJ228" s="402">
        <v>1.21</v>
      </c>
      <c r="AK228" s="402">
        <v>1.82</v>
      </c>
      <c r="AL228" s="402">
        <v>36.31</v>
      </c>
      <c r="AM228" s="402"/>
      <c r="AN228" s="350"/>
      <c r="AO228" s="205">
        <f t="shared" si="67"/>
        <v>0</v>
      </c>
      <c r="AP228">
        <v>21.0633</v>
      </c>
    </row>
    <row r="229" ht="24" hidden="1" spans="1:42">
      <c r="A229" s="284" t="s">
        <v>195</v>
      </c>
      <c r="B229" s="284" t="s">
        <v>442</v>
      </c>
      <c r="C229" s="284" t="s">
        <v>475</v>
      </c>
      <c r="D229" s="284" t="s">
        <v>444</v>
      </c>
      <c r="E229" s="402">
        <f t="shared" si="59"/>
        <v>644.76</v>
      </c>
      <c r="F229" s="402">
        <f t="shared" si="60"/>
        <v>0</v>
      </c>
      <c r="G229" s="402">
        <f t="shared" si="61"/>
        <v>0</v>
      </c>
      <c r="H229" s="402"/>
      <c r="I229" s="402"/>
      <c r="J229" s="402"/>
      <c r="K229" s="402"/>
      <c r="L229" s="402"/>
      <c r="M229" s="402">
        <f t="shared" si="62"/>
        <v>0</v>
      </c>
      <c r="N229" s="402"/>
      <c r="O229" s="402"/>
      <c r="P229" s="402"/>
      <c r="Q229" s="402">
        <f t="shared" si="63"/>
        <v>460.56</v>
      </c>
      <c r="R229" s="402">
        <f t="shared" si="64"/>
        <v>406.43</v>
      </c>
      <c r="S229" s="402">
        <v>283.46</v>
      </c>
      <c r="T229" s="402">
        <v>0.58</v>
      </c>
      <c r="U229" s="402">
        <v>90.22</v>
      </c>
      <c r="V229" s="402">
        <v>13.92</v>
      </c>
      <c r="W229" s="402">
        <v>18.25</v>
      </c>
      <c r="X229" s="402"/>
      <c r="Y229" s="402">
        <f t="shared" si="65"/>
        <v>54.13</v>
      </c>
      <c r="Z229" s="402">
        <v>54.13</v>
      </c>
      <c r="AA229" s="402"/>
      <c r="AB229" s="402"/>
      <c r="AC229" s="402"/>
      <c r="AD229" s="402"/>
      <c r="AE229" s="402"/>
      <c r="AF229" s="402">
        <f t="shared" si="66"/>
        <v>184.2</v>
      </c>
      <c r="AG229" s="402">
        <v>68.54</v>
      </c>
      <c r="AH229" s="402">
        <v>34.27</v>
      </c>
      <c r="AI229" s="402">
        <v>25.7</v>
      </c>
      <c r="AJ229" s="402">
        <v>1.71</v>
      </c>
      <c r="AK229" s="402">
        <v>2.57</v>
      </c>
      <c r="AL229" s="402">
        <v>51.41</v>
      </c>
      <c r="AM229" s="402"/>
      <c r="AN229" s="350"/>
      <c r="AO229" s="205">
        <f t="shared" si="67"/>
        <v>0</v>
      </c>
      <c r="AP229">
        <v>38.6566</v>
      </c>
    </row>
    <row r="230" ht="24" hidden="1" spans="1:42">
      <c r="A230" s="284" t="s">
        <v>195</v>
      </c>
      <c r="B230" s="284" t="s">
        <v>442</v>
      </c>
      <c r="C230" s="284" t="s">
        <v>476</v>
      </c>
      <c r="D230" s="284" t="s">
        <v>454</v>
      </c>
      <c r="E230" s="402">
        <f t="shared" si="59"/>
        <v>567.66</v>
      </c>
      <c r="F230" s="402">
        <f t="shared" si="60"/>
        <v>0</v>
      </c>
      <c r="G230" s="402">
        <f t="shared" si="61"/>
        <v>0</v>
      </c>
      <c r="H230" s="402"/>
      <c r="I230" s="402"/>
      <c r="J230" s="402"/>
      <c r="K230" s="402"/>
      <c r="L230" s="402"/>
      <c r="M230" s="402">
        <f t="shared" si="62"/>
        <v>0</v>
      </c>
      <c r="N230" s="402"/>
      <c r="O230" s="402"/>
      <c r="P230" s="402"/>
      <c r="Q230" s="402">
        <f t="shared" si="63"/>
        <v>406.92</v>
      </c>
      <c r="R230" s="402">
        <f t="shared" si="64"/>
        <v>361.05</v>
      </c>
      <c r="S230" s="402">
        <v>234.43</v>
      </c>
      <c r="T230" s="402">
        <v>17.05</v>
      </c>
      <c r="U230" s="402">
        <v>76.45</v>
      </c>
      <c r="V230" s="402">
        <v>16.56</v>
      </c>
      <c r="W230" s="402">
        <v>16.56</v>
      </c>
      <c r="X230" s="402"/>
      <c r="Y230" s="402">
        <f t="shared" si="65"/>
        <v>45.87</v>
      </c>
      <c r="Z230" s="402">
        <v>45.87</v>
      </c>
      <c r="AA230" s="402"/>
      <c r="AB230" s="402"/>
      <c r="AC230" s="402"/>
      <c r="AD230" s="402"/>
      <c r="AE230" s="402"/>
      <c r="AF230" s="402">
        <f t="shared" si="66"/>
        <v>160.74</v>
      </c>
      <c r="AG230" s="402">
        <v>59.81</v>
      </c>
      <c r="AH230" s="402">
        <v>29.9</v>
      </c>
      <c r="AI230" s="402">
        <v>22.43</v>
      </c>
      <c r="AJ230" s="402">
        <v>1.5</v>
      </c>
      <c r="AK230" s="402">
        <v>2.24</v>
      </c>
      <c r="AL230" s="402">
        <v>44.86</v>
      </c>
      <c r="AM230" s="402"/>
      <c r="AN230" s="350"/>
      <c r="AO230" s="205">
        <f t="shared" si="67"/>
        <v>0</v>
      </c>
      <c r="AP230">
        <v>28.6666</v>
      </c>
    </row>
    <row r="231" ht="24" hidden="1" spans="1:42">
      <c r="A231" s="284" t="s">
        <v>195</v>
      </c>
      <c r="B231" s="284" t="s">
        <v>442</v>
      </c>
      <c r="C231" s="284" t="s">
        <v>477</v>
      </c>
      <c r="D231" s="284" t="s">
        <v>444</v>
      </c>
      <c r="E231" s="402">
        <f t="shared" si="59"/>
        <v>875.38</v>
      </c>
      <c r="F231" s="402">
        <f t="shared" si="60"/>
        <v>0</v>
      </c>
      <c r="G231" s="402">
        <f t="shared" si="61"/>
        <v>0</v>
      </c>
      <c r="H231" s="402"/>
      <c r="I231" s="402"/>
      <c r="J231" s="402"/>
      <c r="K231" s="402"/>
      <c r="L231" s="402"/>
      <c r="M231" s="402">
        <f t="shared" si="62"/>
        <v>0</v>
      </c>
      <c r="N231" s="402"/>
      <c r="O231" s="402"/>
      <c r="P231" s="402"/>
      <c r="Q231" s="402">
        <f t="shared" si="63"/>
        <v>633.35</v>
      </c>
      <c r="R231" s="402">
        <f t="shared" si="64"/>
        <v>560.12</v>
      </c>
      <c r="S231" s="402">
        <v>367.02</v>
      </c>
      <c r="T231" s="402">
        <v>0.55</v>
      </c>
      <c r="U231" s="402">
        <v>122.05</v>
      </c>
      <c r="V231" s="402">
        <v>30.6</v>
      </c>
      <c r="W231" s="402">
        <v>39.9</v>
      </c>
      <c r="X231" s="402"/>
      <c r="Y231" s="402">
        <f t="shared" si="65"/>
        <v>73.23</v>
      </c>
      <c r="Z231" s="402">
        <v>73.23</v>
      </c>
      <c r="AA231" s="402"/>
      <c r="AB231" s="402"/>
      <c r="AC231" s="402"/>
      <c r="AD231" s="402"/>
      <c r="AE231" s="402"/>
      <c r="AF231" s="402">
        <f t="shared" si="66"/>
        <v>242.03</v>
      </c>
      <c r="AG231" s="402">
        <v>90.06</v>
      </c>
      <c r="AH231" s="402">
        <v>45.03</v>
      </c>
      <c r="AI231" s="402">
        <v>33.77</v>
      </c>
      <c r="AJ231" s="402">
        <v>2.25</v>
      </c>
      <c r="AK231" s="402">
        <v>3.38</v>
      </c>
      <c r="AL231" s="402">
        <v>67.54</v>
      </c>
      <c r="AM231" s="402"/>
      <c r="AN231" s="350"/>
      <c r="AO231" s="205">
        <f t="shared" si="67"/>
        <v>0</v>
      </c>
      <c r="AP231">
        <v>56.9962</v>
      </c>
    </row>
    <row r="232" ht="24" hidden="1" spans="1:42">
      <c r="A232" s="284" t="s">
        <v>195</v>
      </c>
      <c r="B232" s="284" t="s">
        <v>438</v>
      </c>
      <c r="C232" s="284" t="s">
        <v>478</v>
      </c>
      <c r="D232" s="284" t="s">
        <v>479</v>
      </c>
      <c r="E232" s="402">
        <f t="shared" si="59"/>
        <v>593.83</v>
      </c>
      <c r="F232" s="402">
        <f t="shared" si="60"/>
        <v>0</v>
      </c>
      <c r="G232" s="402">
        <f t="shared" si="61"/>
        <v>0</v>
      </c>
      <c r="H232" s="402"/>
      <c r="I232" s="402"/>
      <c r="J232" s="402"/>
      <c r="K232" s="402"/>
      <c r="L232" s="402"/>
      <c r="M232" s="402">
        <f t="shared" si="62"/>
        <v>0</v>
      </c>
      <c r="N232" s="402"/>
      <c r="O232" s="402"/>
      <c r="P232" s="402"/>
      <c r="Q232" s="402">
        <f t="shared" si="63"/>
        <v>415.27</v>
      </c>
      <c r="R232" s="402">
        <f t="shared" si="64"/>
        <v>357.24</v>
      </c>
      <c r="S232" s="402">
        <v>260.08</v>
      </c>
      <c r="T232" s="402">
        <v>0.45</v>
      </c>
      <c r="U232" s="402">
        <v>96.71</v>
      </c>
      <c r="V232" s="402"/>
      <c r="W232" s="402"/>
      <c r="X232" s="402"/>
      <c r="Y232" s="402">
        <f t="shared" si="65"/>
        <v>58.03</v>
      </c>
      <c r="Z232" s="402">
        <v>58.03</v>
      </c>
      <c r="AA232" s="402"/>
      <c r="AB232" s="402"/>
      <c r="AC232" s="402"/>
      <c r="AD232" s="402"/>
      <c r="AE232" s="402"/>
      <c r="AF232" s="402">
        <f t="shared" si="66"/>
        <v>178.56</v>
      </c>
      <c r="AG232" s="402">
        <v>66.44</v>
      </c>
      <c r="AH232" s="402">
        <v>33.22</v>
      </c>
      <c r="AI232" s="402">
        <v>24.92</v>
      </c>
      <c r="AJ232" s="402">
        <v>1.66</v>
      </c>
      <c r="AK232" s="402">
        <v>2.49</v>
      </c>
      <c r="AL232" s="402">
        <v>49.83</v>
      </c>
      <c r="AM232" s="402"/>
      <c r="AN232" s="350"/>
      <c r="AO232" s="205">
        <f t="shared" si="67"/>
        <v>0</v>
      </c>
      <c r="AP232">
        <v>38.7766</v>
      </c>
    </row>
    <row r="233" ht="24" hidden="1" spans="1:42">
      <c r="A233" s="284" t="s">
        <v>195</v>
      </c>
      <c r="B233" s="284" t="s">
        <v>442</v>
      </c>
      <c r="C233" s="284" t="s">
        <v>480</v>
      </c>
      <c r="D233" s="284" t="s">
        <v>454</v>
      </c>
      <c r="E233" s="402">
        <f t="shared" si="59"/>
        <v>2048.09</v>
      </c>
      <c r="F233" s="402">
        <f t="shared" si="60"/>
        <v>0</v>
      </c>
      <c r="G233" s="402">
        <f t="shared" si="61"/>
        <v>0</v>
      </c>
      <c r="H233" s="402"/>
      <c r="I233" s="402"/>
      <c r="J233" s="402"/>
      <c r="K233" s="402"/>
      <c r="L233" s="402"/>
      <c r="M233" s="402">
        <f t="shared" si="62"/>
        <v>0</v>
      </c>
      <c r="N233" s="402"/>
      <c r="O233" s="402"/>
      <c r="P233" s="402"/>
      <c r="Q233" s="402">
        <f t="shared" si="63"/>
        <v>1432.23</v>
      </c>
      <c r="R233" s="402">
        <f t="shared" si="64"/>
        <v>1253.35</v>
      </c>
      <c r="S233" s="402">
        <v>953.28</v>
      </c>
      <c r="T233" s="402">
        <v>1.94</v>
      </c>
      <c r="U233" s="402">
        <v>298.13</v>
      </c>
      <c r="V233" s="402"/>
      <c r="W233" s="402"/>
      <c r="X233" s="402"/>
      <c r="Y233" s="402">
        <f t="shared" si="65"/>
        <v>178.88</v>
      </c>
      <c r="Z233" s="402">
        <v>178.88</v>
      </c>
      <c r="AA233" s="402"/>
      <c r="AB233" s="402"/>
      <c r="AC233" s="402"/>
      <c r="AD233" s="402"/>
      <c r="AE233" s="402"/>
      <c r="AF233" s="402">
        <f t="shared" si="66"/>
        <v>615.86</v>
      </c>
      <c r="AG233" s="402">
        <v>229.16</v>
      </c>
      <c r="AH233" s="402">
        <v>114.58</v>
      </c>
      <c r="AI233" s="402">
        <v>85.93</v>
      </c>
      <c r="AJ233" s="402">
        <v>5.73</v>
      </c>
      <c r="AK233" s="402">
        <v>8.59</v>
      </c>
      <c r="AL233" s="402">
        <v>171.87</v>
      </c>
      <c r="AM233" s="402"/>
      <c r="AN233" s="350"/>
      <c r="AO233" s="205">
        <f t="shared" si="67"/>
        <v>0</v>
      </c>
      <c r="AP233">
        <v>92.285</v>
      </c>
    </row>
    <row r="234" ht="24" hidden="1" spans="1:42">
      <c r="A234" s="284" t="s">
        <v>195</v>
      </c>
      <c r="B234" s="284" t="s">
        <v>442</v>
      </c>
      <c r="C234" s="284" t="s">
        <v>481</v>
      </c>
      <c r="D234" s="284" t="s">
        <v>444</v>
      </c>
      <c r="E234" s="402">
        <f t="shared" si="59"/>
        <v>556.11</v>
      </c>
      <c r="F234" s="402">
        <f t="shared" si="60"/>
        <v>0</v>
      </c>
      <c r="G234" s="402">
        <f t="shared" si="61"/>
        <v>0</v>
      </c>
      <c r="H234" s="402"/>
      <c r="I234" s="402"/>
      <c r="J234" s="402"/>
      <c r="K234" s="402"/>
      <c r="L234" s="402"/>
      <c r="M234" s="402">
        <f t="shared" si="62"/>
        <v>0</v>
      </c>
      <c r="N234" s="402"/>
      <c r="O234" s="402"/>
      <c r="P234" s="402"/>
      <c r="Q234" s="402">
        <f t="shared" si="63"/>
        <v>405.68</v>
      </c>
      <c r="R234" s="402">
        <f t="shared" si="64"/>
        <v>358.88</v>
      </c>
      <c r="S234" s="402">
        <v>225.99</v>
      </c>
      <c r="T234" s="402">
        <v>0.37</v>
      </c>
      <c r="U234" s="402">
        <v>77.16</v>
      </c>
      <c r="V234" s="402">
        <v>24.96</v>
      </c>
      <c r="W234" s="402">
        <v>30.4</v>
      </c>
      <c r="X234" s="402"/>
      <c r="Y234" s="402">
        <f t="shared" si="65"/>
        <v>46.8</v>
      </c>
      <c r="Z234" s="402">
        <v>46.3</v>
      </c>
      <c r="AA234" s="402"/>
      <c r="AB234" s="402"/>
      <c r="AC234" s="402"/>
      <c r="AD234" s="409">
        <v>0.5</v>
      </c>
      <c r="AE234" s="402"/>
      <c r="AF234" s="402">
        <f t="shared" si="66"/>
        <v>150.43</v>
      </c>
      <c r="AG234" s="402">
        <v>55.97</v>
      </c>
      <c r="AH234" s="402">
        <v>27.99</v>
      </c>
      <c r="AI234" s="402">
        <v>20.99</v>
      </c>
      <c r="AJ234" s="402">
        <v>1.4</v>
      </c>
      <c r="AK234" s="402">
        <v>2.1</v>
      </c>
      <c r="AL234" s="402">
        <v>41.98</v>
      </c>
      <c r="AM234" s="402"/>
      <c r="AN234" s="350"/>
      <c r="AO234" s="205">
        <f t="shared" si="67"/>
        <v>0</v>
      </c>
      <c r="AP234">
        <v>32.4481</v>
      </c>
    </row>
    <row r="235" ht="24" hidden="1" spans="1:42">
      <c r="A235" s="284" t="s">
        <v>195</v>
      </c>
      <c r="B235" s="284" t="s">
        <v>442</v>
      </c>
      <c r="C235" s="284" t="s">
        <v>482</v>
      </c>
      <c r="D235" s="284" t="s">
        <v>444</v>
      </c>
      <c r="E235" s="402">
        <f t="shared" si="59"/>
        <v>841.53</v>
      </c>
      <c r="F235" s="402">
        <f t="shared" si="60"/>
        <v>0</v>
      </c>
      <c r="G235" s="402">
        <f t="shared" si="61"/>
        <v>0</v>
      </c>
      <c r="H235" s="402"/>
      <c r="I235" s="402"/>
      <c r="J235" s="402"/>
      <c r="K235" s="402"/>
      <c r="L235" s="402"/>
      <c r="M235" s="402">
        <f t="shared" si="62"/>
        <v>0</v>
      </c>
      <c r="N235" s="402"/>
      <c r="O235" s="402"/>
      <c r="P235" s="402"/>
      <c r="Q235" s="402">
        <f t="shared" si="63"/>
        <v>607.21</v>
      </c>
      <c r="R235" s="402">
        <f t="shared" si="64"/>
        <v>538.44</v>
      </c>
      <c r="S235" s="402">
        <v>360.88</v>
      </c>
      <c r="T235" s="402">
        <v>0.66</v>
      </c>
      <c r="U235" s="402">
        <v>114.62</v>
      </c>
      <c r="V235" s="402">
        <v>26.16</v>
      </c>
      <c r="W235" s="402">
        <v>36.12</v>
      </c>
      <c r="X235" s="402"/>
      <c r="Y235" s="402">
        <f t="shared" si="65"/>
        <v>68.77</v>
      </c>
      <c r="Z235" s="402">
        <v>68.77</v>
      </c>
      <c r="AA235" s="402"/>
      <c r="AB235" s="402"/>
      <c r="AC235" s="402"/>
      <c r="AD235" s="402"/>
      <c r="AE235" s="402"/>
      <c r="AF235" s="402">
        <f t="shared" si="66"/>
        <v>234.32</v>
      </c>
      <c r="AG235" s="402">
        <v>87.19</v>
      </c>
      <c r="AH235" s="402">
        <v>43.59</v>
      </c>
      <c r="AI235" s="402">
        <v>32.7</v>
      </c>
      <c r="AJ235" s="402">
        <v>2.18</v>
      </c>
      <c r="AK235" s="402">
        <v>3.27</v>
      </c>
      <c r="AL235" s="402">
        <v>65.39</v>
      </c>
      <c r="AM235" s="402"/>
      <c r="AN235" s="350"/>
      <c r="AO235" s="205">
        <f t="shared" si="67"/>
        <v>0</v>
      </c>
      <c r="AP235">
        <v>41.3549</v>
      </c>
    </row>
    <row r="236" ht="24" hidden="1" spans="1:42">
      <c r="A236" s="284" t="s">
        <v>195</v>
      </c>
      <c r="B236" s="284" t="s">
        <v>442</v>
      </c>
      <c r="C236" s="284" t="s">
        <v>483</v>
      </c>
      <c r="D236" s="284" t="s">
        <v>454</v>
      </c>
      <c r="E236" s="402">
        <f t="shared" si="59"/>
        <v>556.04</v>
      </c>
      <c r="F236" s="402">
        <f t="shared" si="60"/>
        <v>0</v>
      </c>
      <c r="G236" s="402">
        <f t="shared" si="61"/>
        <v>0</v>
      </c>
      <c r="H236" s="402"/>
      <c r="I236" s="402"/>
      <c r="J236" s="402"/>
      <c r="K236" s="402"/>
      <c r="L236" s="402"/>
      <c r="M236" s="402">
        <f t="shared" si="62"/>
        <v>0</v>
      </c>
      <c r="N236" s="402"/>
      <c r="O236" s="402"/>
      <c r="P236" s="402"/>
      <c r="Q236" s="402">
        <f t="shared" si="63"/>
        <v>397.07</v>
      </c>
      <c r="R236" s="402">
        <f t="shared" si="64"/>
        <v>358.9</v>
      </c>
      <c r="S236" s="402">
        <v>267.53</v>
      </c>
      <c r="T236" s="402">
        <v>0.39</v>
      </c>
      <c r="U236" s="402">
        <v>63.62</v>
      </c>
      <c r="V236" s="402">
        <v>13.68</v>
      </c>
      <c r="W236" s="402">
        <v>13.68</v>
      </c>
      <c r="X236" s="402"/>
      <c r="Y236" s="402">
        <f t="shared" si="65"/>
        <v>38.17</v>
      </c>
      <c r="Z236" s="402">
        <v>38.17</v>
      </c>
      <c r="AA236" s="402"/>
      <c r="AB236" s="402"/>
      <c r="AC236" s="402"/>
      <c r="AD236" s="402"/>
      <c r="AE236" s="402"/>
      <c r="AF236" s="402">
        <f t="shared" si="66"/>
        <v>158.97</v>
      </c>
      <c r="AG236" s="402">
        <v>59.15</v>
      </c>
      <c r="AH236" s="402">
        <v>29.58</v>
      </c>
      <c r="AI236" s="402">
        <v>22.18</v>
      </c>
      <c r="AJ236" s="402">
        <v>1.48</v>
      </c>
      <c r="AK236" s="402">
        <v>2.22</v>
      </c>
      <c r="AL236" s="402">
        <v>44.36</v>
      </c>
      <c r="AM236" s="402"/>
      <c r="AN236" s="350"/>
      <c r="AO236" s="205">
        <f t="shared" si="67"/>
        <v>0</v>
      </c>
      <c r="AP236">
        <v>18.265</v>
      </c>
    </row>
    <row r="237" ht="24" hidden="1" spans="1:42">
      <c r="A237" s="284" t="s">
        <v>195</v>
      </c>
      <c r="B237" s="284" t="s">
        <v>442</v>
      </c>
      <c r="C237" s="284" t="s">
        <v>484</v>
      </c>
      <c r="D237" s="284" t="s">
        <v>454</v>
      </c>
      <c r="E237" s="402">
        <f t="shared" si="59"/>
        <v>880.73</v>
      </c>
      <c r="F237" s="402">
        <f t="shared" si="60"/>
        <v>0</v>
      </c>
      <c r="G237" s="402">
        <f t="shared" si="61"/>
        <v>0</v>
      </c>
      <c r="H237" s="402"/>
      <c r="I237" s="402"/>
      <c r="J237" s="402"/>
      <c r="K237" s="402"/>
      <c r="L237" s="402"/>
      <c r="M237" s="402">
        <f t="shared" si="62"/>
        <v>0</v>
      </c>
      <c r="N237" s="402"/>
      <c r="O237" s="402"/>
      <c r="P237" s="402"/>
      <c r="Q237" s="402">
        <f t="shared" si="63"/>
        <v>626.29</v>
      </c>
      <c r="R237" s="402">
        <f t="shared" si="64"/>
        <v>555.01</v>
      </c>
      <c r="S237" s="402">
        <v>400.89</v>
      </c>
      <c r="T237" s="402">
        <v>0.76</v>
      </c>
      <c r="U237" s="402">
        <v>118.79</v>
      </c>
      <c r="V237" s="402">
        <v>16.08</v>
      </c>
      <c r="W237" s="402">
        <v>18.49</v>
      </c>
      <c r="X237" s="402"/>
      <c r="Y237" s="402">
        <f t="shared" si="65"/>
        <v>71.28</v>
      </c>
      <c r="Z237" s="402">
        <v>71.28</v>
      </c>
      <c r="AA237" s="402"/>
      <c r="AB237" s="402"/>
      <c r="AC237" s="402"/>
      <c r="AD237" s="402"/>
      <c r="AE237" s="402"/>
      <c r="AF237" s="402">
        <f t="shared" si="66"/>
        <v>254.44</v>
      </c>
      <c r="AG237" s="402">
        <v>94.67</v>
      </c>
      <c r="AH237" s="402">
        <v>47.34</v>
      </c>
      <c r="AI237" s="402">
        <v>35.5</v>
      </c>
      <c r="AJ237" s="402">
        <v>2.37</v>
      </c>
      <c r="AK237" s="402">
        <v>3.55</v>
      </c>
      <c r="AL237" s="402">
        <v>71.01</v>
      </c>
      <c r="AM237" s="402"/>
      <c r="AN237" s="350"/>
      <c r="AO237" s="205">
        <f t="shared" si="67"/>
        <v>0</v>
      </c>
      <c r="AP237">
        <v>31.2834</v>
      </c>
    </row>
    <row r="238" ht="24" hidden="1" spans="1:42">
      <c r="A238" s="284" t="s">
        <v>195</v>
      </c>
      <c r="B238" s="284" t="s">
        <v>442</v>
      </c>
      <c r="C238" s="284" t="s">
        <v>485</v>
      </c>
      <c r="D238" s="284" t="s">
        <v>444</v>
      </c>
      <c r="E238" s="402">
        <f t="shared" si="59"/>
        <v>751.16</v>
      </c>
      <c r="F238" s="402">
        <f t="shared" si="60"/>
        <v>0</v>
      </c>
      <c r="G238" s="402">
        <f t="shared" si="61"/>
        <v>0</v>
      </c>
      <c r="H238" s="402"/>
      <c r="I238" s="402"/>
      <c r="J238" s="402"/>
      <c r="K238" s="402"/>
      <c r="L238" s="402"/>
      <c r="M238" s="402">
        <f t="shared" si="62"/>
        <v>0</v>
      </c>
      <c r="N238" s="402"/>
      <c r="O238" s="402"/>
      <c r="P238" s="402"/>
      <c r="Q238" s="402">
        <f t="shared" si="63"/>
        <v>534.6</v>
      </c>
      <c r="R238" s="402">
        <f t="shared" si="64"/>
        <v>471.91</v>
      </c>
      <c r="S238" s="402">
        <v>335.82</v>
      </c>
      <c r="T238" s="402">
        <v>0.64</v>
      </c>
      <c r="U238" s="402">
        <v>104.48</v>
      </c>
      <c r="V238" s="402">
        <v>16.08</v>
      </c>
      <c r="W238" s="402">
        <v>14.89</v>
      </c>
      <c r="X238" s="402"/>
      <c r="Y238" s="402">
        <f t="shared" si="65"/>
        <v>62.69</v>
      </c>
      <c r="Z238" s="402">
        <v>62.69</v>
      </c>
      <c r="AA238" s="402"/>
      <c r="AB238" s="402"/>
      <c r="AC238" s="402"/>
      <c r="AD238" s="402"/>
      <c r="AE238" s="402"/>
      <c r="AF238" s="402">
        <f t="shared" si="66"/>
        <v>216.56</v>
      </c>
      <c r="AG238" s="402">
        <v>80.58</v>
      </c>
      <c r="AH238" s="402">
        <v>40.29</v>
      </c>
      <c r="AI238" s="402">
        <v>30.22</v>
      </c>
      <c r="AJ238" s="402">
        <v>2.01</v>
      </c>
      <c r="AK238" s="402">
        <v>3.02</v>
      </c>
      <c r="AL238" s="402">
        <v>60.44</v>
      </c>
      <c r="AM238" s="402"/>
      <c r="AN238" s="350"/>
      <c r="AO238" s="205">
        <f t="shared" si="67"/>
        <v>0</v>
      </c>
      <c r="AP238">
        <v>48.3683</v>
      </c>
    </row>
    <row r="239" ht="24" hidden="1" spans="1:42">
      <c r="A239" s="284" t="s">
        <v>195</v>
      </c>
      <c r="B239" s="284" t="s">
        <v>442</v>
      </c>
      <c r="C239" s="284" t="s">
        <v>486</v>
      </c>
      <c r="D239" s="284" t="s">
        <v>454</v>
      </c>
      <c r="E239" s="402">
        <f t="shared" si="59"/>
        <v>429.41</v>
      </c>
      <c r="F239" s="402">
        <f t="shared" si="60"/>
        <v>0</v>
      </c>
      <c r="G239" s="402">
        <f t="shared" si="61"/>
        <v>0</v>
      </c>
      <c r="H239" s="402"/>
      <c r="I239" s="402"/>
      <c r="J239" s="402"/>
      <c r="K239" s="402"/>
      <c r="L239" s="402"/>
      <c r="M239" s="402">
        <f t="shared" si="62"/>
        <v>0</v>
      </c>
      <c r="N239" s="402"/>
      <c r="O239" s="402"/>
      <c r="P239" s="402"/>
      <c r="Q239" s="402">
        <f t="shared" si="63"/>
        <v>307.86</v>
      </c>
      <c r="R239" s="402">
        <f t="shared" si="64"/>
        <v>272.19</v>
      </c>
      <c r="S239" s="402">
        <v>187.15</v>
      </c>
      <c r="T239" s="402">
        <v>25.16</v>
      </c>
      <c r="U239" s="402">
        <v>34.68</v>
      </c>
      <c r="V239" s="402">
        <v>12.6</v>
      </c>
      <c r="W239" s="402">
        <v>12.6</v>
      </c>
      <c r="X239" s="402"/>
      <c r="Y239" s="402">
        <f t="shared" si="65"/>
        <v>35.67</v>
      </c>
      <c r="Z239" s="402">
        <v>35.67</v>
      </c>
      <c r="AA239" s="402"/>
      <c r="AB239" s="402"/>
      <c r="AC239" s="402"/>
      <c r="AD239" s="402"/>
      <c r="AE239" s="402"/>
      <c r="AF239" s="402">
        <f t="shared" si="66"/>
        <v>121.55</v>
      </c>
      <c r="AG239" s="402">
        <v>45.23</v>
      </c>
      <c r="AH239" s="402">
        <v>22.61</v>
      </c>
      <c r="AI239" s="402">
        <v>16.96</v>
      </c>
      <c r="AJ239" s="402">
        <v>1.13</v>
      </c>
      <c r="AK239" s="402">
        <v>1.7</v>
      </c>
      <c r="AL239" s="402">
        <v>33.92</v>
      </c>
      <c r="AM239" s="402"/>
      <c r="AN239" s="350"/>
      <c r="AO239" s="205">
        <f t="shared" si="67"/>
        <v>0</v>
      </c>
      <c r="AP239">
        <v>19.4</v>
      </c>
    </row>
    <row r="240" ht="24" hidden="1" spans="1:42">
      <c r="A240" s="284" t="s">
        <v>195</v>
      </c>
      <c r="B240" s="284" t="s">
        <v>442</v>
      </c>
      <c r="C240" s="284" t="s">
        <v>487</v>
      </c>
      <c r="D240" s="284" t="s">
        <v>444</v>
      </c>
      <c r="E240" s="402">
        <f t="shared" si="59"/>
        <v>698.04</v>
      </c>
      <c r="F240" s="402">
        <f t="shared" si="60"/>
        <v>0</v>
      </c>
      <c r="G240" s="402">
        <f t="shared" si="61"/>
        <v>0</v>
      </c>
      <c r="H240" s="402"/>
      <c r="I240" s="402"/>
      <c r="J240" s="402"/>
      <c r="K240" s="402"/>
      <c r="L240" s="402"/>
      <c r="M240" s="402">
        <f t="shared" si="62"/>
        <v>0</v>
      </c>
      <c r="N240" s="402"/>
      <c r="O240" s="402"/>
      <c r="P240" s="402"/>
      <c r="Q240" s="402">
        <f t="shared" si="63"/>
        <v>496.11</v>
      </c>
      <c r="R240" s="402">
        <f t="shared" si="64"/>
        <v>440.38</v>
      </c>
      <c r="S240" s="402">
        <v>298.93</v>
      </c>
      <c r="T240" s="402">
        <v>22.05</v>
      </c>
      <c r="U240" s="402">
        <v>92.88</v>
      </c>
      <c r="V240" s="402"/>
      <c r="W240" s="402">
        <v>26.52</v>
      </c>
      <c r="X240" s="402"/>
      <c r="Y240" s="402">
        <f t="shared" si="65"/>
        <v>55.73</v>
      </c>
      <c r="Z240" s="402">
        <v>55.73</v>
      </c>
      <c r="AA240" s="402"/>
      <c r="AB240" s="402"/>
      <c r="AC240" s="402"/>
      <c r="AD240" s="402"/>
      <c r="AE240" s="402"/>
      <c r="AF240" s="402">
        <f t="shared" si="66"/>
        <v>201.93</v>
      </c>
      <c r="AG240" s="402">
        <v>75.13</v>
      </c>
      <c r="AH240" s="402">
        <v>37.57</v>
      </c>
      <c r="AI240" s="402">
        <v>28.18</v>
      </c>
      <c r="AJ240" s="402">
        <v>1.88</v>
      </c>
      <c r="AK240" s="402">
        <v>2.82</v>
      </c>
      <c r="AL240" s="402">
        <v>56.35</v>
      </c>
      <c r="AM240" s="402"/>
      <c r="AN240" s="350"/>
      <c r="AO240" s="205">
        <f t="shared" si="67"/>
        <v>0</v>
      </c>
      <c r="AP240">
        <v>44.2315</v>
      </c>
    </row>
    <row r="241" ht="24" hidden="1" spans="1:42">
      <c r="A241" s="284" t="s">
        <v>195</v>
      </c>
      <c r="B241" s="284" t="s">
        <v>442</v>
      </c>
      <c r="C241" s="284" t="s">
        <v>488</v>
      </c>
      <c r="D241" s="284" t="s">
        <v>454</v>
      </c>
      <c r="E241" s="402">
        <f t="shared" si="59"/>
        <v>983.31</v>
      </c>
      <c r="F241" s="402">
        <f t="shared" si="60"/>
        <v>0</v>
      </c>
      <c r="G241" s="402">
        <f t="shared" si="61"/>
        <v>0</v>
      </c>
      <c r="H241" s="402"/>
      <c r="I241" s="402"/>
      <c r="J241" s="402"/>
      <c r="K241" s="402"/>
      <c r="L241" s="402"/>
      <c r="M241" s="402">
        <f t="shared" si="62"/>
        <v>0</v>
      </c>
      <c r="N241" s="402"/>
      <c r="O241" s="402"/>
      <c r="P241" s="402"/>
      <c r="Q241" s="402">
        <f t="shared" si="63"/>
        <v>694.1</v>
      </c>
      <c r="R241" s="402">
        <f t="shared" si="64"/>
        <v>612.57</v>
      </c>
      <c r="S241" s="402">
        <v>454.28</v>
      </c>
      <c r="T241" s="402">
        <v>0.87</v>
      </c>
      <c r="U241" s="402">
        <v>135.89</v>
      </c>
      <c r="V241" s="402"/>
      <c r="W241" s="402">
        <v>21.53</v>
      </c>
      <c r="X241" s="402"/>
      <c r="Y241" s="402">
        <f t="shared" si="65"/>
        <v>81.53</v>
      </c>
      <c r="Z241" s="402">
        <v>81.53</v>
      </c>
      <c r="AA241" s="402"/>
      <c r="AB241" s="402"/>
      <c r="AC241" s="402"/>
      <c r="AD241" s="402"/>
      <c r="AE241" s="402"/>
      <c r="AF241" s="402">
        <f t="shared" si="66"/>
        <v>289.21</v>
      </c>
      <c r="AG241" s="402">
        <v>107.61</v>
      </c>
      <c r="AH241" s="402">
        <v>53.81</v>
      </c>
      <c r="AI241" s="402">
        <v>40.35</v>
      </c>
      <c r="AJ241" s="402">
        <v>2.69</v>
      </c>
      <c r="AK241" s="402">
        <v>4.04</v>
      </c>
      <c r="AL241" s="402">
        <v>80.71</v>
      </c>
      <c r="AM241" s="402"/>
      <c r="AN241" s="350"/>
      <c r="AO241" s="205">
        <f t="shared" si="67"/>
        <v>0</v>
      </c>
      <c r="AP241">
        <v>52.7898</v>
      </c>
    </row>
    <row r="242" ht="24" hidden="1" spans="1:42">
      <c r="A242" s="284" t="s">
        <v>195</v>
      </c>
      <c r="B242" s="284" t="s">
        <v>442</v>
      </c>
      <c r="C242" s="284" t="s">
        <v>489</v>
      </c>
      <c r="D242" s="284" t="s">
        <v>444</v>
      </c>
      <c r="E242" s="402">
        <f t="shared" si="59"/>
        <v>1695.52</v>
      </c>
      <c r="F242" s="402">
        <f t="shared" si="60"/>
        <v>0</v>
      </c>
      <c r="G242" s="402">
        <f t="shared" si="61"/>
        <v>0</v>
      </c>
      <c r="H242" s="402"/>
      <c r="I242" s="402"/>
      <c r="J242" s="402"/>
      <c r="K242" s="402"/>
      <c r="L242" s="402"/>
      <c r="M242" s="402">
        <f t="shared" si="62"/>
        <v>0</v>
      </c>
      <c r="N242" s="402"/>
      <c r="O242" s="402"/>
      <c r="P242" s="402"/>
      <c r="Q242" s="402">
        <f t="shared" si="63"/>
        <v>1215.9</v>
      </c>
      <c r="R242" s="402">
        <f t="shared" si="64"/>
        <v>1064.8</v>
      </c>
      <c r="S242" s="402">
        <v>711.39</v>
      </c>
      <c r="T242" s="402">
        <v>1.08</v>
      </c>
      <c r="U242" s="402">
        <v>251.84</v>
      </c>
      <c r="V242" s="402">
        <v>41.52</v>
      </c>
      <c r="W242" s="402">
        <v>58.97</v>
      </c>
      <c r="X242" s="402"/>
      <c r="Y242" s="402">
        <f t="shared" si="65"/>
        <v>151.1</v>
      </c>
      <c r="Z242" s="402">
        <v>151.1</v>
      </c>
      <c r="AA242" s="402"/>
      <c r="AB242" s="402"/>
      <c r="AC242" s="402"/>
      <c r="AD242" s="402"/>
      <c r="AE242" s="402"/>
      <c r="AF242" s="402">
        <f t="shared" si="66"/>
        <v>479.62</v>
      </c>
      <c r="AG242" s="402">
        <v>178.47</v>
      </c>
      <c r="AH242" s="402">
        <v>89.23</v>
      </c>
      <c r="AI242" s="402">
        <v>66.92</v>
      </c>
      <c r="AJ242" s="402">
        <v>4.46</v>
      </c>
      <c r="AK242" s="402">
        <v>6.69</v>
      </c>
      <c r="AL242" s="402">
        <v>133.85</v>
      </c>
      <c r="AM242" s="402"/>
      <c r="AN242" s="350"/>
      <c r="AO242" s="205">
        <f t="shared" si="67"/>
        <v>0</v>
      </c>
      <c r="AP242">
        <v>112.4957</v>
      </c>
    </row>
    <row r="243" ht="36" hidden="1" spans="1:42">
      <c r="A243" s="284" t="s">
        <v>195</v>
      </c>
      <c r="B243" s="284" t="s">
        <v>199</v>
      </c>
      <c r="C243" s="284" t="s">
        <v>490</v>
      </c>
      <c r="D243" s="284" t="s">
        <v>491</v>
      </c>
      <c r="E243" s="402">
        <f t="shared" si="59"/>
        <v>236.61</v>
      </c>
      <c r="F243" s="402">
        <f t="shared" si="60"/>
        <v>0</v>
      </c>
      <c r="G243" s="402">
        <f t="shared" si="61"/>
        <v>0</v>
      </c>
      <c r="H243" s="402"/>
      <c r="I243" s="402"/>
      <c r="J243" s="402"/>
      <c r="K243" s="402"/>
      <c r="L243" s="402"/>
      <c r="M243" s="402">
        <f t="shared" si="62"/>
        <v>0</v>
      </c>
      <c r="N243" s="402"/>
      <c r="O243" s="402"/>
      <c r="P243" s="402"/>
      <c r="Q243" s="402">
        <f t="shared" si="63"/>
        <v>168.41</v>
      </c>
      <c r="R243" s="402">
        <f t="shared" si="64"/>
        <v>148.42</v>
      </c>
      <c r="S243" s="402">
        <v>105.08</v>
      </c>
      <c r="T243" s="402">
        <v>0.22</v>
      </c>
      <c r="U243" s="402">
        <v>33.32</v>
      </c>
      <c r="V243" s="402">
        <v>4.56</v>
      </c>
      <c r="W243" s="402">
        <v>5.24</v>
      </c>
      <c r="X243" s="402"/>
      <c r="Y243" s="402">
        <f t="shared" si="65"/>
        <v>19.99</v>
      </c>
      <c r="Z243" s="402">
        <v>19.99</v>
      </c>
      <c r="AA243" s="402"/>
      <c r="AB243" s="402"/>
      <c r="AC243" s="402"/>
      <c r="AD243" s="402"/>
      <c r="AE243" s="402"/>
      <c r="AF243" s="402">
        <f t="shared" si="66"/>
        <v>68.2</v>
      </c>
      <c r="AG243" s="402">
        <v>25.38</v>
      </c>
      <c r="AH243" s="402">
        <v>12.69</v>
      </c>
      <c r="AI243" s="402">
        <v>9.52</v>
      </c>
      <c r="AJ243" s="402">
        <v>0.63</v>
      </c>
      <c r="AK243" s="402">
        <v>0.95</v>
      </c>
      <c r="AL243" s="402">
        <v>19.03</v>
      </c>
      <c r="AM243" s="402"/>
      <c r="AN243" s="350"/>
      <c r="AO243" s="205">
        <f t="shared" si="67"/>
        <v>0</v>
      </c>
      <c r="AP243">
        <v>9.5</v>
      </c>
    </row>
    <row r="244" ht="24" hidden="1" spans="1:42">
      <c r="A244" s="284" t="s">
        <v>195</v>
      </c>
      <c r="B244" s="284" t="s">
        <v>442</v>
      </c>
      <c r="C244" s="284" t="s">
        <v>492</v>
      </c>
      <c r="D244" s="284" t="s">
        <v>454</v>
      </c>
      <c r="E244" s="402">
        <f t="shared" si="59"/>
        <v>1560.2</v>
      </c>
      <c r="F244" s="402">
        <f t="shared" si="60"/>
        <v>0</v>
      </c>
      <c r="G244" s="402">
        <f t="shared" si="61"/>
        <v>0</v>
      </c>
      <c r="H244" s="402"/>
      <c r="I244" s="402"/>
      <c r="J244" s="402"/>
      <c r="K244" s="402"/>
      <c r="L244" s="402"/>
      <c r="M244" s="402">
        <f t="shared" si="62"/>
        <v>0</v>
      </c>
      <c r="N244" s="402"/>
      <c r="O244" s="402"/>
      <c r="P244" s="402"/>
      <c r="Q244" s="402">
        <f t="shared" si="63"/>
        <v>1091.05</v>
      </c>
      <c r="R244" s="402">
        <f t="shared" si="64"/>
        <v>952.94</v>
      </c>
      <c r="S244" s="402">
        <v>721.23</v>
      </c>
      <c r="T244" s="402">
        <v>1.53</v>
      </c>
      <c r="U244" s="402">
        <v>230.18</v>
      </c>
      <c r="V244" s="402"/>
      <c r="W244" s="402"/>
      <c r="X244" s="402"/>
      <c r="Y244" s="402">
        <f t="shared" si="65"/>
        <v>138.11</v>
      </c>
      <c r="Z244" s="402">
        <v>138.11</v>
      </c>
      <c r="AA244" s="402"/>
      <c r="AB244" s="402"/>
      <c r="AC244" s="402"/>
      <c r="AD244" s="402"/>
      <c r="AE244" s="402"/>
      <c r="AF244" s="402">
        <f t="shared" si="66"/>
        <v>469.15</v>
      </c>
      <c r="AG244" s="402">
        <v>174.57</v>
      </c>
      <c r="AH244" s="402">
        <v>87.28</v>
      </c>
      <c r="AI244" s="402">
        <v>65.46</v>
      </c>
      <c r="AJ244" s="402">
        <v>4.36</v>
      </c>
      <c r="AK244" s="402">
        <v>6.55</v>
      </c>
      <c r="AL244" s="402">
        <v>130.93</v>
      </c>
      <c r="AM244" s="402"/>
      <c r="AN244" s="350"/>
      <c r="AO244" s="205">
        <f t="shared" si="67"/>
        <v>0</v>
      </c>
      <c r="AP244">
        <v>70.17</v>
      </c>
    </row>
    <row r="245" ht="24" hidden="1" spans="1:42">
      <c r="A245" s="284" t="s">
        <v>195</v>
      </c>
      <c r="B245" s="284" t="s">
        <v>438</v>
      </c>
      <c r="C245" s="284" t="s">
        <v>493</v>
      </c>
      <c r="D245" s="284" t="s">
        <v>479</v>
      </c>
      <c r="E245" s="402">
        <f t="shared" si="59"/>
        <v>226.53</v>
      </c>
      <c r="F245" s="402">
        <f t="shared" si="60"/>
        <v>0</v>
      </c>
      <c r="G245" s="402">
        <f t="shared" si="61"/>
        <v>0</v>
      </c>
      <c r="H245" s="402"/>
      <c r="I245" s="402"/>
      <c r="J245" s="402"/>
      <c r="K245" s="402"/>
      <c r="L245" s="402"/>
      <c r="M245" s="402">
        <f t="shared" si="62"/>
        <v>0</v>
      </c>
      <c r="N245" s="402"/>
      <c r="O245" s="402"/>
      <c r="P245" s="402"/>
      <c r="Q245" s="402">
        <f t="shared" si="63"/>
        <v>158.42</v>
      </c>
      <c r="R245" s="402">
        <f t="shared" si="64"/>
        <v>135.3</v>
      </c>
      <c r="S245" s="402">
        <v>96.62</v>
      </c>
      <c r="T245" s="402">
        <v>0.14</v>
      </c>
      <c r="U245" s="402">
        <v>38.54</v>
      </c>
      <c r="V245" s="402"/>
      <c r="W245" s="402"/>
      <c r="X245" s="402"/>
      <c r="Y245" s="402">
        <f t="shared" si="65"/>
        <v>23.12</v>
      </c>
      <c r="Z245" s="402">
        <v>23.12</v>
      </c>
      <c r="AA245" s="402"/>
      <c r="AB245" s="402"/>
      <c r="AC245" s="402"/>
      <c r="AD245" s="402"/>
      <c r="AE245" s="402"/>
      <c r="AF245" s="402">
        <f t="shared" si="66"/>
        <v>68.11</v>
      </c>
      <c r="AG245" s="402">
        <v>25.35</v>
      </c>
      <c r="AH245" s="402">
        <v>12.67</v>
      </c>
      <c r="AI245" s="402">
        <v>9.5</v>
      </c>
      <c r="AJ245" s="402">
        <v>0.63</v>
      </c>
      <c r="AK245" s="402">
        <v>0.95</v>
      </c>
      <c r="AL245" s="402">
        <v>19.01</v>
      </c>
      <c r="AM245" s="402"/>
      <c r="AN245" s="350"/>
      <c r="AO245" s="205">
        <f t="shared" si="67"/>
        <v>0</v>
      </c>
      <c r="AP245">
        <v>14</v>
      </c>
    </row>
    <row r="246" ht="24" hidden="1" customHeight="1" spans="1:42">
      <c r="A246" s="284" t="s">
        <v>195</v>
      </c>
      <c r="B246" s="284" t="s">
        <v>438</v>
      </c>
      <c r="C246" s="284" t="s">
        <v>494</v>
      </c>
      <c r="D246" s="284" t="s">
        <v>479</v>
      </c>
      <c r="E246" s="402">
        <f t="shared" si="59"/>
        <v>295.98</v>
      </c>
      <c r="F246" s="402">
        <f t="shared" si="60"/>
        <v>0</v>
      </c>
      <c r="G246" s="402">
        <f t="shared" si="61"/>
        <v>0</v>
      </c>
      <c r="H246" s="402"/>
      <c r="I246" s="402"/>
      <c r="J246" s="402"/>
      <c r="K246" s="402"/>
      <c r="L246" s="402"/>
      <c r="M246" s="402">
        <f t="shared" si="62"/>
        <v>0</v>
      </c>
      <c r="N246" s="402"/>
      <c r="O246" s="402"/>
      <c r="P246" s="402"/>
      <c r="Q246" s="402">
        <f t="shared" si="63"/>
        <v>206.97</v>
      </c>
      <c r="R246" s="402">
        <f t="shared" si="64"/>
        <v>178.98</v>
      </c>
      <c r="S246" s="402">
        <v>132.08</v>
      </c>
      <c r="T246" s="402">
        <v>0.26</v>
      </c>
      <c r="U246" s="402">
        <v>46.64</v>
      </c>
      <c r="V246" s="402"/>
      <c r="W246" s="402"/>
      <c r="X246" s="402"/>
      <c r="Y246" s="402">
        <f t="shared" si="65"/>
        <v>27.99</v>
      </c>
      <c r="Z246" s="402">
        <v>27.99</v>
      </c>
      <c r="AA246" s="402"/>
      <c r="AB246" s="402"/>
      <c r="AC246" s="402"/>
      <c r="AD246" s="402"/>
      <c r="AE246" s="402"/>
      <c r="AF246" s="402">
        <f t="shared" si="66"/>
        <v>89.01</v>
      </c>
      <c r="AG246" s="402">
        <v>33.12</v>
      </c>
      <c r="AH246" s="402">
        <v>16.56</v>
      </c>
      <c r="AI246" s="402">
        <v>12.42</v>
      </c>
      <c r="AJ246" s="402">
        <v>0.83</v>
      </c>
      <c r="AK246" s="402">
        <v>1.24</v>
      </c>
      <c r="AL246" s="402">
        <v>24.84</v>
      </c>
      <c r="AM246" s="402"/>
      <c r="AN246" s="350"/>
      <c r="AO246" s="205">
        <f t="shared" si="67"/>
        <v>0</v>
      </c>
      <c r="AP246">
        <v>29.0758</v>
      </c>
    </row>
    <row r="247" ht="24" hidden="1" spans="1:42">
      <c r="A247" s="284" t="s">
        <v>195</v>
      </c>
      <c r="B247" s="284" t="s">
        <v>442</v>
      </c>
      <c r="C247" s="284" t="s">
        <v>495</v>
      </c>
      <c r="D247" s="284" t="s">
        <v>444</v>
      </c>
      <c r="E247" s="402">
        <f t="shared" si="59"/>
        <v>791.34</v>
      </c>
      <c r="F247" s="402">
        <f t="shared" si="60"/>
        <v>0</v>
      </c>
      <c r="G247" s="402">
        <f t="shared" si="61"/>
        <v>0</v>
      </c>
      <c r="H247" s="402"/>
      <c r="I247" s="402"/>
      <c r="J247" s="402"/>
      <c r="K247" s="402"/>
      <c r="L247" s="402"/>
      <c r="M247" s="402">
        <f t="shared" si="62"/>
        <v>0</v>
      </c>
      <c r="N247" s="402"/>
      <c r="O247" s="402"/>
      <c r="P247" s="402"/>
      <c r="Q247" s="402">
        <f t="shared" si="63"/>
        <v>553.39</v>
      </c>
      <c r="R247" s="402">
        <f t="shared" si="64"/>
        <v>478.18</v>
      </c>
      <c r="S247" s="402">
        <v>352.08</v>
      </c>
      <c r="T247" s="402">
        <v>0.75</v>
      </c>
      <c r="U247" s="402">
        <v>125.35</v>
      </c>
      <c r="V247" s="402"/>
      <c r="W247" s="402"/>
      <c r="X247" s="402"/>
      <c r="Y247" s="402">
        <f t="shared" si="65"/>
        <v>75.21</v>
      </c>
      <c r="Z247" s="402">
        <v>75.21</v>
      </c>
      <c r="AA247" s="402"/>
      <c r="AB247" s="402"/>
      <c r="AC247" s="402"/>
      <c r="AD247" s="402"/>
      <c r="AE247" s="402"/>
      <c r="AF247" s="402">
        <f t="shared" si="66"/>
        <v>237.95</v>
      </c>
      <c r="AG247" s="402">
        <v>88.54</v>
      </c>
      <c r="AH247" s="402">
        <v>44.27</v>
      </c>
      <c r="AI247" s="402">
        <v>33.2</v>
      </c>
      <c r="AJ247" s="402">
        <v>2.21</v>
      </c>
      <c r="AK247" s="402">
        <v>3.32</v>
      </c>
      <c r="AL247" s="402">
        <v>66.41</v>
      </c>
      <c r="AM247" s="402"/>
      <c r="AN247" s="350"/>
      <c r="AO247" s="205">
        <f t="shared" si="67"/>
        <v>0</v>
      </c>
      <c r="AP247">
        <v>45</v>
      </c>
    </row>
    <row r="248" ht="24" hidden="1" spans="1:42">
      <c r="A248" s="284" t="s">
        <v>195</v>
      </c>
      <c r="B248" s="284" t="s">
        <v>438</v>
      </c>
      <c r="C248" s="284" t="s">
        <v>496</v>
      </c>
      <c r="D248" s="284" t="s">
        <v>479</v>
      </c>
      <c r="E248" s="402">
        <f t="shared" si="59"/>
        <v>218.89</v>
      </c>
      <c r="F248" s="402">
        <f t="shared" si="60"/>
        <v>0</v>
      </c>
      <c r="G248" s="402">
        <f t="shared" si="61"/>
        <v>0</v>
      </c>
      <c r="H248" s="402"/>
      <c r="I248" s="402"/>
      <c r="J248" s="402"/>
      <c r="K248" s="402"/>
      <c r="L248" s="402"/>
      <c r="M248" s="402">
        <f t="shared" si="62"/>
        <v>0</v>
      </c>
      <c r="N248" s="402"/>
      <c r="O248" s="402"/>
      <c r="P248" s="402"/>
      <c r="Q248" s="402">
        <f t="shared" si="63"/>
        <v>153.07</v>
      </c>
      <c r="R248" s="402">
        <f t="shared" si="64"/>
        <v>129.86</v>
      </c>
      <c r="S248" s="402">
        <v>91.05</v>
      </c>
      <c r="T248" s="402">
        <v>0.12</v>
      </c>
      <c r="U248" s="402">
        <v>38.69</v>
      </c>
      <c r="V248" s="402"/>
      <c r="W248" s="402"/>
      <c r="X248" s="402"/>
      <c r="Y248" s="402">
        <f t="shared" si="65"/>
        <v>23.21</v>
      </c>
      <c r="Z248" s="402">
        <v>23.21</v>
      </c>
      <c r="AA248" s="402"/>
      <c r="AB248" s="402"/>
      <c r="AC248" s="402"/>
      <c r="AD248" s="402"/>
      <c r="AE248" s="402"/>
      <c r="AF248" s="402">
        <f t="shared" si="66"/>
        <v>65.82</v>
      </c>
      <c r="AG248" s="402">
        <v>24.49</v>
      </c>
      <c r="AH248" s="402">
        <v>12.25</v>
      </c>
      <c r="AI248" s="402">
        <v>9.18</v>
      </c>
      <c r="AJ248" s="402">
        <v>0.61</v>
      </c>
      <c r="AK248" s="402">
        <v>0.92</v>
      </c>
      <c r="AL248" s="402">
        <v>18.37</v>
      </c>
      <c r="AM248" s="402"/>
      <c r="AN248" s="350"/>
      <c r="AO248" s="205">
        <f t="shared" si="67"/>
        <v>0</v>
      </c>
      <c r="AP248">
        <v>13.295</v>
      </c>
    </row>
    <row r="249" ht="24" hidden="1" spans="1:42">
      <c r="A249" s="284" t="s">
        <v>195</v>
      </c>
      <c r="B249" s="284" t="s">
        <v>438</v>
      </c>
      <c r="C249" s="284" t="s">
        <v>497</v>
      </c>
      <c r="D249" s="284" t="s">
        <v>479</v>
      </c>
      <c r="E249" s="402">
        <f t="shared" si="59"/>
        <v>179.21</v>
      </c>
      <c r="F249" s="402">
        <f t="shared" si="60"/>
        <v>0</v>
      </c>
      <c r="G249" s="402">
        <f t="shared" si="61"/>
        <v>0</v>
      </c>
      <c r="H249" s="402"/>
      <c r="I249" s="402"/>
      <c r="J249" s="402"/>
      <c r="K249" s="402"/>
      <c r="L249" s="402"/>
      <c r="M249" s="402">
        <f t="shared" si="62"/>
        <v>0</v>
      </c>
      <c r="N249" s="402"/>
      <c r="O249" s="402"/>
      <c r="P249" s="402"/>
      <c r="Q249" s="402">
        <f t="shared" si="63"/>
        <v>125.32</v>
      </c>
      <c r="R249" s="402">
        <f t="shared" si="64"/>
        <v>106.73</v>
      </c>
      <c r="S249" s="402">
        <v>75.62</v>
      </c>
      <c r="T249" s="402">
        <v>0.12</v>
      </c>
      <c r="U249" s="402">
        <v>30.99</v>
      </c>
      <c r="V249" s="402"/>
      <c r="W249" s="402"/>
      <c r="X249" s="402"/>
      <c r="Y249" s="402">
        <f t="shared" si="65"/>
        <v>18.59</v>
      </c>
      <c r="Z249" s="402">
        <v>18.59</v>
      </c>
      <c r="AA249" s="402"/>
      <c r="AB249" s="402"/>
      <c r="AC249" s="402"/>
      <c r="AD249" s="402"/>
      <c r="AE249" s="402"/>
      <c r="AF249" s="402">
        <f t="shared" si="66"/>
        <v>53.89</v>
      </c>
      <c r="AG249" s="402">
        <v>20.05</v>
      </c>
      <c r="AH249" s="402">
        <v>10.03</v>
      </c>
      <c r="AI249" s="402">
        <v>7.52</v>
      </c>
      <c r="AJ249" s="402">
        <v>0.5</v>
      </c>
      <c r="AK249" s="402">
        <v>0.75</v>
      </c>
      <c r="AL249" s="402">
        <v>15.04</v>
      </c>
      <c r="AM249" s="402"/>
      <c r="AN249" s="350"/>
      <c r="AO249" s="205">
        <f t="shared" si="67"/>
        <v>0</v>
      </c>
      <c r="AP249">
        <v>12.7083</v>
      </c>
    </row>
    <row r="250" ht="24" hidden="1" spans="1:42">
      <c r="A250" s="284" t="s">
        <v>195</v>
      </c>
      <c r="B250" s="284" t="s">
        <v>442</v>
      </c>
      <c r="C250" s="284" t="s">
        <v>498</v>
      </c>
      <c r="D250" s="284" t="s">
        <v>444</v>
      </c>
      <c r="E250" s="402">
        <f t="shared" si="59"/>
        <v>321.86</v>
      </c>
      <c r="F250" s="402">
        <f t="shared" si="60"/>
        <v>0</v>
      </c>
      <c r="G250" s="402">
        <f t="shared" si="61"/>
        <v>0</v>
      </c>
      <c r="H250" s="402"/>
      <c r="I250" s="402"/>
      <c r="J250" s="402"/>
      <c r="K250" s="402"/>
      <c r="L250" s="402"/>
      <c r="M250" s="402">
        <f t="shared" si="62"/>
        <v>0</v>
      </c>
      <c r="N250" s="402"/>
      <c r="O250" s="402"/>
      <c r="P250" s="402"/>
      <c r="Q250" s="402">
        <f t="shared" si="63"/>
        <v>225.08</v>
      </c>
      <c r="R250" s="402">
        <f t="shared" si="64"/>
        <v>194.06</v>
      </c>
      <c r="S250" s="402">
        <v>142.05</v>
      </c>
      <c r="T250" s="402">
        <v>0.31</v>
      </c>
      <c r="U250" s="402">
        <v>51.7</v>
      </c>
      <c r="V250" s="402"/>
      <c r="W250" s="402"/>
      <c r="X250" s="402"/>
      <c r="Y250" s="402">
        <f t="shared" si="65"/>
        <v>31.02</v>
      </c>
      <c r="Z250" s="402">
        <v>31.02</v>
      </c>
      <c r="AA250" s="402"/>
      <c r="AB250" s="402"/>
      <c r="AC250" s="402"/>
      <c r="AD250" s="402"/>
      <c r="AE250" s="402"/>
      <c r="AF250" s="402">
        <f t="shared" si="66"/>
        <v>96.78</v>
      </c>
      <c r="AG250" s="402">
        <v>36.01</v>
      </c>
      <c r="AH250" s="402">
        <v>18.01</v>
      </c>
      <c r="AI250" s="402">
        <v>13.5</v>
      </c>
      <c r="AJ250" s="402">
        <v>0.9</v>
      </c>
      <c r="AK250" s="402">
        <v>1.35</v>
      </c>
      <c r="AL250" s="402">
        <v>27.01</v>
      </c>
      <c r="AM250" s="402"/>
      <c r="AN250" s="350"/>
      <c r="AO250" s="205">
        <f t="shared" si="67"/>
        <v>0</v>
      </c>
      <c r="AP250">
        <v>19</v>
      </c>
    </row>
    <row r="251" ht="24" hidden="1" spans="1:42">
      <c r="A251" s="284" t="s">
        <v>195</v>
      </c>
      <c r="B251" s="284" t="s">
        <v>438</v>
      </c>
      <c r="C251" s="284" t="s">
        <v>499</v>
      </c>
      <c r="D251" s="284" t="s">
        <v>479</v>
      </c>
      <c r="E251" s="402">
        <f t="shared" si="59"/>
        <v>101.4</v>
      </c>
      <c r="F251" s="402">
        <f t="shared" si="60"/>
        <v>0</v>
      </c>
      <c r="G251" s="402">
        <f t="shared" si="61"/>
        <v>0</v>
      </c>
      <c r="H251" s="402"/>
      <c r="I251" s="402"/>
      <c r="J251" s="402"/>
      <c r="K251" s="402"/>
      <c r="L251" s="402"/>
      <c r="M251" s="402">
        <f t="shared" si="62"/>
        <v>0</v>
      </c>
      <c r="N251" s="402"/>
      <c r="O251" s="402"/>
      <c r="P251" s="402"/>
      <c r="Q251" s="402">
        <f t="shared" si="63"/>
        <v>70.91</v>
      </c>
      <c r="R251" s="402">
        <f t="shared" si="64"/>
        <v>60.91</v>
      </c>
      <c r="S251" s="402">
        <v>44.16</v>
      </c>
      <c r="T251" s="402">
        <v>0.09</v>
      </c>
      <c r="U251" s="402">
        <v>16.66</v>
      </c>
      <c r="V251" s="402"/>
      <c r="W251" s="402"/>
      <c r="X251" s="402"/>
      <c r="Y251" s="402">
        <f t="shared" si="65"/>
        <v>10</v>
      </c>
      <c r="Z251" s="402">
        <v>10</v>
      </c>
      <c r="AA251" s="402"/>
      <c r="AB251" s="402"/>
      <c r="AC251" s="402"/>
      <c r="AD251" s="402"/>
      <c r="AE251" s="402"/>
      <c r="AF251" s="402">
        <f t="shared" si="66"/>
        <v>30.49</v>
      </c>
      <c r="AG251" s="402">
        <v>11.35</v>
      </c>
      <c r="AH251" s="402">
        <v>5.67</v>
      </c>
      <c r="AI251" s="402">
        <v>4.25</v>
      </c>
      <c r="AJ251" s="402">
        <v>0.28</v>
      </c>
      <c r="AK251" s="402">
        <v>0.43</v>
      </c>
      <c r="AL251" s="402">
        <v>8.51</v>
      </c>
      <c r="AM251" s="402"/>
      <c r="AN251" s="350"/>
      <c r="AO251" s="205">
        <f t="shared" si="67"/>
        <v>0</v>
      </c>
      <c r="AP251">
        <v>5.5</v>
      </c>
    </row>
    <row r="252" ht="24" hidden="1" spans="1:42">
      <c r="A252" s="284" t="s">
        <v>195</v>
      </c>
      <c r="B252" s="284" t="s">
        <v>438</v>
      </c>
      <c r="C252" s="284" t="s">
        <v>500</v>
      </c>
      <c r="D252" s="284" t="s">
        <v>479</v>
      </c>
      <c r="E252" s="402">
        <f t="shared" si="59"/>
        <v>40.57</v>
      </c>
      <c r="F252" s="402">
        <f t="shared" si="60"/>
        <v>0</v>
      </c>
      <c r="G252" s="402">
        <f t="shared" si="61"/>
        <v>0</v>
      </c>
      <c r="H252" s="402"/>
      <c r="I252" s="402"/>
      <c r="J252" s="402"/>
      <c r="K252" s="402"/>
      <c r="L252" s="402"/>
      <c r="M252" s="402">
        <f t="shared" si="62"/>
        <v>0</v>
      </c>
      <c r="N252" s="402"/>
      <c r="O252" s="402"/>
      <c r="P252" s="402"/>
      <c r="Q252" s="402">
        <f t="shared" si="63"/>
        <v>28.38</v>
      </c>
      <c r="R252" s="402">
        <f t="shared" si="64"/>
        <v>24.18</v>
      </c>
      <c r="S252" s="402">
        <v>17.15</v>
      </c>
      <c r="T252" s="402">
        <v>0.03</v>
      </c>
      <c r="U252" s="402">
        <v>7</v>
      </c>
      <c r="V252" s="402"/>
      <c r="W252" s="402"/>
      <c r="X252" s="402"/>
      <c r="Y252" s="402">
        <f t="shared" si="65"/>
        <v>4.2</v>
      </c>
      <c r="Z252" s="402">
        <v>4.2</v>
      </c>
      <c r="AA252" s="402"/>
      <c r="AB252" s="402"/>
      <c r="AC252" s="402"/>
      <c r="AD252" s="402"/>
      <c r="AE252" s="402"/>
      <c r="AF252" s="402">
        <f t="shared" si="66"/>
        <v>12.19</v>
      </c>
      <c r="AG252" s="402">
        <v>4.54</v>
      </c>
      <c r="AH252" s="402">
        <v>2.27</v>
      </c>
      <c r="AI252" s="402">
        <v>1.7</v>
      </c>
      <c r="AJ252" s="402">
        <v>0.11</v>
      </c>
      <c r="AK252" s="402">
        <v>0.17</v>
      </c>
      <c r="AL252" s="402">
        <v>3.4</v>
      </c>
      <c r="AM252" s="402"/>
      <c r="AN252" s="350"/>
      <c r="AO252" s="205">
        <f t="shared" si="67"/>
        <v>0</v>
      </c>
      <c r="AP252">
        <v>4.5</v>
      </c>
    </row>
    <row r="253" ht="24" hidden="1" spans="1:42">
      <c r="A253" s="284" t="s">
        <v>195</v>
      </c>
      <c r="B253" s="284" t="s">
        <v>438</v>
      </c>
      <c r="C253" s="284" t="s">
        <v>501</v>
      </c>
      <c r="D253" s="284" t="s">
        <v>479</v>
      </c>
      <c r="E253" s="402">
        <f t="shared" si="59"/>
        <v>67.49</v>
      </c>
      <c r="F253" s="402">
        <f t="shared" si="60"/>
        <v>0</v>
      </c>
      <c r="G253" s="402">
        <f t="shared" si="61"/>
        <v>0</v>
      </c>
      <c r="H253" s="402"/>
      <c r="I253" s="402"/>
      <c r="J253" s="402"/>
      <c r="K253" s="402"/>
      <c r="L253" s="402"/>
      <c r="M253" s="402">
        <f t="shared" si="62"/>
        <v>0</v>
      </c>
      <c r="N253" s="402"/>
      <c r="O253" s="402"/>
      <c r="P253" s="402"/>
      <c r="Q253" s="402">
        <f t="shared" si="63"/>
        <v>47.2</v>
      </c>
      <c r="R253" s="402">
        <f t="shared" si="64"/>
        <v>40.21</v>
      </c>
      <c r="S253" s="402">
        <v>28.52</v>
      </c>
      <c r="T253" s="402">
        <v>0.04</v>
      </c>
      <c r="U253" s="402">
        <v>11.65</v>
      </c>
      <c r="V253" s="402"/>
      <c r="W253" s="402"/>
      <c r="X253" s="402"/>
      <c r="Y253" s="402">
        <f t="shared" si="65"/>
        <v>6.99</v>
      </c>
      <c r="Z253" s="402">
        <v>6.99</v>
      </c>
      <c r="AA253" s="402"/>
      <c r="AB253" s="402"/>
      <c r="AC253" s="402"/>
      <c r="AD253" s="402"/>
      <c r="AE253" s="402"/>
      <c r="AF253" s="402">
        <f t="shared" si="66"/>
        <v>20.29</v>
      </c>
      <c r="AG253" s="402">
        <v>7.55</v>
      </c>
      <c r="AH253" s="402">
        <v>3.78</v>
      </c>
      <c r="AI253" s="402">
        <v>2.83</v>
      </c>
      <c r="AJ253" s="402">
        <v>0.19</v>
      </c>
      <c r="AK253" s="402">
        <v>0.28</v>
      </c>
      <c r="AL253" s="402">
        <v>5.66</v>
      </c>
      <c r="AM253" s="402"/>
      <c r="AN253" s="350"/>
      <c r="AO253" s="205">
        <f t="shared" si="67"/>
        <v>0</v>
      </c>
      <c r="AP253">
        <v>4</v>
      </c>
    </row>
    <row r="254" ht="24" hidden="1" spans="1:42">
      <c r="A254" s="284" t="s">
        <v>195</v>
      </c>
      <c r="B254" s="284" t="s">
        <v>442</v>
      </c>
      <c r="C254" s="284" t="s">
        <v>502</v>
      </c>
      <c r="D254" s="284" t="s">
        <v>444</v>
      </c>
      <c r="E254" s="402">
        <f t="shared" si="59"/>
        <v>170.47</v>
      </c>
      <c r="F254" s="402">
        <f t="shared" si="60"/>
        <v>0</v>
      </c>
      <c r="G254" s="402">
        <f t="shared" si="61"/>
        <v>0</v>
      </c>
      <c r="H254" s="402"/>
      <c r="I254" s="402"/>
      <c r="J254" s="402"/>
      <c r="K254" s="402"/>
      <c r="L254" s="402"/>
      <c r="M254" s="402">
        <f t="shared" si="62"/>
        <v>0</v>
      </c>
      <c r="N254" s="402"/>
      <c r="O254" s="402"/>
      <c r="P254" s="402"/>
      <c r="Q254" s="402">
        <f t="shared" si="63"/>
        <v>121.05</v>
      </c>
      <c r="R254" s="402">
        <f t="shared" si="64"/>
        <v>106</v>
      </c>
      <c r="S254" s="402">
        <v>70.59</v>
      </c>
      <c r="T254" s="402">
        <v>4.21</v>
      </c>
      <c r="U254" s="402">
        <v>25.08</v>
      </c>
      <c r="V254" s="402"/>
      <c r="W254" s="402">
        <v>6.12</v>
      </c>
      <c r="X254" s="402"/>
      <c r="Y254" s="402">
        <f t="shared" si="65"/>
        <v>15.05</v>
      </c>
      <c r="Z254" s="402">
        <v>15.05</v>
      </c>
      <c r="AA254" s="402"/>
      <c r="AB254" s="402"/>
      <c r="AC254" s="402"/>
      <c r="AD254" s="402"/>
      <c r="AE254" s="402"/>
      <c r="AF254" s="402">
        <f t="shared" si="66"/>
        <v>49.42</v>
      </c>
      <c r="AG254" s="402">
        <v>18.39</v>
      </c>
      <c r="AH254" s="402">
        <v>9.19</v>
      </c>
      <c r="AI254" s="402">
        <v>6.9</v>
      </c>
      <c r="AJ254" s="402">
        <v>0.46</v>
      </c>
      <c r="AK254" s="402">
        <v>0.69</v>
      </c>
      <c r="AL254" s="402">
        <v>13.79</v>
      </c>
      <c r="AM254" s="402"/>
      <c r="AN254" s="350"/>
      <c r="AO254" s="205">
        <f t="shared" si="67"/>
        <v>0</v>
      </c>
      <c r="AP254">
        <v>10.8983</v>
      </c>
    </row>
    <row r="255" ht="24" hidden="1" spans="1:42">
      <c r="A255" s="284" t="s">
        <v>195</v>
      </c>
      <c r="B255" s="284" t="s">
        <v>438</v>
      </c>
      <c r="C255" s="284" t="s">
        <v>503</v>
      </c>
      <c r="D255" s="284" t="s">
        <v>479</v>
      </c>
      <c r="E255" s="402">
        <f t="shared" si="59"/>
        <v>68.44</v>
      </c>
      <c r="F255" s="402">
        <f t="shared" si="60"/>
        <v>0</v>
      </c>
      <c r="G255" s="402">
        <f t="shared" si="61"/>
        <v>0</v>
      </c>
      <c r="H255" s="402"/>
      <c r="I255" s="402"/>
      <c r="J255" s="402"/>
      <c r="K255" s="402"/>
      <c r="L255" s="402"/>
      <c r="M255" s="402">
        <f t="shared" si="62"/>
        <v>0</v>
      </c>
      <c r="N255" s="402"/>
      <c r="O255" s="402"/>
      <c r="P255" s="402"/>
      <c r="Q255" s="402">
        <f t="shared" si="63"/>
        <v>50.02</v>
      </c>
      <c r="R255" s="402">
        <f t="shared" si="64"/>
        <v>42.85</v>
      </c>
      <c r="S255" s="402">
        <v>30.84</v>
      </c>
      <c r="T255" s="402">
        <v>0.06</v>
      </c>
      <c r="U255" s="402">
        <v>11.95</v>
      </c>
      <c r="V255" s="402"/>
      <c r="W255" s="402"/>
      <c r="X255" s="402"/>
      <c r="Y255" s="402">
        <f t="shared" si="65"/>
        <v>7.17</v>
      </c>
      <c r="Z255" s="402">
        <v>7.17</v>
      </c>
      <c r="AA255" s="402"/>
      <c r="AB255" s="402"/>
      <c r="AC255" s="402"/>
      <c r="AD255" s="402"/>
      <c r="AE255" s="402"/>
      <c r="AF255" s="402">
        <f t="shared" si="66"/>
        <v>18.42</v>
      </c>
      <c r="AG255" s="402">
        <v>6.85</v>
      </c>
      <c r="AH255" s="402">
        <v>3.43</v>
      </c>
      <c r="AI255" s="402">
        <v>2.57</v>
      </c>
      <c r="AJ255" s="402">
        <v>0.17</v>
      </c>
      <c r="AK255" s="402">
        <v>0.26</v>
      </c>
      <c r="AL255" s="402">
        <v>5.14</v>
      </c>
      <c r="AM255" s="402"/>
      <c r="AN255" s="350"/>
      <c r="AO255" s="205">
        <f t="shared" si="67"/>
        <v>0</v>
      </c>
      <c r="AP255">
        <v>4</v>
      </c>
    </row>
    <row r="256" ht="36" hidden="1" spans="1:42">
      <c r="A256" s="284" t="s">
        <v>195</v>
      </c>
      <c r="B256" s="284" t="s">
        <v>199</v>
      </c>
      <c r="C256" s="284" t="s">
        <v>504</v>
      </c>
      <c r="D256" s="284" t="s">
        <v>505</v>
      </c>
      <c r="E256" s="402">
        <f t="shared" si="59"/>
        <v>344.71</v>
      </c>
      <c r="F256" s="402">
        <f t="shared" si="60"/>
        <v>0</v>
      </c>
      <c r="G256" s="402">
        <f t="shared" si="61"/>
        <v>0</v>
      </c>
      <c r="H256" s="402"/>
      <c r="I256" s="402"/>
      <c r="J256" s="402"/>
      <c r="K256" s="402"/>
      <c r="L256" s="402"/>
      <c r="M256" s="402">
        <f t="shared" si="62"/>
        <v>0</v>
      </c>
      <c r="N256" s="402"/>
      <c r="O256" s="402"/>
      <c r="P256" s="402"/>
      <c r="Q256" s="402">
        <f t="shared" si="63"/>
        <v>246.87</v>
      </c>
      <c r="R256" s="402">
        <f t="shared" si="64"/>
        <v>246.87</v>
      </c>
      <c r="S256" s="402">
        <v>156.85</v>
      </c>
      <c r="T256" s="402">
        <v>45.18</v>
      </c>
      <c r="U256" s="402">
        <v>44.84</v>
      </c>
      <c r="V256" s="402"/>
      <c r="W256" s="402"/>
      <c r="X256" s="402"/>
      <c r="Y256" s="402">
        <f t="shared" si="65"/>
        <v>0</v>
      </c>
      <c r="Z256" s="402"/>
      <c r="AA256" s="402"/>
      <c r="AB256" s="402"/>
      <c r="AC256" s="402"/>
      <c r="AD256" s="402"/>
      <c r="AE256" s="402"/>
      <c r="AF256" s="402">
        <f t="shared" si="66"/>
        <v>97.84</v>
      </c>
      <c r="AG256" s="402">
        <v>36.57</v>
      </c>
      <c r="AH256" s="402">
        <v>18.29</v>
      </c>
      <c r="AI256" s="402">
        <v>13.72</v>
      </c>
      <c r="AJ256" s="402">
        <v>0.46</v>
      </c>
      <c r="AK256" s="402">
        <v>1.37</v>
      </c>
      <c r="AL256" s="402">
        <v>27.43</v>
      </c>
      <c r="AM256" s="402"/>
      <c r="AN256" s="350"/>
      <c r="AO256" s="205">
        <f t="shared" si="67"/>
        <v>0</v>
      </c>
      <c r="AP256">
        <v>19.6</v>
      </c>
    </row>
    <row r="257" ht="36" hidden="1" spans="1:42">
      <c r="A257" s="284" t="s">
        <v>195</v>
      </c>
      <c r="B257" s="284" t="s">
        <v>199</v>
      </c>
      <c r="C257" s="284" t="s">
        <v>506</v>
      </c>
      <c r="D257" s="284" t="s">
        <v>505</v>
      </c>
      <c r="E257" s="402">
        <f t="shared" si="59"/>
        <v>367.95</v>
      </c>
      <c r="F257" s="402">
        <f t="shared" si="60"/>
        <v>0</v>
      </c>
      <c r="G257" s="402">
        <f t="shared" si="61"/>
        <v>0</v>
      </c>
      <c r="H257" s="402"/>
      <c r="I257" s="402"/>
      <c r="J257" s="402"/>
      <c r="K257" s="402"/>
      <c r="L257" s="402"/>
      <c r="M257" s="402">
        <f t="shared" si="62"/>
        <v>0</v>
      </c>
      <c r="N257" s="402"/>
      <c r="O257" s="402"/>
      <c r="P257" s="402"/>
      <c r="Q257" s="402">
        <f t="shared" si="63"/>
        <v>263.32</v>
      </c>
      <c r="R257" s="402">
        <f t="shared" si="64"/>
        <v>263.32</v>
      </c>
      <c r="S257" s="402">
        <v>170.03</v>
      </c>
      <c r="T257" s="402">
        <v>46.78</v>
      </c>
      <c r="U257" s="402">
        <v>46.51</v>
      </c>
      <c r="V257" s="402"/>
      <c r="W257" s="402"/>
      <c r="X257" s="402"/>
      <c r="Y257" s="402">
        <f t="shared" si="65"/>
        <v>0</v>
      </c>
      <c r="Z257" s="402"/>
      <c r="AA257" s="402"/>
      <c r="AB257" s="402"/>
      <c r="AC257" s="402"/>
      <c r="AD257" s="402"/>
      <c r="AE257" s="402"/>
      <c r="AF257" s="402">
        <f t="shared" si="66"/>
        <v>104.63</v>
      </c>
      <c r="AG257" s="402">
        <v>39.11</v>
      </c>
      <c r="AH257" s="402">
        <v>19.56</v>
      </c>
      <c r="AI257" s="402">
        <v>14.67</v>
      </c>
      <c r="AJ257" s="402">
        <v>0.49</v>
      </c>
      <c r="AK257" s="402">
        <v>1.47</v>
      </c>
      <c r="AL257" s="402">
        <v>29.33</v>
      </c>
      <c r="AM257" s="402"/>
      <c r="AN257" s="350"/>
      <c r="AO257" s="205">
        <f t="shared" si="67"/>
        <v>0</v>
      </c>
      <c r="AP257">
        <v>13.4</v>
      </c>
    </row>
    <row r="258" ht="24" hidden="1" spans="1:42">
      <c r="A258" s="284" t="s">
        <v>195</v>
      </c>
      <c r="B258" s="284" t="s">
        <v>196</v>
      </c>
      <c r="C258" s="284" t="s">
        <v>507</v>
      </c>
      <c r="D258" s="284" t="s">
        <v>508</v>
      </c>
      <c r="E258" s="402">
        <f t="shared" si="59"/>
        <v>276.3</v>
      </c>
      <c r="F258" s="402">
        <f t="shared" si="60"/>
        <v>129.54</v>
      </c>
      <c r="G258" s="402">
        <f t="shared" si="61"/>
        <v>25.54</v>
      </c>
      <c r="H258" s="402">
        <v>14.7</v>
      </c>
      <c r="I258" s="402">
        <v>9.61</v>
      </c>
      <c r="J258" s="402">
        <v>1.23</v>
      </c>
      <c r="K258" s="402"/>
      <c r="L258" s="402"/>
      <c r="M258" s="402">
        <f t="shared" si="62"/>
        <v>104</v>
      </c>
      <c r="N258" s="402"/>
      <c r="O258" s="402"/>
      <c r="P258" s="404">
        <v>104</v>
      </c>
      <c r="Q258" s="402">
        <f t="shared" si="63"/>
        <v>94.53</v>
      </c>
      <c r="R258" s="402">
        <f t="shared" si="64"/>
        <v>83.6</v>
      </c>
      <c r="S258" s="402">
        <v>61.74</v>
      </c>
      <c r="T258" s="402"/>
      <c r="U258" s="402">
        <v>21.86</v>
      </c>
      <c r="V258" s="402"/>
      <c r="W258" s="402"/>
      <c r="X258" s="402"/>
      <c r="Y258" s="402">
        <f t="shared" si="65"/>
        <v>10.93</v>
      </c>
      <c r="Z258" s="404">
        <v>10.93</v>
      </c>
      <c r="AA258" s="402"/>
      <c r="AB258" s="402"/>
      <c r="AC258" s="402"/>
      <c r="AD258" s="402"/>
      <c r="AE258" s="402"/>
      <c r="AF258" s="402">
        <f t="shared" si="66"/>
        <v>52.23</v>
      </c>
      <c r="AG258" s="402">
        <v>19.56</v>
      </c>
      <c r="AH258" s="402">
        <v>9.68</v>
      </c>
      <c r="AI258" s="402">
        <v>7.26</v>
      </c>
      <c r="AJ258" s="402">
        <v>0.48</v>
      </c>
      <c r="AK258" s="402">
        <v>0.73</v>
      </c>
      <c r="AL258" s="402">
        <v>14.52</v>
      </c>
      <c r="AM258" s="402"/>
      <c r="AN258" s="350"/>
      <c r="AO258" s="205">
        <f t="shared" si="67"/>
        <v>104</v>
      </c>
      <c r="AP258">
        <v>12.6216</v>
      </c>
    </row>
    <row r="259" ht="36" hidden="1" spans="1:42">
      <c r="A259" s="284" t="s">
        <v>195</v>
      </c>
      <c r="B259" s="284" t="s">
        <v>199</v>
      </c>
      <c r="C259" s="284" t="s">
        <v>509</v>
      </c>
      <c r="D259" s="284" t="s">
        <v>510</v>
      </c>
      <c r="E259" s="402">
        <f t="shared" si="59"/>
        <v>137.34</v>
      </c>
      <c r="F259" s="402">
        <f t="shared" si="60"/>
        <v>0</v>
      </c>
      <c r="G259" s="402">
        <f t="shared" si="61"/>
        <v>0</v>
      </c>
      <c r="H259" s="402"/>
      <c r="I259" s="402"/>
      <c r="J259" s="402"/>
      <c r="K259" s="402"/>
      <c r="L259" s="402"/>
      <c r="M259" s="402">
        <f t="shared" si="62"/>
        <v>0</v>
      </c>
      <c r="N259" s="402"/>
      <c r="O259" s="402"/>
      <c r="P259" s="402"/>
      <c r="Q259" s="402">
        <f t="shared" si="63"/>
        <v>114.01</v>
      </c>
      <c r="R259" s="402">
        <f t="shared" si="64"/>
        <v>45.92</v>
      </c>
      <c r="S259" s="402">
        <v>31.6</v>
      </c>
      <c r="T259" s="402"/>
      <c r="U259" s="402">
        <v>14.32</v>
      </c>
      <c r="V259" s="402"/>
      <c r="W259" s="402"/>
      <c r="X259" s="402"/>
      <c r="Y259" s="402">
        <f t="shared" si="65"/>
        <v>68.09</v>
      </c>
      <c r="Z259" s="402">
        <v>8.59</v>
      </c>
      <c r="AA259" s="402"/>
      <c r="AB259" s="402"/>
      <c r="AC259" s="402"/>
      <c r="AD259" s="402"/>
      <c r="AE259" s="404">
        <v>59.5</v>
      </c>
      <c r="AF259" s="402">
        <f t="shared" si="66"/>
        <v>23.33</v>
      </c>
      <c r="AG259" s="402">
        <v>8.72</v>
      </c>
      <c r="AH259" s="402">
        <v>4.36</v>
      </c>
      <c r="AI259" s="402">
        <v>3.27</v>
      </c>
      <c r="AJ259" s="402">
        <v>0.11</v>
      </c>
      <c r="AK259" s="402">
        <v>0.33</v>
      </c>
      <c r="AL259" s="402">
        <v>6.54</v>
      </c>
      <c r="AM259" s="402"/>
      <c r="AN259" s="350"/>
      <c r="AO259" s="205">
        <f t="shared" si="67"/>
        <v>59.5</v>
      </c>
      <c r="AP259">
        <v>5</v>
      </c>
    </row>
    <row r="260" s="311" customFormat="1" ht="21" customHeight="1" spans="1:44">
      <c r="A260" s="328"/>
      <c r="B260" s="328"/>
      <c r="C260" s="328" t="s">
        <v>135</v>
      </c>
      <c r="D260" s="329">
        <v>206</v>
      </c>
      <c r="E260" s="401">
        <f t="shared" ref="E260:P260" si="68">SUM(E261:E262)</f>
        <v>103.66</v>
      </c>
      <c r="F260" s="401">
        <f t="shared" si="68"/>
        <v>52.52</v>
      </c>
      <c r="G260" s="401">
        <f t="shared" si="68"/>
        <v>52.12</v>
      </c>
      <c r="H260" s="401">
        <f t="shared" si="68"/>
        <v>29.15</v>
      </c>
      <c r="I260" s="401">
        <f t="shared" si="68"/>
        <v>20.54</v>
      </c>
      <c r="J260" s="401">
        <f t="shared" si="68"/>
        <v>2.43</v>
      </c>
      <c r="K260" s="401">
        <f t="shared" si="68"/>
        <v>0</v>
      </c>
      <c r="L260" s="401">
        <f t="shared" si="68"/>
        <v>0</v>
      </c>
      <c r="M260" s="401">
        <f t="shared" si="68"/>
        <v>0.4</v>
      </c>
      <c r="N260" s="401">
        <f t="shared" si="68"/>
        <v>0</v>
      </c>
      <c r="O260" s="401">
        <f t="shared" si="68"/>
        <v>0.4</v>
      </c>
      <c r="P260" s="401">
        <f t="shared" si="68"/>
        <v>0</v>
      </c>
      <c r="Q260" s="401">
        <f t="shared" ref="Q260:AE260" si="69">SUM(Q261:Q262)</f>
        <v>27.06</v>
      </c>
      <c r="R260" s="401">
        <f t="shared" si="69"/>
        <v>4.83</v>
      </c>
      <c r="S260" s="401">
        <f t="shared" si="69"/>
        <v>3.38</v>
      </c>
      <c r="T260" s="401">
        <f t="shared" si="69"/>
        <v>0</v>
      </c>
      <c r="U260" s="401">
        <f t="shared" si="69"/>
        <v>1.45</v>
      </c>
      <c r="V260" s="401">
        <f t="shared" si="69"/>
        <v>0</v>
      </c>
      <c r="W260" s="401">
        <f t="shared" si="69"/>
        <v>0</v>
      </c>
      <c r="X260" s="401">
        <f t="shared" si="69"/>
        <v>0</v>
      </c>
      <c r="Y260" s="401">
        <f t="shared" si="69"/>
        <v>22.23</v>
      </c>
      <c r="Z260" s="401">
        <f t="shared" si="69"/>
        <v>0.87</v>
      </c>
      <c r="AA260" s="401">
        <f t="shared" si="69"/>
        <v>0</v>
      </c>
      <c r="AB260" s="401">
        <f t="shared" si="69"/>
        <v>14.86</v>
      </c>
      <c r="AC260" s="401">
        <f t="shared" si="69"/>
        <v>0</v>
      </c>
      <c r="AD260" s="401">
        <f t="shared" si="69"/>
        <v>0</v>
      </c>
      <c r="AE260" s="401">
        <f t="shared" si="69"/>
        <v>6.5</v>
      </c>
      <c r="AF260" s="401">
        <f t="shared" ref="AF260:AM260" si="70">SUM(AF261:AF262)</f>
        <v>24.08</v>
      </c>
      <c r="AG260" s="401">
        <f t="shared" si="70"/>
        <v>9.25</v>
      </c>
      <c r="AH260" s="401">
        <f t="shared" si="70"/>
        <v>4.43</v>
      </c>
      <c r="AI260" s="401">
        <f t="shared" si="70"/>
        <v>3.32</v>
      </c>
      <c r="AJ260" s="401">
        <f t="shared" si="70"/>
        <v>0.11</v>
      </c>
      <c r="AK260" s="401">
        <f t="shared" si="70"/>
        <v>0.33</v>
      </c>
      <c r="AL260" s="401">
        <f t="shared" si="70"/>
        <v>6.64</v>
      </c>
      <c r="AM260" s="401">
        <f t="shared" si="70"/>
        <v>0</v>
      </c>
      <c r="AN260" s="362"/>
      <c r="AO260" s="407">
        <f t="shared" si="67"/>
        <v>6.5</v>
      </c>
      <c r="AP260" s="373"/>
      <c r="AR260"/>
    </row>
    <row r="261" ht="24" hidden="1" spans="1:42">
      <c r="A261" s="284" t="s">
        <v>195</v>
      </c>
      <c r="B261" s="284" t="s">
        <v>196</v>
      </c>
      <c r="C261" s="284" t="s">
        <v>511</v>
      </c>
      <c r="D261" s="284" t="s">
        <v>512</v>
      </c>
      <c r="E261" s="402">
        <f>F261+Q261+AF261</f>
        <v>74.17</v>
      </c>
      <c r="F261" s="402">
        <f>G261+M261</f>
        <v>52.52</v>
      </c>
      <c r="G261" s="402">
        <f>SUM(H261:L261)</f>
        <v>52.12</v>
      </c>
      <c r="H261" s="402">
        <v>29.15</v>
      </c>
      <c r="I261" s="402">
        <v>20.54</v>
      </c>
      <c r="J261" s="402">
        <v>2.43</v>
      </c>
      <c r="K261" s="402"/>
      <c r="L261" s="402"/>
      <c r="M261" s="402">
        <f>SUM(N261:P261)</f>
        <v>0.4</v>
      </c>
      <c r="N261" s="402"/>
      <c r="O261" s="410">
        <v>0.4</v>
      </c>
      <c r="P261" s="402"/>
      <c r="Q261" s="402">
        <f>R261+Y261</f>
        <v>0</v>
      </c>
      <c r="R261" s="402">
        <f>SUM(S261:X261)</f>
        <v>0</v>
      </c>
      <c r="S261" s="402"/>
      <c r="T261" s="402"/>
      <c r="U261" s="402"/>
      <c r="V261" s="402"/>
      <c r="W261" s="402"/>
      <c r="X261" s="402"/>
      <c r="Y261" s="402">
        <f>SUM(Z261:AE261)</f>
        <v>0</v>
      </c>
      <c r="Z261" s="402"/>
      <c r="AA261" s="402"/>
      <c r="AB261" s="402"/>
      <c r="AC261" s="402"/>
      <c r="AD261" s="410"/>
      <c r="AE261" s="402"/>
      <c r="AF261" s="402">
        <f>SUM(AG261:AM261)</f>
        <v>21.65</v>
      </c>
      <c r="AG261" s="402">
        <v>8.34</v>
      </c>
      <c r="AH261" s="402">
        <v>3.97</v>
      </c>
      <c r="AI261" s="402">
        <v>2.98</v>
      </c>
      <c r="AJ261" s="402">
        <v>0.1</v>
      </c>
      <c r="AK261" s="402">
        <v>0.3</v>
      </c>
      <c r="AL261" s="402">
        <v>5.96</v>
      </c>
      <c r="AM261" s="402"/>
      <c r="AN261" s="350"/>
      <c r="AO261" s="205">
        <f t="shared" si="67"/>
        <v>0</v>
      </c>
      <c r="AP261">
        <v>6.1568</v>
      </c>
    </row>
    <row r="262" ht="24" hidden="1" spans="1:42">
      <c r="A262" s="284" t="s">
        <v>195</v>
      </c>
      <c r="B262" s="284" t="s">
        <v>199</v>
      </c>
      <c r="C262" s="284" t="s">
        <v>513</v>
      </c>
      <c r="D262" s="284" t="s">
        <v>512</v>
      </c>
      <c r="E262" s="402">
        <f>F262+Q262+AF262</f>
        <v>29.49</v>
      </c>
      <c r="F262" s="402">
        <f>G262+M262</f>
        <v>0</v>
      </c>
      <c r="G262" s="402">
        <f>SUM(H262:L262)</f>
        <v>0</v>
      </c>
      <c r="H262" s="402"/>
      <c r="I262" s="402"/>
      <c r="J262" s="402"/>
      <c r="K262" s="402"/>
      <c r="L262" s="402"/>
      <c r="M262" s="402">
        <f>SUM(N262:P262)</f>
        <v>0</v>
      </c>
      <c r="N262" s="402"/>
      <c r="O262" s="402"/>
      <c r="P262" s="402"/>
      <c r="Q262" s="402">
        <f>R262+Y262</f>
        <v>27.06</v>
      </c>
      <c r="R262" s="402">
        <f>SUM(S262:X262)</f>
        <v>4.83</v>
      </c>
      <c r="S262" s="402">
        <v>3.38</v>
      </c>
      <c r="T262" s="402"/>
      <c r="U262" s="402">
        <v>1.45</v>
      </c>
      <c r="V262" s="402"/>
      <c r="W262" s="402"/>
      <c r="X262" s="402"/>
      <c r="Y262" s="402">
        <f>SUM(Z262:AE262)</f>
        <v>22.23</v>
      </c>
      <c r="Z262" s="402">
        <v>0.87</v>
      </c>
      <c r="AA262" s="402"/>
      <c r="AB262" s="402">
        <v>14.86</v>
      </c>
      <c r="AC262" s="402"/>
      <c r="AD262" s="402"/>
      <c r="AE262" s="402">
        <v>6.5</v>
      </c>
      <c r="AF262" s="402">
        <f>SUM(AG262:AM262)</f>
        <v>2.43</v>
      </c>
      <c r="AG262" s="402">
        <v>0.91</v>
      </c>
      <c r="AH262" s="402">
        <v>0.46</v>
      </c>
      <c r="AI262" s="402">
        <v>0.34</v>
      </c>
      <c r="AJ262" s="402">
        <v>0.01</v>
      </c>
      <c r="AK262" s="402">
        <v>0.03</v>
      </c>
      <c r="AL262" s="402">
        <v>0.68</v>
      </c>
      <c r="AM262" s="402"/>
      <c r="AN262" s="350"/>
      <c r="AO262" s="205">
        <f t="shared" si="67"/>
        <v>6.5</v>
      </c>
      <c r="AP262">
        <v>0.5</v>
      </c>
    </row>
    <row r="263" s="311" customFormat="1" ht="21" customHeight="1" spans="1:44">
      <c r="A263" s="328"/>
      <c r="B263" s="328"/>
      <c r="C263" s="328" t="s">
        <v>136</v>
      </c>
      <c r="D263" s="329">
        <v>207</v>
      </c>
      <c r="E263" s="401">
        <f t="shared" ref="E263:P263" si="71">SUM(E264:E277)</f>
        <v>1943.026928</v>
      </c>
      <c r="F263" s="401">
        <f t="shared" si="71"/>
        <v>307.5</v>
      </c>
      <c r="G263" s="401">
        <f t="shared" si="71"/>
        <v>101.55</v>
      </c>
      <c r="H263" s="401">
        <f t="shared" si="71"/>
        <v>55.86</v>
      </c>
      <c r="I263" s="401">
        <f t="shared" si="71"/>
        <v>41.04</v>
      </c>
      <c r="J263" s="401">
        <f t="shared" si="71"/>
        <v>4.65</v>
      </c>
      <c r="K263" s="401">
        <f t="shared" si="71"/>
        <v>0</v>
      </c>
      <c r="L263" s="401">
        <f t="shared" si="71"/>
        <v>0</v>
      </c>
      <c r="M263" s="401">
        <f t="shared" si="71"/>
        <v>205.95</v>
      </c>
      <c r="N263" s="401">
        <f t="shared" si="71"/>
        <v>56.95</v>
      </c>
      <c r="O263" s="401">
        <f t="shared" si="71"/>
        <v>0</v>
      </c>
      <c r="P263" s="401">
        <f t="shared" si="71"/>
        <v>149</v>
      </c>
      <c r="Q263" s="401">
        <f t="shared" ref="Q263:AE263" si="72">SUM(Q264:Q277)</f>
        <v>1342.246928</v>
      </c>
      <c r="R263" s="401">
        <f t="shared" si="72"/>
        <v>499.51</v>
      </c>
      <c r="S263" s="401">
        <f t="shared" si="72"/>
        <v>360.83</v>
      </c>
      <c r="T263" s="401">
        <f t="shared" si="72"/>
        <v>0.09</v>
      </c>
      <c r="U263" s="401">
        <f t="shared" si="72"/>
        <v>138.59</v>
      </c>
      <c r="V263" s="401">
        <f t="shared" si="72"/>
        <v>0</v>
      </c>
      <c r="W263" s="401">
        <f t="shared" si="72"/>
        <v>0</v>
      </c>
      <c r="X263" s="401">
        <f t="shared" si="72"/>
        <v>0</v>
      </c>
      <c r="Y263" s="401">
        <f t="shared" si="72"/>
        <v>842.736928</v>
      </c>
      <c r="Z263" s="401">
        <f t="shared" si="72"/>
        <v>82.2</v>
      </c>
      <c r="AA263" s="401">
        <f t="shared" si="72"/>
        <v>220.108</v>
      </c>
      <c r="AB263" s="401">
        <f t="shared" si="72"/>
        <v>32.168928</v>
      </c>
      <c r="AC263" s="401">
        <f t="shared" si="72"/>
        <v>0</v>
      </c>
      <c r="AD263" s="401">
        <f t="shared" si="72"/>
        <v>14.26</v>
      </c>
      <c r="AE263" s="401">
        <f t="shared" si="72"/>
        <v>494</v>
      </c>
      <c r="AF263" s="401">
        <f t="shared" ref="AF263:AM263" si="73">SUM(AF264:AF277)</f>
        <v>293.28</v>
      </c>
      <c r="AG263" s="401">
        <f t="shared" si="73"/>
        <v>109.54</v>
      </c>
      <c r="AH263" s="401">
        <f t="shared" si="73"/>
        <v>54.4</v>
      </c>
      <c r="AI263" s="401">
        <f t="shared" si="73"/>
        <v>40.78</v>
      </c>
      <c r="AJ263" s="401">
        <f t="shared" si="73"/>
        <v>2.34</v>
      </c>
      <c r="AK263" s="401">
        <f t="shared" si="73"/>
        <v>4.09</v>
      </c>
      <c r="AL263" s="401">
        <f t="shared" si="73"/>
        <v>81.6</v>
      </c>
      <c r="AM263" s="401">
        <f t="shared" si="73"/>
        <v>0.53</v>
      </c>
      <c r="AN263" s="362"/>
      <c r="AO263" s="407">
        <f t="shared" si="67"/>
        <v>643</v>
      </c>
      <c r="AP263" s="373"/>
      <c r="AR263"/>
    </row>
    <row r="264" ht="24" hidden="1" spans="1:42">
      <c r="A264" s="284" t="s">
        <v>195</v>
      </c>
      <c r="B264" s="284" t="s">
        <v>196</v>
      </c>
      <c r="C264" s="284" t="s">
        <v>514</v>
      </c>
      <c r="D264" s="284" t="s">
        <v>515</v>
      </c>
      <c r="E264" s="402">
        <f t="shared" ref="E264:E277" si="74">F264+Q264+AF264</f>
        <v>220.35</v>
      </c>
      <c r="F264" s="402">
        <f t="shared" ref="F264:F277" si="75">G264+M264</f>
        <v>198.55</v>
      </c>
      <c r="G264" s="402">
        <f t="shared" ref="G264:G277" si="76">SUM(H264:L264)</f>
        <v>52.22</v>
      </c>
      <c r="H264" s="402">
        <v>29.56</v>
      </c>
      <c r="I264" s="402">
        <v>20.2</v>
      </c>
      <c r="J264" s="402">
        <v>2.46</v>
      </c>
      <c r="K264" s="402"/>
      <c r="L264" s="402"/>
      <c r="M264" s="402">
        <f t="shared" ref="M264:M277" si="77">SUM(N264:P264)</f>
        <v>146.33</v>
      </c>
      <c r="N264" s="402">
        <v>17.33</v>
      </c>
      <c r="O264" s="402"/>
      <c r="P264" s="404">
        <v>129</v>
      </c>
      <c r="Q264" s="402">
        <f t="shared" ref="Q264:Q277" si="78">R264+Y264</f>
        <v>0</v>
      </c>
      <c r="R264" s="402">
        <f t="shared" ref="R264:R277" si="79">SUM(S264:X264)</f>
        <v>0</v>
      </c>
      <c r="S264" s="402"/>
      <c r="T264" s="402"/>
      <c r="U264" s="402"/>
      <c r="V264" s="402"/>
      <c r="W264" s="402"/>
      <c r="X264" s="402"/>
      <c r="Y264" s="402">
        <f t="shared" ref="Y264:Y277" si="80">SUM(Z264:AE264)</f>
        <v>0</v>
      </c>
      <c r="Z264" s="402"/>
      <c r="AA264" s="402"/>
      <c r="AB264" s="402"/>
      <c r="AC264" s="402"/>
      <c r="AD264" s="402"/>
      <c r="AE264" s="402"/>
      <c r="AF264" s="402">
        <f t="shared" ref="AF264:AF277" si="81">SUM(AG264:AM264)</f>
        <v>21.8</v>
      </c>
      <c r="AG264" s="402">
        <v>8.36</v>
      </c>
      <c r="AH264" s="402">
        <v>3.98</v>
      </c>
      <c r="AI264" s="402">
        <v>2.99</v>
      </c>
      <c r="AJ264" s="402">
        <v>0.2</v>
      </c>
      <c r="AK264" s="402">
        <v>0.3</v>
      </c>
      <c r="AL264" s="402">
        <v>5.97</v>
      </c>
      <c r="AM264" s="402"/>
      <c r="AN264" s="350"/>
      <c r="AO264" s="205">
        <f t="shared" si="67"/>
        <v>129</v>
      </c>
      <c r="AP264">
        <v>15.642</v>
      </c>
    </row>
    <row r="265" ht="24" hidden="1" spans="1:42">
      <c r="A265" s="284" t="s">
        <v>195</v>
      </c>
      <c r="B265" s="284" t="s">
        <v>199</v>
      </c>
      <c r="C265" s="284" t="s">
        <v>516</v>
      </c>
      <c r="D265" s="284" t="s">
        <v>517</v>
      </c>
      <c r="E265" s="402">
        <f t="shared" si="74"/>
        <v>99.68</v>
      </c>
      <c r="F265" s="402">
        <f t="shared" si="75"/>
        <v>0</v>
      </c>
      <c r="G265" s="402">
        <f t="shared" si="76"/>
        <v>0</v>
      </c>
      <c r="H265" s="402"/>
      <c r="I265" s="402"/>
      <c r="J265" s="402"/>
      <c r="K265" s="402"/>
      <c r="L265" s="402"/>
      <c r="M265" s="402">
        <f t="shared" si="77"/>
        <v>0</v>
      </c>
      <c r="N265" s="402"/>
      <c r="O265" s="402"/>
      <c r="P265" s="402"/>
      <c r="Q265" s="402">
        <f t="shared" si="78"/>
        <v>80.98</v>
      </c>
      <c r="R265" s="402">
        <f t="shared" si="79"/>
        <v>37.48</v>
      </c>
      <c r="S265" s="402">
        <v>27.44</v>
      </c>
      <c r="T265" s="402"/>
      <c r="U265" s="402">
        <v>10.04</v>
      </c>
      <c r="V265" s="402"/>
      <c r="W265" s="402"/>
      <c r="X265" s="402"/>
      <c r="Y265" s="402">
        <f t="shared" si="80"/>
        <v>43.5</v>
      </c>
      <c r="Z265" s="402">
        <v>6.02</v>
      </c>
      <c r="AA265" s="402"/>
      <c r="AB265" s="402">
        <v>2.48</v>
      </c>
      <c r="AC265" s="402"/>
      <c r="AD265" s="402"/>
      <c r="AE265" s="402">
        <v>35</v>
      </c>
      <c r="AF265" s="402">
        <f t="shared" si="81"/>
        <v>18.7</v>
      </c>
      <c r="AG265" s="402">
        <v>6.96</v>
      </c>
      <c r="AH265" s="402">
        <v>3.48</v>
      </c>
      <c r="AI265" s="402">
        <v>2.61</v>
      </c>
      <c r="AJ265" s="402">
        <v>0.17</v>
      </c>
      <c r="AK265" s="402">
        <v>0.26</v>
      </c>
      <c r="AL265" s="402">
        <v>5.22</v>
      </c>
      <c r="AM265" s="402"/>
      <c r="AN265" s="350"/>
      <c r="AO265" s="205">
        <f t="shared" si="67"/>
        <v>35</v>
      </c>
      <c r="AP265">
        <v>4.665</v>
      </c>
    </row>
    <row r="266" ht="36" hidden="1" spans="1:42">
      <c r="A266" s="284" t="s">
        <v>195</v>
      </c>
      <c r="B266" s="284" t="s">
        <v>518</v>
      </c>
      <c r="C266" s="284" t="s">
        <v>519</v>
      </c>
      <c r="D266" s="284" t="s">
        <v>520</v>
      </c>
      <c r="E266" s="402">
        <f t="shared" si="74"/>
        <v>270.108</v>
      </c>
      <c r="F266" s="402">
        <f t="shared" si="75"/>
        <v>0</v>
      </c>
      <c r="G266" s="402">
        <f t="shared" si="76"/>
        <v>0</v>
      </c>
      <c r="H266" s="402"/>
      <c r="I266" s="402"/>
      <c r="J266" s="402"/>
      <c r="K266" s="402"/>
      <c r="L266" s="402"/>
      <c r="M266" s="402">
        <f t="shared" si="77"/>
        <v>0</v>
      </c>
      <c r="N266" s="402"/>
      <c r="O266" s="402"/>
      <c r="P266" s="402"/>
      <c r="Q266" s="402">
        <f t="shared" si="78"/>
        <v>270.108</v>
      </c>
      <c r="R266" s="402">
        <f t="shared" si="79"/>
        <v>0</v>
      </c>
      <c r="S266" s="402"/>
      <c r="T266" s="402"/>
      <c r="U266" s="402"/>
      <c r="V266" s="402"/>
      <c r="W266" s="402"/>
      <c r="X266" s="402"/>
      <c r="Y266" s="402">
        <f t="shared" si="80"/>
        <v>270.108</v>
      </c>
      <c r="Z266" s="402"/>
      <c r="AA266" s="402">
        <v>220.108</v>
      </c>
      <c r="AB266" s="402"/>
      <c r="AC266" s="402"/>
      <c r="AD266" s="402"/>
      <c r="AE266" s="402">
        <v>50</v>
      </c>
      <c r="AF266" s="402">
        <f t="shared" si="81"/>
        <v>0</v>
      </c>
      <c r="AG266" s="402"/>
      <c r="AH266" s="402"/>
      <c r="AI266" s="402"/>
      <c r="AJ266" s="402"/>
      <c r="AK266" s="402"/>
      <c r="AL266" s="402"/>
      <c r="AM266" s="402"/>
      <c r="AN266" s="350"/>
      <c r="AO266" s="205">
        <f t="shared" ref="AO266:AO329" si="82">P266+AE266</f>
        <v>50</v>
      </c>
      <c r="AP266">
        <v>10.79</v>
      </c>
    </row>
    <row r="267" ht="24" hidden="1" spans="1:42">
      <c r="A267" s="284" t="s">
        <v>195</v>
      </c>
      <c r="B267" s="284" t="s">
        <v>199</v>
      </c>
      <c r="C267" s="284" t="s">
        <v>521</v>
      </c>
      <c r="D267" s="284" t="s">
        <v>522</v>
      </c>
      <c r="E267" s="402">
        <f t="shared" si="74"/>
        <v>85.32</v>
      </c>
      <c r="F267" s="402">
        <f t="shared" si="75"/>
        <v>0</v>
      </c>
      <c r="G267" s="402">
        <f t="shared" si="76"/>
        <v>0</v>
      </c>
      <c r="H267" s="402"/>
      <c r="I267" s="402"/>
      <c r="J267" s="402"/>
      <c r="K267" s="402"/>
      <c r="L267" s="402"/>
      <c r="M267" s="402">
        <f t="shared" si="77"/>
        <v>0</v>
      </c>
      <c r="N267" s="402"/>
      <c r="O267" s="402"/>
      <c r="P267" s="402"/>
      <c r="Q267" s="402">
        <f t="shared" si="78"/>
        <v>68.69</v>
      </c>
      <c r="R267" s="402">
        <f t="shared" si="79"/>
        <v>33.25</v>
      </c>
      <c r="S267" s="402">
        <v>24.19</v>
      </c>
      <c r="T267" s="402"/>
      <c r="U267" s="402">
        <v>9.06</v>
      </c>
      <c r="V267" s="402"/>
      <c r="W267" s="402"/>
      <c r="X267" s="402"/>
      <c r="Y267" s="402">
        <f t="shared" si="80"/>
        <v>35.44</v>
      </c>
      <c r="Z267" s="402">
        <v>5.44</v>
      </c>
      <c r="AA267" s="402"/>
      <c r="AB267" s="402"/>
      <c r="AC267" s="402"/>
      <c r="AD267" s="402"/>
      <c r="AE267" s="404">
        <v>30</v>
      </c>
      <c r="AF267" s="402">
        <f t="shared" si="81"/>
        <v>16.63</v>
      </c>
      <c r="AG267" s="402">
        <v>6.19</v>
      </c>
      <c r="AH267" s="402">
        <v>3.1</v>
      </c>
      <c r="AI267" s="402">
        <v>2.32</v>
      </c>
      <c r="AJ267" s="402">
        <v>0.15</v>
      </c>
      <c r="AK267" s="402">
        <v>0.23</v>
      </c>
      <c r="AL267" s="402">
        <v>4.64</v>
      </c>
      <c r="AM267" s="402"/>
      <c r="AN267" s="350"/>
      <c r="AO267" s="205">
        <f t="shared" si="82"/>
        <v>30</v>
      </c>
      <c r="AP267">
        <v>5.4117</v>
      </c>
    </row>
    <row r="268" ht="36" hidden="1" spans="1:42">
      <c r="A268" s="284" t="s">
        <v>195</v>
      </c>
      <c r="B268" s="284" t="s">
        <v>196</v>
      </c>
      <c r="C268" s="284" t="s">
        <v>523</v>
      </c>
      <c r="D268" s="284" t="s">
        <v>524</v>
      </c>
      <c r="E268" s="402">
        <f t="shared" si="74"/>
        <v>51.94</v>
      </c>
      <c r="F268" s="402">
        <f t="shared" si="75"/>
        <v>42.53</v>
      </c>
      <c r="G268" s="402">
        <f t="shared" si="76"/>
        <v>22.53</v>
      </c>
      <c r="H268" s="402">
        <v>12.25</v>
      </c>
      <c r="I268" s="402">
        <v>9.26</v>
      </c>
      <c r="J268" s="402">
        <v>1.02</v>
      </c>
      <c r="K268" s="402"/>
      <c r="L268" s="402"/>
      <c r="M268" s="402">
        <f t="shared" si="77"/>
        <v>20</v>
      </c>
      <c r="N268" s="402"/>
      <c r="O268" s="402"/>
      <c r="P268" s="402">
        <v>20</v>
      </c>
      <c r="Q268" s="402">
        <f t="shared" si="78"/>
        <v>0</v>
      </c>
      <c r="R268" s="402">
        <f t="shared" si="79"/>
        <v>0</v>
      </c>
      <c r="S268" s="402"/>
      <c r="T268" s="402"/>
      <c r="U268" s="402"/>
      <c r="V268" s="402"/>
      <c r="W268" s="402"/>
      <c r="X268" s="402"/>
      <c r="Y268" s="402">
        <f t="shared" si="80"/>
        <v>0</v>
      </c>
      <c r="Z268" s="402"/>
      <c r="AA268" s="402"/>
      <c r="AB268" s="402"/>
      <c r="AC268" s="402"/>
      <c r="AD268" s="402"/>
      <c r="AE268" s="404"/>
      <c r="AF268" s="402">
        <f t="shared" si="81"/>
        <v>9.41</v>
      </c>
      <c r="AG268" s="402">
        <v>3.6</v>
      </c>
      <c r="AH268" s="402">
        <v>1.72</v>
      </c>
      <c r="AI268" s="402">
        <v>1.29</v>
      </c>
      <c r="AJ268" s="402">
        <v>0.09</v>
      </c>
      <c r="AK268" s="402">
        <v>0.13</v>
      </c>
      <c r="AL268" s="402">
        <v>2.58</v>
      </c>
      <c r="AM268" s="402"/>
      <c r="AN268" s="350"/>
      <c r="AO268" s="205">
        <f t="shared" si="82"/>
        <v>20</v>
      </c>
      <c r="AP268">
        <v>2.1974</v>
      </c>
    </row>
    <row r="269" ht="36" hidden="1" spans="1:41">
      <c r="A269" s="284" t="s">
        <v>195</v>
      </c>
      <c r="B269" s="284" t="s">
        <v>199</v>
      </c>
      <c r="C269" s="284" t="s">
        <v>525</v>
      </c>
      <c r="D269" s="284" t="s">
        <v>526</v>
      </c>
      <c r="E269" s="402">
        <f t="shared" si="74"/>
        <v>52.32</v>
      </c>
      <c r="F269" s="402">
        <f t="shared" si="75"/>
        <v>0</v>
      </c>
      <c r="G269" s="402">
        <f t="shared" si="76"/>
        <v>0</v>
      </c>
      <c r="H269" s="402"/>
      <c r="I269" s="402"/>
      <c r="J269" s="402"/>
      <c r="K269" s="402"/>
      <c r="L269" s="402"/>
      <c r="M269" s="402">
        <f t="shared" si="77"/>
        <v>0</v>
      </c>
      <c r="N269" s="402"/>
      <c r="O269" s="402"/>
      <c r="P269" s="402"/>
      <c r="Q269" s="402">
        <f t="shared" si="78"/>
        <v>36.59</v>
      </c>
      <c r="R269" s="402">
        <f t="shared" si="79"/>
        <v>31.41</v>
      </c>
      <c r="S269" s="402">
        <v>22.78</v>
      </c>
      <c r="T269" s="402"/>
      <c r="U269" s="402">
        <v>8.63</v>
      </c>
      <c r="V269" s="402"/>
      <c r="W269" s="402"/>
      <c r="X269" s="402"/>
      <c r="Y269" s="402">
        <f t="shared" si="80"/>
        <v>5.18</v>
      </c>
      <c r="Z269" s="402">
        <v>5.18</v>
      </c>
      <c r="AA269" s="402"/>
      <c r="AB269" s="402"/>
      <c r="AC269" s="402"/>
      <c r="AD269" s="402"/>
      <c r="AE269" s="402"/>
      <c r="AF269" s="402">
        <f t="shared" si="81"/>
        <v>15.73</v>
      </c>
      <c r="AG269" s="402">
        <v>5.85</v>
      </c>
      <c r="AH269" s="402">
        <v>2.93</v>
      </c>
      <c r="AI269" s="402">
        <v>2.19</v>
      </c>
      <c r="AJ269" s="402">
        <v>0.15</v>
      </c>
      <c r="AK269" s="402">
        <v>0.22</v>
      </c>
      <c r="AL269" s="402">
        <v>4.39</v>
      </c>
      <c r="AM269" s="402"/>
      <c r="AN269" s="350"/>
      <c r="AO269" s="205">
        <f t="shared" si="82"/>
        <v>0</v>
      </c>
    </row>
    <row r="270" ht="36" hidden="1" spans="1:41">
      <c r="A270" s="284" t="s">
        <v>195</v>
      </c>
      <c r="B270" s="284" t="s">
        <v>199</v>
      </c>
      <c r="C270" s="284" t="s">
        <v>527</v>
      </c>
      <c r="D270" s="284" t="s">
        <v>526</v>
      </c>
      <c r="E270" s="402">
        <f t="shared" si="74"/>
        <v>39.41</v>
      </c>
      <c r="F270" s="402">
        <f t="shared" si="75"/>
        <v>0</v>
      </c>
      <c r="G270" s="402">
        <f t="shared" si="76"/>
        <v>0</v>
      </c>
      <c r="H270" s="402"/>
      <c r="I270" s="402"/>
      <c r="J270" s="402"/>
      <c r="K270" s="402"/>
      <c r="L270" s="402"/>
      <c r="M270" s="402">
        <f t="shared" si="77"/>
        <v>0</v>
      </c>
      <c r="N270" s="402"/>
      <c r="O270" s="402"/>
      <c r="P270" s="402"/>
      <c r="Q270" s="402">
        <f t="shared" si="78"/>
        <v>27.56</v>
      </c>
      <c r="R270" s="402">
        <f t="shared" si="79"/>
        <v>23.22</v>
      </c>
      <c r="S270" s="402">
        <v>15.98</v>
      </c>
      <c r="T270" s="402"/>
      <c r="U270" s="402">
        <v>7.24</v>
      </c>
      <c r="V270" s="402"/>
      <c r="W270" s="402"/>
      <c r="X270" s="402"/>
      <c r="Y270" s="402">
        <f t="shared" si="80"/>
        <v>4.34</v>
      </c>
      <c r="Z270" s="402">
        <v>4.34</v>
      </c>
      <c r="AA270" s="402"/>
      <c r="AB270" s="402"/>
      <c r="AC270" s="402"/>
      <c r="AD270" s="402"/>
      <c r="AE270" s="402"/>
      <c r="AF270" s="402">
        <f t="shared" si="81"/>
        <v>11.85</v>
      </c>
      <c r="AG270" s="402">
        <v>4.41</v>
      </c>
      <c r="AH270" s="402">
        <v>2.2</v>
      </c>
      <c r="AI270" s="402">
        <v>1.65</v>
      </c>
      <c r="AJ270" s="402">
        <v>0.11</v>
      </c>
      <c r="AK270" s="402">
        <v>0.17</v>
      </c>
      <c r="AL270" s="402">
        <v>3.31</v>
      </c>
      <c r="AM270" s="402"/>
      <c r="AN270" s="350"/>
      <c r="AO270" s="205">
        <f t="shared" si="82"/>
        <v>0</v>
      </c>
    </row>
    <row r="271" ht="36" hidden="1" spans="1:41">
      <c r="A271" s="284" t="s">
        <v>195</v>
      </c>
      <c r="B271" s="284" t="s">
        <v>199</v>
      </c>
      <c r="C271" s="284" t="s">
        <v>528</v>
      </c>
      <c r="D271" s="284" t="s">
        <v>526</v>
      </c>
      <c r="E271" s="402">
        <f t="shared" si="74"/>
        <v>26.78</v>
      </c>
      <c r="F271" s="402">
        <f t="shared" si="75"/>
        <v>0</v>
      </c>
      <c r="G271" s="402">
        <f t="shared" si="76"/>
        <v>0</v>
      </c>
      <c r="H271" s="402"/>
      <c r="I271" s="402"/>
      <c r="J271" s="402"/>
      <c r="K271" s="402"/>
      <c r="L271" s="402"/>
      <c r="M271" s="402">
        <f t="shared" si="77"/>
        <v>0</v>
      </c>
      <c r="N271" s="402"/>
      <c r="O271" s="402"/>
      <c r="P271" s="402"/>
      <c r="Q271" s="402">
        <f t="shared" si="78"/>
        <v>18.73</v>
      </c>
      <c r="R271" s="402">
        <f t="shared" si="79"/>
        <v>16.1</v>
      </c>
      <c r="S271" s="402">
        <v>11.71</v>
      </c>
      <c r="T271" s="402"/>
      <c r="U271" s="402">
        <v>4.39</v>
      </c>
      <c r="V271" s="402"/>
      <c r="W271" s="402"/>
      <c r="X271" s="402"/>
      <c r="Y271" s="402">
        <f t="shared" si="80"/>
        <v>2.63</v>
      </c>
      <c r="Z271" s="402">
        <v>2.63</v>
      </c>
      <c r="AA271" s="402"/>
      <c r="AB271" s="402"/>
      <c r="AC271" s="402"/>
      <c r="AD271" s="402"/>
      <c r="AE271" s="402"/>
      <c r="AF271" s="402">
        <f t="shared" si="81"/>
        <v>8.05</v>
      </c>
      <c r="AG271" s="402">
        <v>3</v>
      </c>
      <c r="AH271" s="402">
        <v>1.5</v>
      </c>
      <c r="AI271" s="402">
        <v>1.12</v>
      </c>
      <c r="AJ271" s="402">
        <v>0.07</v>
      </c>
      <c r="AK271" s="402">
        <v>0.11</v>
      </c>
      <c r="AL271" s="402">
        <v>2.25</v>
      </c>
      <c r="AM271" s="402"/>
      <c r="AN271" s="350"/>
      <c r="AO271" s="205">
        <f t="shared" si="82"/>
        <v>0</v>
      </c>
    </row>
    <row r="272" ht="36" hidden="1" spans="1:41">
      <c r="A272" s="284" t="s">
        <v>195</v>
      </c>
      <c r="B272" s="284" t="s">
        <v>199</v>
      </c>
      <c r="C272" s="284" t="s">
        <v>529</v>
      </c>
      <c r="D272" s="284" t="s">
        <v>526</v>
      </c>
      <c r="E272" s="402">
        <f t="shared" si="74"/>
        <v>27.51</v>
      </c>
      <c r="F272" s="402">
        <f t="shared" si="75"/>
        <v>0</v>
      </c>
      <c r="G272" s="402">
        <f t="shared" si="76"/>
        <v>0</v>
      </c>
      <c r="H272" s="402"/>
      <c r="I272" s="402"/>
      <c r="J272" s="402"/>
      <c r="K272" s="402"/>
      <c r="L272" s="402"/>
      <c r="M272" s="402">
        <f t="shared" si="77"/>
        <v>0</v>
      </c>
      <c r="N272" s="402"/>
      <c r="O272" s="402"/>
      <c r="P272" s="402"/>
      <c r="Q272" s="402">
        <f t="shared" si="78"/>
        <v>19.23</v>
      </c>
      <c r="R272" s="402">
        <f t="shared" si="79"/>
        <v>16.21</v>
      </c>
      <c r="S272" s="402">
        <v>11.18</v>
      </c>
      <c r="T272" s="402"/>
      <c r="U272" s="402">
        <v>5.03</v>
      </c>
      <c r="V272" s="402"/>
      <c r="W272" s="402"/>
      <c r="X272" s="402"/>
      <c r="Y272" s="402">
        <f t="shared" si="80"/>
        <v>3.02</v>
      </c>
      <c r="Z272" s="402">
        <v>3.02</v>
      </c>
      <c r="AA272" s="402"/>
      <c r="AB272" s="402"/>
      <c r="AC272" s="402"/>
      <c r="AD272" s="402"/>
      <c r="AE272" s="402"/>
      <c r="AF272" s="402">
        <f t="shared" si="81"/>
        <v>8.28</v>
      </c>
      <c r="AG272" s="402">
        <v>3.08</v>
      </c>
      <c r="AH272" s="402">
        <v>1.54</v>
      </c>
      <c r="AI272" s="402">
        <v>1.15</v>
      </c>
      <c r="AJ272" s="402">
        <v>0.08</v>
      </c>
      <c r="AK272" s="402">
        <v>0.12</v>
      </c>
      <c r="AL272" s="402">
        <v>2.31</v>
      </c>
      <c r="AM272" s="402"/>
      <c r="AN272" s="350"/>
      <c r="AO272" s="205">
        <f t="shared" si="82"/>
        <v>0</v>
      </c>
    </row>
    <row r="273" ht="24" hidden="1" spans="1:42">
      <c r="A273" s="284" t="s">
        <v>195</v>
      </c>
      <c r="B273" s="284" t="s">
        <v>199</v>
      </c>
      <c r="C273" s="284" t="s">
        <v>530</v>
      </c>
      <c r="D273" s="284" t="s">
        <v>531</v>
      </c>
      <c r="E273" s="402">
        <f t="shared" si="74"/>
        <v>194.298928</v>
      </c>
      <c r="F273" s="402">
        <f t="shared" si="75"/>
        <v>0</v>
      </c>
      <c r="G273" s="402">
        <f t="shared" si="76"/>
        <v>0</v>
      </c>
      <c r="H273" s="402"/>
      <c r="I273" s="402"/>
      <c r="J273" s="402"/>
      <c r="K273" s="402"/>
      <c r="L273" s="402"/>
      <c r="M273" s="402">
        <f t="shared" si="77"/>
        <v>0</v>
      </c>
      <c r="N273" s="402"/>
      <c r="O273" s="402"/>
      <c r="P273" s="402"/>
      <c r="Q273" s="402">
        <f t="shared" si="78"/>
        <v>161.078928</v>
      </c>
      <c r="R273" s="402">
        <f t="shared" si="79"/>
        <v>65.85</v>
      </c>
      <c r="S273" s="402">
        <v>46.82</v>
      </c>
      <c r="T273" s="402"/>
      <c r="U273" s="402">
        <v>19.03</v>
      </c>
      <c r="V273" s="402"/>
      <c r="W273" s="402"/>
      <c r="X273" s="402"/>
      <c r="Y273" s="402">
        <f t="shared" si="80"/>
        <v>95.228928</v>
      </c>
      <c r="Z273" s="402">
        <v>11.42</v>
      </c>
      <c r="AA273" s="402"/>
      <c r="AB273" s="402">
        <v>19.808928</v>
      </c>
      <c r="AC273" s="402"/>
      <c r="AD273" s="402"/>
      <c r="AE273" s="404">
        <v>64</v>
      </c>
      <c r="AF273" s="402">
        <f t="shared" si="81"/>
        <v>33.22</v>
      </c>
      <c r="AG273" s="402">
        <v>12.36</v>
      </c>
      <c r="AH273" s="402">
        <v>6.18</v>
      </c>
      <c r="AI273" s="402">
        <v>4.64</v>
      </c>
      <c r="AJ273" s="402">
        <v>0.31</v>
      </c>
      <c r="AK273" s="402">
        <v>0.46</v>
      </c>
      <c r="AL273" s="402">
        <v>9.27</v>
      </c>
      <c r="AM273" s="402"/>
      <c r="AN273" s="350"/>
      <c r="AO273" s="205">
        <f t="shared" si="82"/>
        <v>64</v>
      </c>
      <c r="AP273">
        <v>6.5517</v>
      </c>
    </row>
    <row r="274" ht="24" hidden="1" spans="1:42">
      <c r="A274" s="284" t="s">
        <v>195</v>
      </c>
      <c r="B274" s="284" t="s">
        <v>199</v>
      </c>
      <c r="C274" s="284" t="s">
        <v>532</v>
      </c>
      <c r="D274" s="284" t="s">
        <v>533</v>
      </c>
      <c r="E274" s="402">
        <f t="shared" si="74"/>
        <v>132.26</v>
      </c>
      <c r="F274" s="402">
        <f t="shared" si="75"/>
        <v>0</v>
      </c>
      <c r="G274" s="402">
        <f t="shared" si="76"/>
        <v>0</v>
      </c>
      <c r="H274" s="402"/>
      <c r="I274" s="402"/>
      <c r="J274" s="402"/>
      <c r="K274" s="402"/>
      <c r="L274" s="402"/>
      <c r="M274" s="402">
        <f t="shared" si="77"/>
        <v>0</v>
      </c>
      <c r="N274" s="402"/>
      <c r="O274" s="402"/>
      <c r="P274" s="402"/>
      <c r="Q274" s="402">
        <f t="shared" si="78"/>
        <v>105.25</v>
      </c>
      <c r="R274" s="402">
        <f t="shared" si="79"/>
        <v>54.92</v>
      </c>
      <c r="S274" s="402">
        <v>41.7</v>
      </c>
      <c r="T274" s="402">
        <v>0.09</v>
      </c>
      <c r="U274" s="402">
        <v>13.13</v>
      </c>
      <c r="V274" s="402"/>
      <c r="W274" s="402"/>
      <c r="X274" s="402"/>
      <c r="Y274" s="402">
        <f t="shared" si="80"/>
        <v>50.33</v>
      </c>
      <c r="Z274" s="402">
        <v>7.88</v>
      </c>
      <c r="AA274" s="402"/>
      <c r="AB274" s="402">
        <v>2.45</v>
      </c>
      <c r="AC274" s="402"/>
      <c r="AD274" s="402"/>
      <c r="AE274" s="402">
        <v>40</v>
      </c>
      <c r="AF274" s="402">
        <f t="shared" si="81"/>
        <v>27.01</v>
      </c>
      <c r="AG274" s="402">
        <v>10.05</v>
      </c>
      <c r="AH274" s="402">
        <v>5.02</v>
      </c>
      <c r="AI274" s="402">
        <v>3.77</v>
      </c>
      <c r="AJ274" s="402">
        <v>0.25</v>
      </c>
      <c r="AK274" s="402">
        <v>0.38</v>
      </c>
      <c r="AL274" s="402">
        <v>7.54</v>
      </c>
      <c r="AM274" s="402"/>
      <c r="AN274" s="350"/>
      <c r="AO274" s="205">
        <f t="shared" si="82"/>
        <v>40</v>
      </c>
      <c r="AP274">
        <v>4</v>
      </c>
    </row>
    <row r="275" ht="24" hidden="1" spans="1:42">
      <c r="A275" s="284" t="s">
        <v>195</v>
      </c>
      <c r="B275" s="284" t="s">
        <v>199</v>
      </c>
      <c r="C275" s="284" t="s">
        <v>534</v>
      </c>
      <c r="D275" s="284" t="s">
        <v>535</v>
      </c>
      <c r="E275" s="402">
        <f t="shared" si="74"/>
        <v>201.14</v>
      </c>
      <c r="F275" s="402">
        <f t="shared" si="75"/>
        <v>0</v>
      </c>
      <c r="G275" s="402">
        <f t="shared" si="76"/>
        <v>0</v>
      </c>
      <c r="H275" s="402"/>
      <c r="I275" s="402"/>
      <c r="J275" s="402"/>
      <c r="K275" s="402"/>
      <c r="L275" s="402"/>
      <c r="M275" s="402">
        <f t="shared" si="77"/>
        <v>0</v>
      </c>
      <c r="N275" s="402"/>
      <c r="O275" s="402"/>
      <c r="P275" s="402"/>
      <c r="Q275" s="402">
        <f t="shared" si="78"/>
        <v>163.53</v>
      </c>
      <c r="R275" s="402">
        <f t="shared" si="79"/>
        <v>74.88</v>
      </c>
      <c r="S275" s="402">
        <v>55.97</v>
      </c>
      <c r="T275" s="402"/>
      <c r="U275" s="402">
        <v>18.91</v>
      </c>
      <c r="V275" s="402"/>
      <c r="W275" s="402"/>
      <c r="X275" s="402"/>
      <c r="Y275" s="402">
        <f t="shared" si="80"/>
        <v>88.65</v>
      </c>
      <c r="Z275" s="404">
        <v>10.39</v>
      </c>
      <c r="AA275" s="402"/>
      <c r="AB275" s="402"/>
      <c r="AC275" s="402"/>
      <c r="AD275" s="402">
        <v>14.26</v>
      </c>
      <c r="AE275" s="404">
        <v>64</v>
      </c>
      <c r="AF275" s="402">
        <f t="shared" si="81"/>
        <v>37.61</v>
      </c>
      <c r="AG275" s="402">
        <v>13.8</v>
      </c>
      <c r="AH275" s="402">
        <v>6.9</v>
      </c>
      <c r="AI275" s="402">
        <v>5.17</v>
      </c>
      <c r="AJ275" s="402">
        <v>0.34</v>
      </c>
      <c r="AK275" s="402">
        <v>0.52</v>
      </c>
      <c r="AL275" s="402">
        <v>10.35</v>
      </c>
      <c r="AM275" s="402">
        <v>0.53</v>
      </c>
      <c r="AN275" s="350"/>
      <c r="AO275" s="205">
        <f t="shared" si="82"/>
        <v>64</v>
      </c>
      <c r="AP275">
        <v>7.0167</v>
      </c>
    </row>
    <row r="276" ht="36" hidden="1" spans="1:42">
      <c r="A276" s="284" t="s">
        <v>195</v>
      </c>
      <c r="B276" s="284" t="s">
        <v>196</v>
      </c>
      <c r="C276" s="284" t="s">
        <v>536</v>
      </c>
      <c r="D276" s="284" t="s">
        <v>537</v>
      </c>
      <c r="E276" s="402">
        <f t="shared" si="74"/>
        <v>508.2</v>
      </c>
      <c r="F276" s="402">
        <f t="shared" si="75"/>
        <v>66.42</v>
      </c>
      <c r="G276" s="402">
        <f t="shared" si="76"/>
        <v>26.8</v>
      </c>
      <c r="H276" s="402">
        <v>14.05</v>
      </c>
      <c r="I276" s="402">
        <v>11.58</v>
      </c>
      <c r="J276" s="402">
        <v>1.17</v>
      </c>
      <c r="K276" s="402"/>
      <c r="L276" s="402"/>
      <c r="M276" s="402">
        <f t="shared" si="77"/>
        <v>39.62</v>
      </c>
      <c r="N276" s="402">
        <v>39.62</v>
      </c>
      <c r="O276" s="402"/>
      <c r="P276" s="402"/>
      <c r="Q276" s="402">
        <f t="shared" si="78"/>
        <v>361.19</v>
      </c>
      <c r="R276" s="402">
        <f t="shared" si="79"/>
        <v>137.95</v>
      </c>
      <c r="S276" s="402">
        <v>97.55</v>
      </c>
      <c r="T276" s="402"/>
      <c r="U276" s="402">
        <v>40.4</v>
      </c>
      <c r="V276" s="402"/>
      <c r="W276" s="402"/>
      <c r="X276" s="402"/>
      <c r="Y276" s="402">
        <f t="shared" si="80"/>
        <v>223.24</v>
      </c>
      <c r="Z276" s="402">
        <v>24.24</v>
      </c>
      <c r="AA276" s="402"/>
      <c r="AB276" s="402"/>
      <c r="AC276" s="402"/>
      <c r="AD276" s="402"/>
      <c r="AE276" s="404">
        <v>199</v>
      </c>
      <c r="AF276" s="402">
        <f t="shared" si="81"/>
        <v>80.59</v>
      </c>
      <c r="AG276" s="402">
        <v>30.24</v>
      </c>
      <c r="AH276" s="402">
        <v>15.03</v>
      </c>
      <c r="AI276" s="402">
        <v>11.27</v>
      </c>
      <c r="AJ276" s="402">
        <v>0.38</v>
      </c>
      <c r="AK276" s="402">
        <v>1.13</v>
      </c>
      <c r="AL276" s="402">
        <v>22.54</v>
      </c>
      <c r="AM276" s="402"/>
      <c r="AN276" s="350"/>
      <c r="AO276" s="205">
        <f t="shared" si="82"/>
        <v>199</v>
      </c>
      <c r="AP276">
        <v>18.7162</v>
      </c>
    </row>
    <row r="277" ht="48" hidden="1" spans="1:42">
      <c r="A277" s="284" t="s">
        <v>195</v>
      </c>
      <c r="B277" s="284" t="s">
        <v>199</v>
      </c>
      <c r="C277" s="284" t="s">
        <v>538</v>
      </c>
      <c r="D277" s="284" t="s">
        <v>539</v>
      </c>
      <c r="E277" s="402">
        <f t="shared" si="74"/>
        <v>33.71</v>
      </c>
      <c r="F277" s="402">
        <f t="shared" si="75"/>
        <v>0</v>
      </c>
      <c r="G277" s="402">
        <f t="shared" si="76"/>
        <v>0</v>
      </c>
      <c r="H277" s="402"/>
      <c r="I277" s="402"/>
      <c r="J277" s="402"/>
      <c r="K277" s="402"/>
      <c r="L277" s="402"/>
      <c r="M277" s="402">
        <f t="shared" si="77"/>
        <v>0</v>
      </c>
      <c r="N277" s="402"/>
      <c r="O277" s="402"/>
      <c r="P277" s="402"/>
      <c r="Q277" s="402">
        <f t="shared" si="78"/>
        <v>29.31</v>
      </c>
      <c r="R277" s="402">
        <f t="shared" si="79"/>
        <v>8.24</v>
      </c>
      <c r="S277" s="402">
        <v>5.51</v>
      </c>
      <c r="T277" s="402"/>
      <c r="U277" s="402">
        <v>2.73</v>
      </c>
      <c r="V277" s="402"/>
      <c r="W277" s="402"/>
      <c r="X277" s="402"/>
      <c r="Y277" s="402">
        <f t="shared" si="80"/>
        <v>21.07</v>
      </c>
      <c r="Z277" s="402">
        <v>1.64</v>
      </c>
      <c r="AA277" s="402"/>
      <c r="AB277" s="402">
        <v>7.43</v>
      </c>
      <c r="AC277" s="402"/>
      <c r="AD277" s="402"/>
      <c r="AE277" s="402">
        <v>12</v>
      </c>
      <c r="AF277" s="402">
        <f t="shared" si="81"/>
        <v>4.4</v>
      </c>
      <c r="AG277" s="402">
        <v>1.64</v>
      </c>
      <c r="AH277" s="402">
        <v>0.82</v>
      </c>
      <c r="AI277" s="402">
        <v>0.61</v>
      </c>
      <c r="AJ277" s="402">
        <v>0.04</v>
      </c>
      <c r="AK277" s="402">
        <v>0.06</v>
      </c>
      <c r="AL277" s="402">
        <v>1.23</v>
      </c>
      <c r="AM277" s="402"/>
      <c r="AN277" s="350"/>
      <c r="AO277" s="205">
        <f t="shared" si="82"/>
        <v>12</v>
      </c>
      <c r="AP277">
        <v>1.0417</v>
      </c>
    </row>
    <row r="278" s="311" customFormat="1" ht="21" customHeight="1" spans="1:44">
      <c r="A278" s="328"/>
      <c r="B278" s="328"/>
      <c r="C278" s="328" t="s">
        <v>137</v>
      </c>
      <c r="D278" s="329">
        <v>208</v>
      </c>
      <c r="E278" s="401">
        <f t="shared" ref="E278:P278" si="83">SUM(E279:E299)</f>
        <v>3792.47</v>
      </c>
      <c r="F278" s="401">
        <f t="shared" si="83"/>
        <v>590.57</v>
      </c>
      <c r="G278" s="401">
        <f t="shared" si="83"/>
        <v>330.3</v>
      </c>
      <c r="H278" s="401">
        <f t="shared" si="83"/>
        <v>188.23</v>
      </c>
      <c r="I278" s="401">
        <f t="shared" si="83"/>
        <v>125.85</v>
      </c>
      <c r="J278" s="401">
        <f t="shared" si="83"/>
        <v>16.22</v>
      </c>
      <c r="K278" s="401">
        <f t="shared" si="83"/>
        <v>0</v>
      </c>
      <c r="L278" s="401">
        <f t="shared" si="83"/>
        <v>0</v>
      </c>
      <c r="M278" s="401">
        <f t="shared" si="83"/>
        <v>260.27</v>
      </c>
      <c r="N278" s="401">
        <f t="shared" si="83"/>
        <v>9.91</v>
      </c>
      <c r="O278" s="401">
        <f t="shared" si="83"/>
        <v>18.36</v>
      </c>
      <c r="P278" s="401">
        <f t="shared" si="83"/>
        <v>232</v>
      </c>
      <c r="Q278" s="401">
        <f t="shared" ref="Q278:AE278" si="84">SUM(Q279:Q299)</f>
        <v>755.3</v>
      </c>
      <c r="R278" s="401">
        <f t="shared" si="84"/>
        <v>346.01</v>
      </c>
      <c r="S278" s="401">
        <f t="shared" si="84"/>
        <v>246.99</v>
      </c>
      <c r="T278" s="401">
        <f t="shared" si="84"/>
        <v>2.69</v>
      </c>
      <c r="U278" s="401">
        <f t="shared" si="84"/>
        <v>96.33</v>
      </c>
      <c r="V278" s="401">
        <f t="shared" si="84"/>
        <v>0</v>
      </c>
      <c r="W278" s="401">
        <f t="shared" si="84"/>
        <v>0</v>
      </c>
      <c r="X278" s="401">
        <f t="shared" si="84"/>
        <v>0</v>
      </c>
      <c r="Y278" s="401">
        <f t="shared" si="84"/>
        <v>409.29</v>
      </c>
      <c r="Z278" s="401">
        <f t="shared" si="84"/>
        <v>59.43</v>
      </c>
      <c r="AA278" s="401">
        <f t="shared" si="84"/>
        <v>0</v>
      </c>
      <c r="AB278" s="401">
        <f t="shared" si="84"/>
        <v>0</v>
      </c>
      <c r="AC278" s="401">
        <f t="shared" si="84"/>
        <v>0</v>
      </c>
      <c r="AD278" s="401">
        <f t="shared" si="84"/>
        <v>2.86</v>
      </c>
      <c r="AE278" s="401">
        <f t="shared" si="84"/>
        <v>347</v>
      </c>
      <c r="AF278" s="401">
        <f t="shared" ref="AF278:AM278" si="85">SUM(AF279:AF299)</f>
        <v>2446.6</v>
      </c>
      <c r="AG278" s="401">
        <f t="shared" si="85"/>
        <v>117.74</v>
      </c>
      <c r="AH278" s="401">
        <f t="shared" si="85"/>
        <v>57.56</v>
      </c>
      <c r="AI278" s="401">
        <f t="shared" si="85"/>
        <v>43.16</v>
      </c>
      <c r="AJ278" s="401">
        <f t="shared" si="85"/>
        <v>1.47</v>
      </c>
      <c r="AK278" s="401">
        <f t="shared" si="85"/>
        <v>4.33</v>
      </c>
      <c r="AL278" s="401">
        <f t="shared" si="85"/>
        <v>86.34</v>
      </c>
      <c r="AM278" s="401">
        <f t="shared" si="85"/>
        <v>2136</v>
      </c>
      <c r="AN278" s="362"/>
      <c r="AO278" s="407">
        <f t="shared" si="82"/>
        <v>579</v>
      </c>
      <c r="AP278" s="373"/>
      <c r="AR278"/>
    </row>
    <row r="279" ht="24" hidden="1" spans="1:42">
      <c r="A279" s="284" t="s">
        <v>540</v>
      </c>
      <c r="B279" s="284" t="s">
        <v>196</v>
      </c>
      <c r="C279" s="284" t="s">
        <v>541</v>
      </c>
      <c r="D279" s="284" t="s">
        <v>542</v>
      </c>
      <c r="E279" s="402">
        <f t="shared" ref="E279:E285" si="86">F279+Q279+AF279</f>
        <v>239.95</v>
      </c>
      <c r="F279" s="402">
        <f t="shared" ref="F279:F285" si="87">G279+M279</f>
        <v>203.02</v>
      </c>
      <c r="G279" s="402">
        <f t="shared" ref="G279:G285" si="88">SUM(H279:L279)</f>
        <v>89.02</v>
      </c>
      <c r="H279" s="402">
        <v>51.94</v>
      </c>
      <c r="I279" s="402">
        <v>32.75</v>
      </c>
      <c r="J279" s="402">
        <v>4.33</v>
      </c>
      <c r="K279" s="402"/>
      <c r="L279" s="402"/>
      <c r="M279" s="402">
        <f t="shared" ref="M279:M285" si="89">SUM(N279:P279)</f>
        <v>114</v>
      </c>
      <c r="N279" s="402"/>
      <c r="O279" s="402"/>
      <c r="P279" s="402">
        <v>114</v>
      </c>
      <c r="Q279" s="402">
        <f t="shared" ref="Q279:Q285" si="90">R279+Y279</f>
        <v>0</v>
      </c>
      <c r="R279" s="402">
        <f t="shared" ref="R279:R285" si="91">SUM(S279:X279)</f>
        <v>0</v>
      </c>
      <c r="S279" s="402"/>
      <c r="T279" s="402"/>
      <c r="U279" s="402"/>
      <c r="V279" s="402"/>
      <c r="W279" s="402"/>
      <c r="X279" s="402"/>
      <c r="Y279" s="402">
        <f t="shared" ref="Y279:Y285" si="92">SUM(Z279:AE279)</f>
        <v>0</v>
      </c>
      <c r="Z279" s="402"/>
      <c r="AA279" s="402"/>
      <c r="AB279" s="402"/>
      <c r="AC279" s="402"/>
      <c r="AD279" s="402"/>
      <c r="AE279" s="402"/>
      <c r="AF279" s="402">
        <f t="shared" ref="AF279:AF285" si="93">SUM(AG279:AM279)</f>
        <v>36.93</v>
      </c>
      <c r="AG279" s="402">
        <v>14.24</v>
      </c>
      <c r="AH279" s="402">
        <v>6.77</v>
      </c>
      <c r="AI279" s="402">
        <v>5.08</v>
      </c>
      <c r="AJ279" s="402">
        <v>0.17</v>
      </c>
      <c r="AK279" s="402">
        <v>0.51</v>
      </c>
      <c r="AL279" s="402">
        <v>10.16</v>
      </c>
      <c r="AM279" s="402"/>
      <c r="AN279" s="350"/>
      <c r="AO279" s="205">
        <f t="shared" si="82"/>
        <v>114</v>
      </c>
      <c r="AP279">
        <v>21.303</v>
      </c>
    </row>
    <row r="280" ht="24" hidden="1" spans="1:41">
      <c r="A280" s="284" t="s">
        <v>540</v>
      </c>
      <c r="B280" s="284" t="s">
        <v>196</v>
      </c>
      <c r="C280" s="284" t="s">
        <v>543</v>
      </c>
      <c r="D280" s="284" t="s">
        <v>542</v>
      </c>
      <c r="E280" s="402">
        <f t="shared" si="86"/>
        <v>99.62</v>
      </c>
      <c r="F280" s="402">
        <f t="shared" si="87"/>
        <v>70.38</v>
      </c>
      <c r="G280" s="402">
        <f t="shared" si="88"/>
        <v>70.38</v>
      </c>
      <c r="H280" s="402">
        <v>39.06</v>
      </c>
      <c r="I280" s="402">
        <v>28.06</v>
      </c>
      <c r="J280" s="402">
        <v>3.26</v>
      </c>
      <c r="K280" s="402"/>
      <c r="L280" s="402"/>
      <c r="M280" s="402">
        <f t="shared" si="89"/>
        <v>0</v>
      </c>
      <c r="N280" s="402"/>
      <c r="O280" s="402"/>
      <c r="P280" s="402"/>
      <c r="Q280" s="402">
        <f t="shared" si="90"/>
        <v>0</v>
      </c>
      <c r="R280" s="402">
        <f t="shared" si="91"/>
        <v>0</v>
      </c>
      <c r="S280" s="402"/>
      <c r="T280" s="402"/>
      <c r="U280" s="402"/>
      <c r="V280" s="402"/>
      <c r="W280" s="402"/>
      <c r="X280" s="402"/>
      <c r="Y280" s="402">
        <f t="shared" si="92"/>
        <v>0</v>
      </c>
      <c r="Z280" s="402"/>
      <c r="AA280" s="402"/>
      <c r="AB280" s="402"/>
      <c r="AC280" s="402"/>
      <c r="AD280" s="402"/>
      <c r="AE280" s="402"/>
      <c r="AF280" s="402">
        <f t="shared" si="93"/>
        <v>29.24</v>
      </c>
      <c r="AG280" s="402">
        <v>11.26</v>
      </c>
      <c r="AH280" s="402">
        <v>5.37</v>
      </c>
      <c r="AI280" s="402">
        <v>4.03</v>
      </c>
      <c r="AJ280" s="402">
        <v>0.13</v>
      </c>
      <c r="AK280" s="402">
        <v>0.4</v>
      </c>
      <c r="AL280" s="402">
        <v>8.05</v>
      </c>
      <c r="AM280" s="402"/>
      <c r="AN280" s="350"/>
      <c r="AO280" s="205">
        <f t="shared" si="82"/>
        <v>0</v>
      </c>
    </row>
    <row r="281" ht="36" hidden="1" spans="1:42">
      <c r="A281" s="284" t="s">
        <v>540</v>
      </c>
      <c r="B281" s="284" t="s">
        <v>199</v>
      </c>
      <c r="C281" s="284" t="s">
        <v>544</v>
      </c>
      <c r="D281" s="284" t="s">
        <v>545</v>
      </c>
      <c r="E281" s="402">
        <f t="shared" si="86"/>
        <v>150.42</v>
      </c>
      <c r="F281" s="402">
        <f t="shared" si="87"/>
        <v>0</v>
      </c>
      <c r="G281" s="402">
        <f t="shared" si="88"/>
        <v>0</v>
      </c>
      <c r="H281" s="402"/>
      <c r="I281" s="402"/>
      <c r="J281" s="402"/>
      <c r="K281" s="402"/>
      <c r="L281" s="402"/>
      <c r="M281" s="402">
        <f t="shared" si="89"/>
        <v>0</v>
      </c>
      <c r="N281" s="402"/>
      <c r="O281" s="402"/>
      <c r="P281" s="402"/>
      <c r="Q281" s="402">
        <f t="shared" si="90"/>
        <v>121.52</v>
      </c>
      <c r="R281" s="402">
        <f t="shared" si="91"/>
        <v>57.85</v>
      </c>
      <c r="S281" s="402">
        <v>41.74</v>
      </c>
      <c r="T281" s="402"/>
      <c r="U281" s="402">
        <v>16.11</v>
      </c>
      <c r="V281" s="402"/>
      <c r="W281" s="402"/>
      <c r="X281" s="402"/>
      <c r="Y281" s="402">
        <f t="shared" si="92"/>
        <v>63.67</v>
      </c>
      <c r="Z281" s="402">
        <v>9.67</v>
      </c>
      <c r="AA281" s="402"/>
      <c r="AB281" s="402"/>
      <c r="AC281" s="402"/>
      <c r="AD281" s="402"/>
      <c r="AE281" s="402">
        <v>54</v>
      </c>
      <c r="AF281" s="402">
        <f t="shared" si="93"/>
        <v>28.9</v>
      </c>
      <c r="AG281" s="402">
        <v>10.8</v>
      </c>
      <c r="AH281" s="402">
        <v>5.4</v>
      </c>
      <c r="AI281" s="402">
        <v>4.05</v>
      </c>
      <c r="AJ281" s="402">
        <v>0.14</v>
      </c>
      <c r="AK281" s="402">
        <v>0.41</v>
      </c>
      <c r="AL281" s="402">
        <v>8.1</v>
      </c>
      <c r="AM281" s="402"/>
      <c r="AN281" s="350"/>
      <c r="AO281" s="205">
        <f t="shared" si="82"/>
        <v>54</v>
      </c>
      <c r="AP281">
        <v>5.5</v>
      </c>
    </row>
    <row r="282" ht="36" hidden="1" spans="1:42">
      <c r="A282" s="284" t="s">
        <v>540</v>
      </c>
      <c r="B282" s="284" t="s">
        <v>199</v>
      </c>
      <c r="C282" s="284" t="s">
        <v>546</v>
      </c>
      <c r="D282" s="284" t="s">
        <v>547</v>
      </c>
      <c r="E282" s="402">
        <f t="shared" si="86"/>
        <v>92.59</v>
      </c>
      <c r="F282" s="402">
        <f t="shared" si="87"/>
        <v>0</v>
      </c>
      <c r="G282" s="402">
        <f t="shared" si="88"/>
        <v>0</v>
      </c>
      <c r="H282" s="402"/>
      <c r="I282" s="402"/>
      <c r="J282" s="402"/>
      <c r="K282" s="402"/>
      <c r="L282" s="402"/>
      <c r="M282" s="402">
        <f t="shared" si="89"/>
        <v>0</v>
      </c>
      <c r="N282" s="402"/>
      <c r="O282" s="402"/>
      <c r="P282" s="402"/>
      <c r="Q282" s="402">
        <f t="shared" si="90"/>
        <v>75.33</v>
      </c>
      <c r="R282" s="402">
        <f t="shared" si="91"/>
        <v>34.51</v>
      </c>
      <c r="S282" s="402">
        <v>24.81</v>
      </c>
      <c r="T282" s="402"/>
      <c r="U282" s="402">
        <v>9.7</v>
      </c>
      <c r="V282" s="402"/>
      <c r="W282" s="402"/>
      <c r="X282" s="402"/>
      <c r="Y282" s="402">
        <f t="shared" si="92"/>
        <v>40.82</v>
      </c>
      <c r="Z282" s="402">
        <v>5.82</v>
      </c>
      <c r="AA282" s="402"/>
      <c r="AB282" s="402"/>
      <c r="AC282" s="402"/>
      <c r="AD282" s="402"/>
      <c r="AE282" s="402">
        <v>35</v>
      </c>
      <c r="AF282" s="402">
        <f t="shared" si="93"/>
        <v>17.26</v>
      </c>
      <c r="AG282" s="402">
        <v>6.45</v>
      </c>
      <c r="AH282" s="402">
        <v>3.23</v>
      </c>
      <c r="AI282" s="402">
        <v>2.42</v>
      </c>
      <c r="AJ282" s="402">
        <v>0.08</v>
      </c>
      <c r="AK282" s="402">
        <v>0.24</v>
      </c>
      <c r="AL282" s="402">
        <v>4.84</v>
      </c>
      <c r="AM282" s="402"/>
      <c r="AN282" s="350"/>
      <c r="AO282" s="205">
        <f t="shared" si="82"/>
        <v>35</v>
      </c>
      <c r="AP282">
        <v>3.5</v>
      </c>
    </row>
    <row r="283" ht="36" hidden="1" spans="1:42">
      <c r="A283" s="284" t="s">
        <v>540</v>
      </c>
      <c r="B283" s="284" t="s">
        <v>199</v>
      </c>
      <c r="C283" s="284" t="s">
        <v>548</v>
      </c>
      <c r="D283" s="284" t="s">
        <v>549</v>
      </c>
      <c r="E283" s="402">
        <f t="shared" si="86"/>
        <v>2218.28</v>
      </c>
      <c r="F283" s="402">
        <f t="shared" si="87"/>
        <v>0</v>
      </c>
      <c r="G283" s="402">
        <f t="shared" si="88"/>
        <v>0</v>
      </c>
      <c r="H283" s="402"/>
      <c r="I283" s="402"/>
      <c r="J283" s="402"/>
      <c r="K283" s="402"/>
      <c r="L283" s="402"/>
      <c r="M283" s="402">
        <f t="shared" si="89"/>
        <v>0</v>
      </c>
      <c r="N283" s="402"/>
      <c r="O283" s="402"/>
      <c r="P283" s="402"/>
      <c r="Q283" s="402">
        <f t="shared" si="90"/>
        <v>66.61</v>
      </c>
      <c r="R283" s="402">
        <f t="shared" si="91"/>
        <v>31.23</v>
      </c>
      <c r="S283" s="402">
        <v>22.27</v>
      </c>
      <c r="T283" s="402"/>
      <c r="U283" s="402">
        <v>8.96</v>
      </c>
      <c r="V283" s="402"/>
      <c r="W283" s="402"/>
      <c r="X283" s="402"/>
      <c r="Y283" s="402">
        <f t="shared" si="92"/>
        <v>35.38</v>
      </c>
      <c r="Z283" s="402">
        <v>5.38</v>
      </c>
      <c r="AA283" s="402"/>
      <c r="AB283" s="402"/>
      <c r="AC283" s="402"/>
      <c r="AD283" s="402"/>
      <c r="AE283" s="402">
        <v>30</v>
      </c>
      <c r="AF283" s="402">
        <f t="shared" si="93"/>
        <v>2151.67</v>
      </c>
      <c r="AG283" s="402">
        <v>5.86</v>
      </c>
      <c r="AH283" s="402">
        <v>2.93</v>
      </c>
      <c r="AI283" s="402">
        <v>2.2</v>
      </c>
      <c r="AJ283" s="402">
        <v>0.07</v>
      </c>
      <c r="AK283" s="402">
        <v>0.22</v>
      </c>
      <c r="AL283" s="402">
        <v>4.39</v>
      </c>
      <c r="AM283" s="402">
        <v>2136</v>
      </c>
      <c r="AN283" s="350"/>
      <c r="AO283" s="205">
        <f t="shared" si="82"/>
        <v>30</v>
      </c>
      <c r="AP283">
        <v>3.34</v>
      </c>
    </row>
    <row r="284" ht="36" hidden="1" spans="1:42">
      <c r="A284" s="284" t="s">
        <v>540</v>
      </c>
      <c r="B284" s="284" t="s">
        <v>199</v>
      </c>
      <c r="C284" s="284" t="s">
        <v>550</v>
      </c>
      <c r="D284" s="284" t="s">
        <v>549</v>
      </c>
      <c r="E284" s="402">
        <f t="shared" si="86"/>
        <v>147.28</v>
      </c>
      <c r="F284" s="402">
        <f t="shared" si="87"/>
        <v>0</v>
      </c>
      <c r="G284" s="402">
        <f t="shared" si="88"/>
        <v>0</v>
      </c>
      <c r="H284" s="402"/>
      <c r="I284" s="402"/>
      <c r="J284" s="402"/>
      <c r="K284" s="402"/>
      <c r="L284" s="402"/>
      <c r="M284" s="402">
        <f t="shared" si="89"/>
        <v>0</v>
      </c>
      <c r="N284" s="402"/>
      <c r="O284" s="402"/>
      <c r="P284" s="402"/>
      <c r="Q284" s="402">
        <f t="shared" si="90"/>
        <v>119.32</v>
      </c>
      <c r="R284" s="402">
        <f t="shared" si="91"/>
        <v>56.02</v>
      </c>
      <c r="S284" s="402">
        <v>40.53</v>
      </c>
      <c r="T284" s="402"/>
      <c r="U284" s="402">
        <v>15.49</v>
      </c>
      <c r="V284" s="402"/>
      <c r="W284" s="402"/>
      <c r="X284" s="402"/>
      <c r="Y284" s="402">
        <f t="shared" si="92"/>
        <v>63.3</v>
      </c>
      <c r="Z284" s="402">
        <v>9.3</v>
      </c>
      <c r="AA284" s="402"/>
      <c r="AB284" s="402"/>
      <c r="AC284" s="402"/>
      <c r="AD284" s="402"/>
      <c r="AE284" s="404">
        <v>54</v>
      </c>
      <c r="AF284" s="402">
        <f t="shared" si="93"/>
        <v>27.96</v>
      </c>
      <c r="AG284" s="402">
        <v>10.45</v>
      </c>
      <c r="AH284" s="402">
        <v>5.23</v>
      </c>
      <c r="AI284" s="402">
        <v>3.92</v>
      </c>
      <c r="AJ284" s="402">
        <v>0.13</v>
      </c>
      <c r="AK284" s="402">
        <v>0.39</v>
      </c>
      <c r="AL284" s="402">
        <v>7.84</v>
      </c>
      <c r="AM284" s="402"/>
      <c r="AN284" s="350"/>
      <c r="AO284" s="205">
        <f t="shared" si="82"/>
        <v>54</v>
      </c>
      <c r="AP284">
        <v>5.7083</v>
      </c>
    </row>
    <row r="285" ht="36" hidden="1" spans="1:41">
      <c r="A285" s="284" t="s">
        <v>540</v>
      </c>
      <c r="B285" s="284" t="s">
        <v>199</v>
      </c>
      <c r="C285" s="284" t="s">
        <v>551</v>
      </c>
      <c r="D285" s="284" t="s">
        <v>552</v>
      </c>
      <c r="E285" s="402">
        <f t="shared" si="86"/>
        <v>12.4</v>
      </c>
      <c r="F285" s="402">
        <f t="shared" si="87"/>
        <v>0</v>
      </c>
      <c r="G285" s="402">
        <f t="shared" si="88"/>
        <v>0</v>
      </c>
      <c r="H285" s="402"/>
      <c r="I285" s="402"/>
      <c r="J285" s="402"/>
      <c r="K285" s="402"/>
      <c r="L285" s="402"/>
      <c r="M285" s="402">
        <f t="shared" si="89"/>
        <v>0</v>
      </c>
      <c r="N285" s="402"/>
      <c r="O285" s="402"/>
      <c r="P285" s="402"/>
      <c r="Q285" s="402">
        <f t="shared" si="90"/>
        <v>8.69</v>
      </c>
      <c r="R285" s="402">
        <f t="shared" si="91"/>
        <v>7.23</v>
      </c>
      <c r="S285" s="402">
        <v>4.8</v>
      </c>
      <c r="T285" s="402"/>
      <c r="U285" s="402">
        <v>2.43</v>
      </c>
      <c r="V285" s="402"/>
      <c r="W285" s="402"/>
      <c r="X285" s="402"/>
      <c r="Y285" s="402">
        <f t="shared" si="92"/>
        <v>1.46</v>
      </c>
      <c r="Z285" s="402">
        <v>1.46</v>
      </c>
      <c r="AA285" s="402"/>
      <c r="AB285" s="402"/>
      <c r="AC285" s="402"/>
      <c r="AD285" s="402"/>
      <c r="AE285" s="402"/>
      <c r="AF285" s="402">
        <f t="shared" si="93"/>
        <v>3.71</v>
      </c>
      <c r="AG285" s="402">
        <v>1.39</v>
      </c>
      <c r="AH285" s="402">
        <v>0.69</v>
      </c>
      <c r="AI285" s="402">
        <v>0.52</v>
      </c>
      <c r="AJ285" s="402">
        <v>0.02</v>
      </c>
      <c r="AK285" s="402">
        <v>0.05</v>
      </c>
      <c r="AL285" s="402">
        <v>1.04</v>
      </c>
      <c r="AM285" s="402"/>
      <c r="AN285" s="350"/>
      <c r="AO285" s="205">
        <f t="shared" si="82"/>
        <v>0</v>
      </c>
    </row>
    <row r="286" ht="24" hidden="1" spans="1:42">
      <c r="A286" s="284" t="s">
        <v>540</v>
      </c>
      <c r="B286" s="284" t="s">
        <v>196</v>
      </c>
      <c r="C286" s="284" t="s">
        <v>553</v>
      </c>
      <c r="D286" s="284" t="s">
        <v>554</v>
      </c>
      <c r="E286" s="402">
        <f t="shared" ref="E286:E299" si="94">F286+Q286+AF286</f>
        <v>158.67</v>
      </c>
      <c r="F286" s="402">
        <f t="shared" ref="F286:F299" si="95">G286+M286</f>
        <v>128.32</v>
      </c>
      <c r="G286" s="402">
        <f t="shared" ref="G286:G299" si="96">SUM(H286:L286)</f>
        <v>73.41</v>
      </c>
      <c r="H286" s="402">
        <v>42.06</v>
      </c>
      <c r="I286" s="402">
        <v>27.32</v>
      </c>
      <c r="J286" s="402">
        <v>4.03</v>
      </c>
      <c r="K286" s="402"/>
      <c r="L286" s="402"/>
      <c r="M286" s="402">
        <f t="shared" ref="M286:M299" si="97">SUM(N286:P286)</f>
        <v>54.91</v>
      </c>
      <c r="N286" s="402">
        <v>9.91</v>
      </c>
      <c r="O286" s="402"/>
      <c r="P286" s="402">
        <v>45</v>
      </c>
      <c r="Q286" s="402">
        <f t="shared" ref="Q286:Q299" si="98">R286+Y286</f>
        <v>0</v>
      </c>
      <c r="R286" s="402">
        <f t="shared" ref="R286:R299" si="99">SUM(S286:X286)</f>
        <v>0</v>
      </c>
      <c r="S286" s="402"/>
      <c r="T286" s="402"/>
      <c r="U286" s="402"/>
      <c r="V286" s="402"/>
      <c r="W286" s="402"/>
      <c r="X286" s="402"/>
      <c r="Y286" s="402">
        <f t="shared" ref="Y286:Y299" si="100">SUM(Z286:AE286)</f>
        <v>0</v>
      </c>
      <c r="Z286" s="402"/>
      <c r="AA286" s="402"/>
      <c r="AB286" s="402"/>
      <c r="AC286" s="402"/>
      <c r="AD286" s="402"/>
      <c r="AE286" s="402"/>
      <c r="AF286" s="402">
        <f t="shared" ref="AF286:AF299" si="101">SUM(AG286:AM286)</f>
        <v>30.35</v>
      </c>
      <c r="AG286" s="402">
        <v>11.75</v>
      </c>
      <c r="AH286" s="402">
        <v>5.55</v>
      </c>
      <c r="AI286" s="402">
        <v>4.16</v>
      </c>
      <c r="AJ286" s="402">
        <v>0.14</v>
      </c>
      <c r="AK286" s="402">
        <v>0.42</v>
      </c>
      <c r="AL286" s="402">
        <v>8.33</v>
      </c>
      <c r="AM286" s="402"/>
      <c r="AN286" s="350"/>
      <c r="AO286" s="205">
        <f t="shared" si="82"/>
        <v>45</v>
      </c>
      <c r="AP286">
        <v>13.7374</v>
      </c>
    </row>
    <row r="287" ht="36" hidden="1" spans="1:42">
      <c r="A287" s="284" t="s">
        <v>540</v>
      </c>
      <c r="B287" s="284" t="s">
        <v>199</v>
      </c>
      <c r="C287" s="284" t="s">
        <v>555</v>
      </c>
      <c r="D287" s="284" t="s">
        <v>556</v>
      </c>
      <c r="E287" s="402">
        <f t="shared" si="94"/>
        <v>42.3</v>
      </c>
      <c r="F287" s="402">
        <f t="shared" si="95"/>
        <v>0</v>
      </c>
      <c r="G287" s="402">
        <f t="shared" si="96"/>
        <v>0</v>
      </c>
      <c r="H287" s="402"/>
      <c r="I287" s="402"/>
      <c r="J287" s="402"/>
      <c r="K287" s="402"/>
      <c r="L287" s="402"/>
      <c r="M287" s="402">
        <f t="shared" si="97"/>
        <v>0</v>
      </c>
      <c r="N287" s="402"/>
      <c r="O287" s="402"/>
      <c r="P287" s="402"/>
      <c r="Q287" s="402">
        <f t="shared" si="98"/>
        <v>34.12</v>
      </c>
      <c r="R287" s="402">
        <f t="shared" si="99"/>
        <v>16.48</v>
      </c>
      <c r="S287" s="402">
        <v>12.08</v>
      </c>
      <c r="T287" s="402"/>
      <c r="U287" s="402">
        <v>4.4</v>
      </c>
      <c r="V287" s="402"/>
      <c r="W287" s="402"/>
      <c r="X287" s="402"/>
      <c r="Y287" s="402">
        <f t="shared" si="100"/>
        <v>17.64</v>
      </c>
      <c r="Z287" s="402">
        <v>2.64</v>
      </c>
      <c r="AA287" s="402"/>
      <c r="AB287" s="402"/>
      <c r="AC287" s="402"/>
      <c r="AD287" s="402"/>
      <c r="AE287" s="402">
        <v>15</v>
      </c>
      <c r="AF287" s="402">
        <f t="shared" si="101"/>
        <v>8.18</v>
      </c>
      <c r="AG287" s="402">
        <v>3.06</v>
      </c>
      <c r="AH287" s="402">
        <v>1.53</v>
      </c>
      <c r="AI287" s="402">
        <v>1.15</v>
      </c>
      <c r="AJ287" s="402">
        <v>0.04</v>
      </c>
      <c r="AK287" s="402">
        <v>0.11</v>
      </c>
      <c r="AL287" s="402">
        <v>2.29</v>
      </c>
      <c r="AM287" s="402"/>
      <c r="AN287" s="350"/>
      <c r="AO287" s="205">
        <f t="shared" si="82"/>
        <v>15</v>
      </c>
      <c r="AP287">
        <v>1.5</v>
      </c>
    </row>
    <row r="288" ht="36" hidden="1" spans="1:42">
      <c r="A288" s="284" t="s">
        <v>540</v>
      </c>
      <c r="B288" s="284" t="s">
        <v>199</v>
      </c>
      <c r="C288" s="284" t="s">
        <v>557</v>
      </c>
      <c r="D288" s="284" t="s">
        <v>556</v>
      </c>
      <c r="E288" s="402">
        <f t="shared" si="94"/>
        <v>26.28</v>
      </c>
      <c r="F288" s="402">
        <f t="shared" si="95"/>
        <v>0</v>
      </c>
      <c r="G288" s="402">
        <f t="shared" si="96"/>
        <v>0</v>
      </c>
      <c r="H288" s="402"/>
      <c r="I288" s="402"/>
      <c r="J288" s="402"/>
      <c r="K288" s="402"/>
      <c r="L288" s="402"/>
      <c r="M288" s="402">
        <f t="shared" si="97"/>
        <v>0</v>
      </c>
      <c r="N288" s="402"/>
      <c r="O288" s="402"/>
      <c r="P288" s="402"/>
      <c r="Q288" s="402">
        <f t="shared" si="98"/>
        <v>21.4</v>
      </c>
      <c r="R288" s="402">
        <f t="shared" si="99"/>
        <v>9.74</v>
      </c>
      <c r="S288" s="402">
        <v>6.97</v>
      </c>
      <c r="T288" s="402"/>
      <c r="U288" s="402">
        <v>2.77</v>
      </c>
      <c r="V288" s="402"/>
      <c r="W288" s="402"/>
      <c r="X288" s="402"/>
      <c r="Y288" s="402">
        <f t="shared" si="100"/>
        <v>11.66</v>
      </c>
      <c r="Z288" s="402">
        <v>1.66</v>
      </c>
      <c r="AA288" s="402"/>
      <c r="AB288" s="402"/>
      <c r="AC288" s="402"/>
      <c r="AD288" s="402"/>
      <c r="AE288" s="402">
        <v>10</v>
      </c>
      <c r="AF288" s="402">
        <f t="shared" si="101"/>
        <v>4.88</v>
      </c>
      <c r="AG288" s="402">
        <v>1.83</v>
      </c>
      <c r="AH288" s="402">
        <v>0.91</v>
      </c>
      <c r="AI288" s="402">
        <v>0.68</v>
      </c>
      <c r="AJ288" s="402">
        <v>0.02</v>
      </c>
      <c r="AK288" s="402">
        <v>0.07</v>
      </c>
      <c r="AL288" s="402">
        <v>1.37</v>
      </c>
      <c r="AM288" s="402"/>
      <c r="AN288" s="350"/>
      <c r="AO288" s="205">
        <f t="shared" si="82"/>
        <v>10</v>
      </c>
      <c r="AP288">
        <v>1</v>
      </c>
    </row>
    <row r="289" ht="36" hidden="1" spans="1:42">
      <c r="A289" s="284" t="s">
        <v>540</v>
      </c>
      <c r="B289" s="284" t="s">
        <v>199</v>
      </c>
      <c r="C289" s="284" t="s">
        <v>558</v>
      </c>
      <c r="D289" s="284" t="s">
        <v>556</v>
      </c>
      <c r="E289" s="402">
        <f t="shared" si="94"/>
        <v>81.15</v>
      </c>
      <c r="F289" s="402">
        <f t="shared" si="95"/>
        <v>0</v>
      </c>
      <c r="G289" s="402">
        <f t="shared" si="96"/>
        <v>0</v>
      </c>
      <c r="H289" s="402"/>
      <c r="I289" s="402"/>
      <c r="J289" s="402"/>
      <c r="K289" s="402"/>
      <c r="L289" s="402"/>
      <c r="M289" s="402">
        <f t="shared" si="97"/>
        <v>0</v>
      </c>
      <c r="N289" s="402"/>
      <c r="O289" s="412"/>
      <c r="P289" s="402"/>
      <c r="Q289" s="402">
        <f t="shared" si="98"/>
        <v>66.3</v>
      </c>
      <c r="R289" s="402">
        <f t="shared" si="99"/>
        <v>29.68</v>
      </c>
      <c r="S289" s="402">
        <v>21.31</v>
      </c>
      <c r="T289" s="402"/>
      <c r="U289" s="402">
        <v>8.37</v>
      </c>
      <c r="V289" s="402"/>
      <c r="W289" s="402"/>
      <c r="X289" s="402"/>
      <c r="Y289" s="402">
        <f t="shared" si="100"/>
        <v>36.62</v>
      </c>
      <c r="Z289" s="402">
        <v>5.02</v>
      </c>
      <c r="AA289" s="402"/>
      <c r="AB289" s="402"/>
      <c r="AC289" s="402"/>
      <c r="AD289" s="410">
        <v>1.6</v>
      </c>
      <c r="AE289" s="402">
        <v>30</v>
      </c>
      <c r="AF289" s="402">
        <f t="shared" si="101"/>
        <v>14.85</v>
      </c>
      <c r="AG289" s="402">
        <v>5.55</v>
      </c>
      <c r="AH289" s="402">
        <v>2.78</v>
      </c>
      <c r="AI289" s="402">
        <v>2.08</v>
      </c>
      <c r="AJ289" s="402">
        <v>0.07</v>
      </c>
      <c r="AK289" s="402">
        <v>0.21</v>
      </c>
      <c r="AL289" s="402">
        <v>4.16</v>
      </c>
      <c r="AM289" s="402"/>
      <c r="AN289" s="350"/>
      <c r="AO289" s="205">
        <f t="shared" si="82"/>
        <v>30</v>
      </c>
      <c r="AP289">
        <v>3</v>
      </c>
    </row>
    <row r="290" ht="36" hidden="1" spans="1:42">
      <c r="A290" s="284" t="s">
        <v>540</v>
      </c>
      <c r="B290" s="284" t="s">
        <v>199</v>
      </c>
      <c r="C290" s="284" t="s">
        <v>559</v>
      </c>
      <c r="D290" s="284" t="s">
        <v>556</v>
      </c>
      <c r="E290" s="402">
        <f t="shared" si="94"/>
        <v>38.31</v>
      </c>
      <c r="F290" s="402">
        <f t="shared" si="95"/>
        <v>0</v>
      </c>
      <c r="G290" s="402">
        <f t="shared" si="96"/>
        <v>0</v>
      </c>
      <c r="H290" s="402"/>
      <c r="I290" s="402"/>
      <c r="J290" s="402"/>
      <c r="K290" s="402"/>
      <c r="L290" s="402"/>
      <c r="M290" s="402">
        <f t="shared" si="97"/>
        <v>0</v>
      </c>
      <c r="N290" s="402"/>
      <c r="O290" s="402"/>
      <c r="P290" s="402"/>
      <c r="Q290" s="402">
        <f t="shared" si="98"/>
        <v>31.32</v>
      </c>
      <c r="R290" s="402">
        <f t="shared" si="99"/>
        <v>13.79</v>
      </c>
      <c r="S290" s="402">
        <v>9.57</v>
      </c>
      <c r="T290" s="402"/>
      <c r="U290" s="402">
        <v>4.22</v>
      </c>
      <c r="V290" s="402"/>
      <c r="W290" s="402"/>
      <c r="X290" s="402"/>
      <c r="Y290" s="402">
        <f t="shared" si="100"/>
        <v>17.53</v>
      </c>
      <c r="Z290" s="402">
        <v>2.53</v>
      </c>
      <c r="AA290" s="402"/>
      <c r="AB290" s="402"/>
      <c r="AC290" s="402"/>
      <c r="AD290" s="402"/>
      <c r="AE290" s="402">
        <v>15</v>
      </c>
      <c r="AF290" s="402">
        <f t="shared" si="101"/>
        <v>6.99</v>
      </c>
      <c r="AG290" s="402">
        <v>2.61</v>
      </c>
      <c r="AH290" s="402">
        <v>1.31</v>
      </c>
      <c r="AI290" s="402">
        <v>0.98</v>
      </c>
      <c r="AJ290" s="402">
        <v>0.03</v>
      </c>
      <c r="AK290" s="402">
        <v>0.1</v>
      </c>
      <c r="AL290" s="402">
        <v>1.96</v>
      </c>
      <c r="AM290" s="402"/>
      <c r="AN290" s="350"/>
      <c r="AO290" s="205">
        <f t="shared" si="82"/>
        <v>15</v>
      </c>
      <c r="AP290">
        <v>1.5</v>
      </c>
    </row>
    <row r="291" ht="36" hidden="1" spans="1:42">
      <c r="A291" s="284" t="s">
        <v>540</v>
      </c>
      <c r="B291" s="284" t="s">
        <v>199</v>
      </c>
      <c r="C291" s="284" t="s">
        <v>560</v>
      </c>
      <c r="D291" s="284" t="s">
        <v>556</v>
      </c>
      <c r="E291" s="402">
        <f t="shared" si="94"/>
        <v>38.6</v>
      </c>
      <c r="F291" s="402">
        <f t="shared" si="95"/>
        <v>0</v>
      </c>
      <c r="G291" s="402">
        <f t="shared" si="96"/>
        <v>0</v>
      </c>
      <c r="H291" s="402"/>
      <c r="I291" s="402"/>
      <c r="J291" s="402"/>
      <c r="K291" s="402"/>
      <c r="L291" s="402"/>
      <c r="M291" s="402">
        <f t="shared" si="97"/>
        <v>0</v>
      </c>
      <c r="N291" s="402"/>
      <c r="O291" s="402"/>
      <c r="P291" s="402"/>
      <c r="Q291" s="402">
        <f t="shared" si="98"/>
        <v>31.53</v>
      </c>
      <c r="R291" s="402">
        <f t="shared" si="99"/>
        <v>14</v>
      </c>
      <c r="S291" s="402">
        <v>9.78</v>
      </c>
      <c r="T291" s="402"/>
      <c r="U291" s="402">
        <v>4.22</v>
      </c>
      <c r="V291" s="402"/>
      <c r="W291" s="402"/>
      <c r="X291" s="402"/>
      <c r="Y291" s="402">
        <f t="shared" si="100"/>
        <v>17.53</v>
      </c>
      <c r="Z291" s="402">
        <v>2.53</v>
      </c>
      <c r="AA291" s="402"/>
      <c r="AB291" s="402"/>
      <c r="AC291" s="402"/>
      <c r="AD291" s="402"/>
      <c r="AE291" s="402">
        <v>15</v>
      </c>
      <c r="AF291" s="402">
        <f t="shared" si="101"/>
        <v>7.07</v>
      </c>
      <c r="AG291" s="402">
        <v>2.65</v>
      </c>
      <c r="AH291" s="402">
        <v>1.32</v>
      </c>
      <c r="AI291" s="402">
        <v>0.99</v>
      </c>
      <c r="AJ291" s="402">
        <v>0.03</v>
      </c>
      <c r="AK291" s="402">
        <v>0.1</v>
      </c>
      <c r="AL291" s="402">
        <v>1.98</v>
      </c>
      <c r="AM291" s="402"/>
      <c r="AN291" s="350"/>
      <c r="AO291" s="205">
        <f t="shared" si="82"/>
        <v>15</v>
      </c>
      <c r="AP291">
        <v>1.5</v>
      </c>
    </row>
    <row r="292" ht="24" hidden="1" spans="1:42">
      <c r="A292" s="284" t="s">
        <v>540</v>
      </c>
      <c r="B292" s="284" t="s">
        <v>199</v>
      </c>
      <c r="C292" s="284" t="s">
        <v>561</v>
      </c>
      <c r="D292" s="284" t="s">
        <v>562</v>
      </c>
      <c r="E292" s="402">
        <f t="shared" si="94"/>
        <v>27.69</v>
      </c>
      <c r="F292" s="402">
        <f t="shared" si="95"/>
        <v>0</v>
      </c>
      <c r="G292" s="402">
        <f t="shared" si="96"/>
        <v>0</v>
      </c>
      <c r="H292" s="402"/>
      <c r="I292" s="402"/>
      <c r="J292" s="402"/>
      <c r="K292" s="402"/>
      <c r="L292" s="402"/>
      <c r="M292" s="402">
        <f t="shared" si="97"/>
        <v>0</v>
      </c>
      <c r="N292" s="402"/>
      <c r="O292" s="402"/>
      <c r="P292" s="402"/>
      <c r="Q292" s="402">
        <f t="shared" si="98"/>
        <v>22.98</v>
      </c>
      <c r="R292" s="402">
        <f t="shared" si="99"/>
        <v>9.35</v>
      </c>
      <c r="S292" s="402">
        <v>6.64</v>
      </c>
      <c r="T292" s="402"/>
      <c r="U292" s="402">
        <v>2.71</v>
      </c>
      <c r="V292" s="402"/>
      <c r="W292" s="402"/>
      <c r="X292" s="402"/>
      <c r="Y292" s="402">
        <f t="shared" si="100"/>
        <v>13.63</v>
      </c>
      <c r="Z292" s="402">
        <v>1.63</v>
      </c>
      <c r="AA292" s="402"/>
      <c r="AB292" s="402"/>
      <c r="AC292" s="402"/>
      <c r="AD292" s="402"/>
      <c r="AE292" s="402">
        <v>12</v>
      </c>
      <c r="AF292" s="402">
        <f t="shared" si="101"/>
        <v>4.71</v>
      </c>
      <c r="AG292" s="402">
        <v>1.76</v>
      </c>
      <c r="AH292" s="402">
        <v>0.88</v>
      </c>
      <c r="AI292" s="402">
        <v>0.66</v>
      </c>
      <c r="AJ292" s="402">
        <v>0.02</v>
      </c>
      <c r="AK292" s="402">
        <v>0.07</v>
      </c>
      <c r="AL292" s="402">
        <v>1.32</v>
      </c>
      <c r="AM292" s="402"/>
      <c r="AN292" s="350"/>
      <c r="AO292" s="205">
        <f t="shared" si="82"/>
        <v>12</v>
      </c>
      <c r="AP292">
        <v>2.53</v>
      </c>
    </row>
    <row r="293" ht="36" hidden="1" spans="1:42">
      <c r="A293" s="284" t="s">
        <v>540</v>
      </c>
      <c r="B293" s="284" t="s">
        <v>199</v>
      </c>
      <c r="C293" s="284" t="s">
        <v>563</v>
      </c>
      <c r="D293" s="284" t="s">
        <v>564</v>
      </c>
      <c r="E293" s="402">
        <f t="shared" si="94"/>
        <v>12.81</v>
      </c>
      <c r="F293" s="402">
        <f t="shared" si="95"/>
        <v>0</v>
      </c>
      <c r="G293" s="402">
        <f t="shared" si="96"/>
        <v>0</v>
      </c>
      <c r="H293" s="402"/>
      <c r="I293" s="402"/>
      <c r="J293" s="402"/>
      <c r="K293" s="402"/>
      <c r="L293" s="402"/>
      <c r="M293" s="402">
        <f t="shared" si="97"/>
        <v>0</v>
      </c>
      <c r="N293" s="402"/>
      <c r="O293" s="412"/>
      <c r="P293" s="402"/>
      <c r="Q293" s="402">
        <f t="shared" si="98"/>
        <v>10.78</v>
      </c>
      <c r="R293" s="402">
        <f t="shared" si="99"/>
        <v>4</v>
      </c>
      <c r="S293" s="402">
        <v>2.8</v>
      </c>
      <c r="T293" s="402"/>
      <c r="U293" s="402">
        <v>1.2</v>
      </c>
      <c r="V293" s="402"/>
      <c r="W293" s="402"/>
      <c r="X293" s="402"/>
      <c r="Y293" s="402">
        <f t="shared" si="100"/>
        <v>6.78</v>
      </c>
      <c r="Z293" s="402">
        <v>0.72</v>
      </c>
      <c r="AA293" s="402"/>
      <c r="AB293" s="402"/>
      <c r="AC293" s="402"/>
      <c r="AD293" s="409">
        <v>0.06</v>
      </c>
      <c r="AE293" s="402">
        <v>6</v>
      </c>
      <c r="AF293" s="402">
        <f t="shared" si="101"/>
        <v>2.03</v>
      </c>
      <c r="AG293" s="402">
        <v>0.76</v>
      </c>
      <c r="AH293" s="402">
        <v>0.38</v>
      </c>
      <c r="AI293" s="402">
        <v>0.28</v>
      </c>
      <c r="AJ293" s="402">
        <v>0.01</v>
      </c>
      <c r="AK293" s="402">
        <v>0.03</v>
      </c>
      <c r="AL293" s="402">
        <v>0.57</v>
      </c>
      <c r="AM293" s="402"/>
      <c r="AN293" s="350"/>
      <c r="AO293" s="205">
        <f t="shared" si="82"/>
        <v>6</v>
      </c>
      <c r="AP293">
        <v>1.01</v>
      </c>
    </row>
    <row r="294" ht="36" hidden="1" spans="1:42">
      <c r="A294" s="284" t="s">
        <v>540</v>
      </c>
      <c r="B294" s="284" t="s">
        <v>199</v>
      </c>
      <c r="C294" s="284" t="s">
        <v>565</v>
      </c>
      <c r="D294" s="284" t="s">
        <v>566</v>
      </c>
      <c r="E294" s="402">
        <f t="shared" si="94"/>
        <v>79.27</v>
      </c>
      <c r="F294" s="402">
        <f t="shared" si="95"/>
        <v>0</v>
      </c>
      <c r="G294" s="402">
        <f t="shared" si="96"/>
        <v>0</v>
      </c>
      <c r="H294" s="402"/>
      <c r="I294" s="402"/>
      <c r="J294" s="402"/>
      <c r="K294" s="402"/>
      <c r="L294" s="402"/>
      <c r="M294" s="402">
        <f t="shared" si="97"/>
        <v>0</v>
      </c>
      <c r="N294" s="402"/>
      <c r="O294" s="402"/>
      <c r="P294" s="402"/>
      <c r="Q294" s="402">
        <f t="shared" si="98"/>
        <v>64.5</v>
      </c>
      <c r="R294" s="402">
        <f t="shared" si="99"/>
        <v>29.24</v>
      </c>
      <c r="S294" s="402">
        <v>20.48</v>
      </c>
      <c r="T294" s="402"/>
      <c r="U294" s="402">
        <v>8.76</v>
      </c>
      <c r="V294" s="402"/>
      <c r="W294" s="402"/>
      <c r="X294" s="402"/>
      <c r="Y294" s="402">
        <f t="shared" si="100"/>
        <v>35.26</v>
      </c>
      <c r="Z294" s="402">
        <v>5.26</v>
      </c>
      <c r="AA294" s="402"/>
      <c r="AB294" s="402"/>
      <c r="AC294" s="402"/>
      <c r="AD294" s="402"/>
      <c r="AE294" s="402">
        <v>30</v>
      </c>
      <c r="AF294" s="402">
        <f t="shared" si="101"/>
        <v>14.77</v>
      </c>
      <c r="AG294" s="402">
        <v>5.52</v>
      </c>
      <c r="AH294" s="402">
        <v>2.76</v>
      </c>
      <c r="AI294" s="402">
        <v>2.07</v>
      </c>
      <c r="AJ294" s="402">
        <v>0.07</v>
      </c>
      <c r="AK294" s="402">
        <v>0.21</v>
      </c>
      <c r="AL294" s="402">
        <v>4.14</v>
      </c>
      <c r="AM294" s="402"/>
      <c r="AN294" s="350"/>
      <c r="AO294" s="205">
        <f t="shared" si="82"/>
        <v>30</v>
      </c>
      <c r="AP294">
        <v>3.51</v>
      </c>
    </row>
    <row r="295" ht="24" hidden="1" spans="1:42">
      <c r="A295" s="284" t="s">
        <v>540</v>
      </c>
      <c r="B295" s="284" t="s">
        <v>196</v>
      </c>
      <c r="C295" s="284" t="s">
        <v>567</v>
      </c>
      <c r="D295" s="284" t="s">
        <v>568</v>
      </c>
      <c r="E295" s="402">
        <f t="shared" si="94"/>
        <v>103.33</v>
      </c>
      <c r="F295" s="402">
        <f t="shared" si="95"/>
        <v>86.9</v>
      </c>
      <c r="G295" s="402">
        <f t="shared" si="96"/>
        <v>39.54</v>
      </c>
      <c r="H295" s="402">
        <v>22.69</v>
      </c>
      <c r="I295" s="402">
        <v>14.96</v>
      </c>
      <c r="J295" s="402">
        <v>1.89</v>
      </c>
      <c r="K295" s="402"/>
      <c r="L295" s="402"/>
      <c r="M295" s="402">
        <f t="shared" si="97"/>
        <v>47.36</v>
      </c>
      <c r="N295" s="402"/>
      <c r="O295" s="402">
        <v>18.36</v>
      </c>
      <c r="P295" s="402">
        <v>29</v>
      </c>
      <c r="Q295" s="402">
        <f t="shared" si="98"/>
        <v>0</v>
      </c>
      <c r="R295" s="402">
        <f t="shared" si="99"/>
        <v>0</v>
      </c>
      <c r="S295" s="402"/>
      <c r="T295" s="402"/>
      <c r="U295" s="402"/>
      <c r="V295" s="402"/>
      <c r="W295" s="402"/>
      <c r="X295" s="402"/>
      <c r="Y295" s="402">
        <f t="shared" si="100"/>
        <v>0</v>
      </c>
      <c r="Z295" s="402"/>
      <c r="AA295" s="402"/>
      <c r="AB295" s="402"/>
      <c r="AC295" s="402"/>
      <c r="AD295" s="402"/>
      <c r="AE295" s="402"/>
      <c r="AF295" s="402">
        <f t="shared" si="101"/>
        <v>16.43</v>
      </c>
      <c r="AG295" s="402">
        <v>6.33</v>
      </c>
      <c r="AH295" s="402">
        <v>3.01</v>
      </c>
      <c r="AI295" s="402">
        <v>2.26</v>
      </c>
      <c r="AJ295" s="402">
        <v>0.08</v>
      </c>
      <c r="AK295" s="402">
        <v>0.23</v>
      </c>
      <c r="AL295" s="402">
        <v>4.52</v>
      </c>
      <c r="AM295" s="402"/>
      <c r="AN295" s="350"/>
      <c r="AO295" s="205">
        <f t="shared" si="82"/>
        <v>29</v>
      </c>
      <c r="AP295">
        <v>4.6208</v>
      </c>
    </row>
    <row r="296" ht="24" hidden="1" spans="1:42">
      <c r="A296" s="284" t="s">
        <v>540</v>
      </c>
      <c r="B296" s="284" t="s">
        <v>199</v>
      </c>
      <c r="C296" s="284" t="s">
        <v>569</v>
      </c>
      <c r="D296" s="284" t="s">
        <v>570</v>
      </c>
      <c r="E296" s="402">
        <f t="shared" si="94"/>
        <v>28.65</v>
      </c>
      <c r="F296" s="402">
        <f t="shared" si="95"/>
        <v>0</v>
      </c>
      <c r="G296" s="402">
        <f t="shared" si="96"/>
        <v>0</v>
      </c>
      <c r="H296" s="402"/>
      <c r="I296" s="402"/>
      <c r="J296" s="402"/>
      <c r="K296" s="402"/>
      <c r="L296" s="402"/>
      <c r="M296" s="402">
        <f t="shared" si="97"/>
        <v>0</v>
      </c>
      <c r="N296" s="402"/>
      <c r="O296" s="402"/>
      <c r="P296" s="402"/>
      <c r="Q296" s="402">
        <f t="shared" si="98"/>
        <v>23.66</v>
      </c>
      <c r="R296" s="402">
        <f t="shared" si="99"/>
        <v>10.05</v>
      </c>
      <c r="S296" s="402">
        <v>7.36</v>
      </c>
      <c r="T296" s="402">
        <v>2.69</v>
      </c>
      <c r="U296" s="402"/>
      <c r="V296" s="402"/>
      <c r="W296" s="402"/>
      <c r="X296" s="402"/>
      <c r="Y296" s="402">
        <f t="shared" si="100"/>
        <v>13.61</v>
      </c>
      <c r="Z296" s="402">
        <v>1.61</v>
      </c>
      <c r="AA296" s="402"/>
      <c r="AB296" s="402"/>
      <c r="AC296" s="402"/>
      <c r="AD296" s="402"/>
      <c r="AE296" s="402">
        <v>12</v>
      </c>
      <c r="AF296" s="402">
        <f t="shared" si="101"/>
        <v>4.99</v>
      </c>
      <c r="AG296" s="402">
        <v>1.87</v>
      </c>
      <c r="AH296" s="402">
        <v>0.93</v>
      </c>
      <c r="AI296" s="402">
        <v>0.7</v>
      </c>
      <c r="AJ296" s="402">
        <v>0.02</v>
      </c>
      <c r="AK296" s="402">
        <v>0.07</v>
      </c>
      <c r="AL296" s="402">
        <v>1.4</v>
      </c>
      <c r="AM296" s="402"/>
      <c r="AN296" s="350"/>
      <c r="AO296" s="205">
        <f t="shared" si="82"/>
        <v>12</v>
      </c>
      <c r="AP296">
        <v>0.67</v>
      </c>
    </row>
    <row r="297" ht="24" hidden="1" spans="1:42">
      <c r="A297" s="284" t="s">
        <v>540</v>
      </c>
      <c r="B297" s="284" t="s">
        <v>196</v>
      </c>
      <c r="C297" s="284" t="s">
        <v>571</v>
      </c>
      <c r="D297" s="284" t="s">
        <v>572</v>
      </c>
      <c r="E297" s="402">
        <f t="shared" si="94"/>
        <v>42.75</v>
      </c>
      <c r="F297" s="402">
        <f t="shared" si="95"/>
        <v>34.58</v>
      </c>
      <c r="G297" s="402">
        <f t="shared" si="96"/>
        <v>19.58</v>
      </c>
      <c r="H297" s="402">
        <v>10.87</v>
      </c>
      <c r="I297" s="402">
        <v>7.8</v>
      </c>
      <c r="J297" s="402">
        <v>0.91</v>
      </c>
      <c r="K297" s="402"/>
      <c r="L297" s="402"/>
      <c r="M297" s="402">
        <f t="shared" si="97"/>
        <v>15</v>
      </c>
      <c r="N297" s="402"/>
      <c r="O297" s="402"/>
      <c r="P297" s="402">
        <v>15</v>
      </c>
      <c r="Q297" s="402">
        <f t="shared" si="98"/>
        <v>0</v>
      </c>
      <c r="R297" s="402">
        <f t="shared" si="99"/>
        <v>0</v>
      </c>
      <c r="S297" s="402"/>
      <c r="T297" s="402"/>
      <c r="U297" s="402"/>
      <c r="V297" s="402"/>
      <c r="W297" s="402"/>
      <c r="X297" s="402"/>
      <c r="Y297" s="402">
        <f t="shared" si="100"/>
        <v>0</v>
      </c>
      <c r="Z297" s="402"/>
      <c r="AA297" s="402"/>
      <c r="AB297" s="402"/>
      <c r="AC297" s="402"/>
      <c r="AD297" s="402"/>
      <c r="AE297" s="404"/>
      <c r="AF297" s="402">
        <f t="shared" si="101"/>
        <v>8.17</v>
      </c>
      <c r="AG297" s="402">
        <v>3.13</v>
      </c>
      <c r="AH297" s="402">
        <v>1.49</v>
      </c>
      <c r="AI297" s="402">
        <v>1.12</v>
      </c>
      <c r="AJ297" s="402">
        <v>0.08</v>
      </c>
      <c r="AK297" s="402">
        <v>0.11</v>
      </c>
      <c r="AL297" s="402">
        <v>2.24</v>
      </c>
      <c r="AM297" s="402"/>
      <c r="AN297" s="350"/>
      <c r="AO297" s="205">
        <f t="shared" si="82"/>
        <v>15</v>
      </c>
      <c r="AP297">
        <v>1.5848</v>
      </c>
    </row>
    <row r="298" ht="24" hidden="1" spans="1:42">
      <c r="A298" s="284" t="s">
        <v>540</v>
      </c>
      <c r="B298" s="284" t="s">
        <v>196</v>
      </c>
      <c r="C298" s="284" t="s">
        <v>573</v>
      </c>
      <c r="D298" s="284" t="s">
        <v>574</v>
      </c>
      <c r="E298" s="402">
        <f t="shared" si="94"/>
        <v>83.31</v>
      </c>
      <c r="F298" s="402">
        <f t="shared" si="95"/>
        <v>67.37</v>
      </c>
      <c r="G298" s="402">
        <f t="shared" si="96"/>
        <v>38.37</v>
      </c>
      <c r="H298" s="402">
        <v>21.61</v>
      </c>
      <c r="I298" s="402">
        <v>14.96</v>
      </c>
      <c r="J298" s="402">
        <v>1.8</v>
      </c>
      <c r="K298" s="402"/>
      <c r="L298" s="402"/>
      <c r="M298" s="402">
        <f t="shared" si="97"/>
        <v>29</v>
      </c>
      <c r="N298" s="402"/>
      <c r="O298" s="402"/>
      <c r="P298" s="402">
        <v>29</v>
      </c>
      <c r="Q298" s="402">
        <f t="shared" si="98"/>
        <v>0</v>
      </c>
      <c r="R298" s="402">
        <f t="shared" si="99"/>
        <v>0</v>
      </c>
      <c r="S298" s="402"/>
      <c r="T298" s="402"/>
      <c r="U298" s="402"/>
      <c r="V298" s="402"/>
      <c r="W298" s="402"/>
      <c r="X298" s="402"/>
      <c r="Y298" s="402">
        <f t="shared" si="100"/>
        <v>0</v>
      </c>
      <c r="Z298" s="402"/>
      <c r="AA298" s="402"/>
      <c r="AB298" s="402"/>
      <c r="AC298" s="402"/>
      <c r="AD298" s="402"/>
      <c r="AE298" s="402"/>
      <c r="AF298" s="402">
        <f t="shared" si="101"/>
        <v>15.94</v>
      </c>
      <c r="AG298" s="402">
        <v>6.14</v>
      </c>
      <c r="AH298" s="402">
        <v>2.93</v>
      </c>
      <c r="AI298" s="402">
        <v>2.19</v>
      </c>
      <c r="AJ298" s="402">
        <v>0.07</v>
      </c>
      <c r="AK298" s="402">
        <v>0.22</v>
      </c>
      <c r="AL298" s="402">
        <v>4.39</v>
      </c>
      <c r="AM298" s="402"/>
      <c r="AN298" s="350"/>
      <c r="AO298" s="205">
        <f t="shared" si="82"/>
        <v>29</v>
      </c>
      <c r="AP298">
        <v>3.0642</v>
      </c>
    </row>
    <row r="299" ht="24" hidden="1" spans="1:42">
      <c r="A299" s="284" t="s">
        <v>540</v>
      </c>
      <c r="B299" s="284" t="s">
        <v>199</v>
      </c>
      <c r="C299" s="284" t="s">
        <v>575</v>
      </c>
      <c r="D299" s="284" t="s">
        <v>576</v>
      </c>
      <c r="E299" s="402">
        <f t="shared" si="94"/>
        <v>68.81</v>
      </c>
      <c r="F299" s="402">
        <f t="shared" si="95"/>
        <v>0</v>
      </c>
      <c r="G299" s="402">
        <f t="shared" si="96"/>
        <v>0</v>
      </c>
      <c r="H299" s="402"/>
      <c r="I299" s="402"/>
      <c r="J299" s="402"/>
      <c r="K299" s="402"/>
      <c r="L299" s="402"/>
      <c r="M299" s="402">
        <f t="shared" si="97"/>
        <v>0</v>
      </c>
      <c r="N299" s="402"/>
      <c r="O299" s="412"/>
      <c r="P299" s="402"/>
      <c r="Q299" s="402">
        <f t="shared" si="98"/>
        <v>57.24</v>
      </c>
      <c r="R299" s="402">
        <f t="shared" si="99"/>
        <v>22.84</v>
      </c>
      <c r="S299" s="402">
        <v>15.85</v>
      </c>
      <c r="T299" s="402"/>
      <c r="U299" s="402">
        <v>6.99</v>
      </c>
      <c r="V299" s="402"/>
      <c r="W299" s="402"/>
      <c r="X299" s="402"/>
      <c r="Y299" s="402">
        <f t="shared" si="100"/>
        <v>34.4</v>
      </c>
      <c r="Z299" s="402">
        <v>4.2</v>
      </c>
      <c r="AA299" s="402"/>
      <c r="AB299" s="402"/>
      <c r="AC299" s="402"/>
      <c r="AD299" s="409">
        <v>1.2</v>
      </c>
      <c r="AE299" s="402">
        <v>29</v>
      </c>
      <c r="AF299" s="402">
        <f t="shared" si="101"/>
        <v>11.57</v>
      </c>
      <c r="AG299" s="402">
        <v>4.33</v>
      </c>
      <c r="AH299" s="402">
        <v>2.16</v>
      </c>
      <c r="AI299" s="402">
        <v>1.62</v>
      </c>
      <c r="AJ299" s="402">
        <v>0.05</v>
      </c>
      <c r="AK299" s="402">
        <v>0.16</v>
      </c>
      <c r="AL299" s="402">
        <v>3.25</v>
      </c>
      <c r="AM299" s="402"/>
      <c r="AN299" s="350"/>
      <c r="AO299" s="205">
        <f t="shared" si="82"/>
        <v>29</v>
      </c>
      <c r="AP299">
        <v>2.5</v>
      </c>
    </row>
    <row r="300" s="311" customFormat="1" ht="21" customHeight="1" spans="1:44">
      <c r="A300" s="328"/>
      <c r="B300" s="328"/>
      <c r="C300" s="328" t="s">
        <v>138</v>
      </c>
      <c r="D300" s="329">
        <v>210</v>
      </c>
      <c r="E300" s="401">
        <f t="shared" ref="E300:P300" si="102">SUM(E301:E329)</f>
        <v>6990.8977</v>
      </c>
      <c r="F300" s="401">
        <f t="shared" si="102"/>
        <v>482.6</v>
      </c>
      <c r="G300" s="401">
        <f t="shared" si="102"/>
        <v>239.12</v>
      </c>
      <c r="H300" s="401">
        <f t="shared" si="102"/>
        <v>136.44</v>
      </c>
      <c r="I300" s="401">
        <f t="shared" si="102"/>
        <v>91.3</v>
      </c>
      <c r="J300" s="401">
        <f t="shared" si="102"/>
        <v>11.38</v>
      </c>
      <c r="K300" s="401">
        <f t="shared" si="102"/>
        <v>0</v>
      </c>
      <c r="L300" s="401">
        <f t="shared" si="102"/>
        <v>0</v>
      </c>
      <c r="M300" s="401">
        <f t="shared" si="102"/>
        <v>243.48</v>
      </c>
      <c r="N300" s="401">
        <f t="shared" si="102"/>
        <v>2.48</v>
      </c>
      <c r="O300" s="401">
        <f t="shared" si="102"/>
        <v>80</v>
      </c>
      <c r="P300" s="401">
        <f t="shared" si="102"/>
        <v>161</v>
      </c>
      <c r="Q300" s="401">
        <f t="shared" ref="Q300:AE300" si="103">SUM(Q301:Q329)</f>
        <v>5175.968</v>
      </c>
      <c r="R300" s="401">
        <f t="shared" si="103"/>
        <v>2583.768</v>
      </c>
      <c r="S300" s="401">
        <f t="shared" si="103"/>
        <v>1720.27</v>
      </c>
      <c r="T300" s="401">
        <f t="shared" si="103"/>
        <v>38.45</v>
      </c>
      <c r="U300" s="401">
        <f t="shared" si="103"/>
        <v>693.298</v>
      </c>
      <c r="V300" s="401">
        <f t="shared" si="103"/>
        <v>109.32</v>
      </c>
      <c r="W300" s="401">
        <f t="shared" si="103"/>
        <v>0</v>
      </c>
      <c r="X300" s="401">
        <f t="shared" si="103"/>
        <v>22.43</v>
      </c>
      <c r="Y300" s="401">
        <f t="shared" si="103"/>
        <v>2592.2</v>
      </c>
      <c r="Z300" s="401">
        <f t="shared" si="103"/>
        <v>415.96</v>
      </c>
      <c r="AA300" s="401">
        <f t="shared" si="103"/>
        <v>0</v>
      </c>
      <c r="AB300" s="401">
        <f t="shared" si="103"/>
        <v>2.48</v>
      </c>
      <c r="AC300" s="401">
        <f t="shared" si="103"/>
        <v>0</v>
      </c>
      <c r="AD300" s="401">
        <f t="shared" si="103"/>
        <v>1683.32</v>
      </c>
      <c r="AE300" s="401">
        <f t="shared" si="103"/>
        <v>490.44</v>
      </c>
      <c r="AF300" s="401">
        <f t="shared" ref="AF300:AM300" si="104">SUM(AF301:AF329)</f>
        <v>1332.3297</v>
      </c>
      <c r="AG300" s="401">
        <f t="shared" si="104"/>
        <v>497.1369</v>
      </c>
      <c r="AH300" s="401">
        <f t="shared" si="104"/>
        <v>247.64</v>
      </c>
      <c r="AI300" s="401">
        <f t="shared" si="104"/>
        <v>185.7476</v>
      </c>
      <c r="AJ300" s="401">
        <f t="shared" si="104"/>
        <v>11.77</v>
      </c>
      <c r="AK300" s="401">
        <f t="shared" si="104"/>
        <v>18.57</v>
      </c>
      <c r="AL300" s="401">
        <f t="shared" si="104"/>
        <v>371.4652</v>
      </c>
      <c r="AM300" s="401">
        <f t="shared" si="104"/>
        <v>0</v>
      </c>
      <c r="AN300" s="362"/>
      <c r="AO300" s="407">
        <f t="shared" si="82"/>
        <v>651.44</v>
      </c>
      <c r="AP300" s="373"/>
      <c r="AR300"/>
    </row>
    <row r="301" ht="24" hidden="1" spans="1:42">
      <c r="A301" s="284" t="s">
        <v>540</v>
      </c>
      <c r="B301" s="284" t="s">
        <v>196</v>
      </c>
      <c r="C301" s="284" t="s">
        <v>577</v>
      </c>
      <c r="D301" s="284" t="s">
        <v>578</v>
      </c>
      <c r="E301" s="402">
        <f t="shared" ref="E301:E329" si="105">F301+Q301+AF301</f>
        <v>228.65</v>
      </c>
      <c r="F301" s="402">
        <f t="shared" ref="F301:F329" si="106">G301+M301</f>
        <v>180.36</v>
      </c>
      <c r="G301" s="402">
        <f t="shared" ref="G301:G329" si="107">SUM(H301:L301)</f>
        <v>116.36</v>
      </c>
      <c r="H301" s="402">
        <v>67.52</v>
      </c>
      <c r="I301" s="402">
        <v>43.21</v>
      </c>
      <c r="J301" s="402">
        <v>5.63</v>
      </c>
      <c r="K301" s="402"/>
      <c r="L301" s="402"/>
      <c r="M301" s="402">
        <f t="shared" ref="M301:M329" si="108">SUM(N301:P301)</f>
        <v>64</v>
      </c>
      <c r="N301" s="402"/>
      <c r="O301" s="402"/>
      <c r="P301" s="404">
        <v>64</v>
      </c>
      <c r="Q301" s="402">
        <f t="shared" ref="Q301:Q329" si="109">R301+Y301</f>
        <v>0</v>
      </c>
      <c r="R301" s="402">
        <f t="shared" ref="R301:R329" si="110">SUM(S301:X301)</f>
        <v>0</v>
      </c>
      <c r="S301" s="402"/>
      <c r="T301" s="402"/>
      <c r="U301" s="402"/>
      <c r="V301" s="402"/>
      <c r="W301" s="402"/>
      <c r="X301" s="402"/>
      <c r="Y301" s="402">
        <f t="shared" ref="Y301:Y329" si="111">SUM(Z301:AE301)</f>
        <v>0</v>
      </c>
      <c r="Z301" s="402"/>
      <c r="AA301" s="402"/>
      <c r="AB301" s="402"/>
      <c r="AC301" s="402"/>
      <c r="AD301" s="402"/>
      <c r="AE301" s="402"/>
      <c r="AF301" s="402">
        <f t="shared" ref="AF301:AF329" si="112">SUM(AG301:AM301)</f>
        <v>48.29</v>
      </c>
      <c r="AG301" s="402">
        <v>18.62</v>
      </c>
      <c r="AH301" s="402">
        <v>8.86</v>
      </c>
      <c r="AI301" s="402">
        <v>6.64</v>
      </c>
      <c r="AJ301" s="402">
        <v>0.22</v>
      </c>
      <c r="AK301" s="402">
        <v>0.66</v>
      </c>
      <c r="AL301" s="402">
        <v>13.29</v>
      </c>
      <c r="AM301" s="402"/>
      <c r="AN301" s="350"/>
      <c r="AO301" s="205">
        <f t="shared" si="82"/>
        <v>64</v>
      </c>
      <c r="AP301">
        <v>13.2424</v>
      </c>
    </row>
    <row r="302" ht="24" hidden="1" spans="1:42">
      <c r="A302" s="284" t="s">
        <v>540</v>
      </c>
      <c r="B302" s="284" t="s">
        <v>196</v>
      </c>
      <c r="C302" s="284" t="s">
        <v>579</v>
      </c>
      <c r="D302" s="284" t="s">
        <v>578</v>
      </c>
      <c r="E302" s="402">
        <f t="shared" si="105"/>
        <v>43.43</v>
      </c>
      <c r="F302" s="402">
        <f t="shared" si="106"/>
        <v>35.09</v>
      </c>
      <c r="G302" s="402">
        <f t="shared" si="107"/>
        <v>20.09</v>
      </c>
      <c r="H302" s="402">
        <v>11.12</v>
      </c>
      <c r="I302" s="402">
        <v>8.04</v>
      </c>
      <c r="J302" s="402">
        <v>0.93</v>
      </c>
      <c r="K302" s="402"/>
      <c r="L302" s="402"/>
      <c r="M302" s="402">
        <f t="shared" si="108"/>
        <v>15</v>
      </c>
      <c r="N302" s="402"/>
      <c r="O302" s="402"/>
      <c r="P302" s="402">
        <v>15</v>
      </c>
      <c r="Q302" s="402">
        <f t="shared" si="109"/>
        <v>0</v>
      </c>
      <c r="R302" s="402">
        <f t="shared" si="110"/>
        <v>0</v>
      </c>
      <c r="S302" s="402"/>
      <c r="T302" s="402"/>
      <c r="U302" s="402"/>
      <c r="V302" s="402"/>
      <c r="W302" s="402"/>
      <c r="X302" s="402"/>
      <c r="Y302" s="402">
        <f t="shared" si="111"/>
        <v>0</v>
      </c>
      <c r="Z302" s="402"/>
      <c r="AA302" s="402"/>
      <c r="AB302" s="402"/>
      <c r="AC302" s="402"/>
      <c r="AD302" s="402"/>
      <c r="AE302" s="404"/>
      <c r="AF302" s="402">
        <f t="shared" si="112"/>
        <v>8.34</v>
      </c>
      <c r="AG302" s="402">
        <v>3.21</v>
      </c>
      <c r="AH302" s="402">
        <v>1.53</v>
      </c>
      <c r="AI302" s="402">
        <v>1.15</v>
      </c>
      <c r="AJ302" s="402">
        <v>0.04</v>
      </c>
      <c r="AK302" s="402">
        <v>0.11</v>
      </c>
      <c r="AL302" s="402">
        <v>2.3</v>
      </c>
      <c r="AM302" s="402"/>
      <c r="AN302" s="350"/>
      <c r="AO302" s="205">
        <f t="shared" si="82"/>
        <v>15</v>
      </c>
      <c r="AP302">
        <v>1.6308</v>
      </c>
    </row>
    <row r="303" ht="24" hidden="1" spans="1:42">
      <c r="A303" s="284" t="s">
        <v>540</v>
      </c>
      <c r="B303" s="284" t="s">
        <v>199</v>
      </c>
      <c r="C303" s="284" t="s">
        <v>580</v>
      </c>
      <c r="D303" s="284" t="s">
        <v>581</v>
      </c>
      <c r="E303" s="402">
        <f t="shared" si="105"/>
        <v>111.45</v>
      </c>
      <c r="F303" s="402">
        <f t="shared" si="106"/>
        <v>0</v>
      </c>
      <c r="G303" s="402">
        <f t="shared" si="107"/>
        <v>0</v>
      </c>
      <c r="H303" s="402"/>
      <c r="I303" s="402"/>
      <c r="J303" s="402"/>
      <c r="K303" s="402"/>
      <c r="L303" s="402"/>
      <c r="M303" s="402">
        <f t="shared" si="108"/>
        <v>0</v>
      </c>
      <c r="N303" s="402"/>
      <c r="O303" s="402"/>
      <c r="P303" s="402"/>
      <c r="Q303" s="402">
        <f t="shared" si="109"/>
        <v>90.04</v>
      </c>
      <c r="R303" s="402">
        <f t="shared" si="110"/>
        <v>42.78</v>
      </c>
      <c r="S303" s="402">
        <v>30.69</v>
      </c>
      <c r="T303" s="402"/>
      <c r="U303" s="402">
        <v>12.09</v>
      </c>
      <c r="V303" s="402"/>
      <c r="W303" s="402"/>
      <c r="X303" s="402"/>
      <c r="Y303" s="402">
        <f t="shared" si="111"/>
        <v>47.26</v>
      </c>
      <c r="Z303" s="402">
        <v>7.26</v>
      </c>
      <c r="AA303" s="402"/>
      <c r="AB303" s="402"/>
      <c r="AC303" s="402"/>
      <c r="AD303" s="402"/>
      <c r="AE303" s="404">
        <v>40</v>
      </c>
      <c r="AF303" s="402">
        <f t="shared" si="112"/>
        <v>21.41</v>
      </c>
      <c r="AG303" s="402">
        <v>8.01</v>
      </c>
      <c r="AH303" s="402">
        <v>4</v>
      </c>
      <c r="AI303" s="402">
        <v>3</v>
      </c>
      <c r="AJ303" s="402">
        <v>0.1</v>
      </c>
      <c r="AK303" s="402">
        <v>0.3</v>
      </c>
      <c r="AL303" s="402">
        <v>6</v>
      </c>
      <c r="AM303" s="402"/>
      <c r="AN303" s="350"/>
      <c r="AO303" s="205">
        <f t="shared" si="82"/>
        <v>40</v>
      </c>
      <c r="AP303">
        <v>4.17</v>
      </c>
    </row>
    <row r="304" ht="24" hidden="1" spans="1:42">
      <c r="A304" s="284" t="s">
        <v>540</v>
      </c>
      <c r="B304" s="284" t="s">
        <v>199</v>
      </c>
      <c r="C304" s="284" t="s">
        <v>582</v>
      </c>
      <c r="D304" s="284" t="s">
        <v>581</v>
      </c>
      <c r="E304" s="402">
        <f t="shared" si="105"/>
        <v>94.47</v>
      </c>
      <c r="F304" s="402">
        <f t="shared" si="106"/>
        <v>0</v>
      </c>
      <c r="G304" s="402">
        <f t="shared" si="107"/>
        <v>0</v>
      </c>
      <c r="H304" s="402"/>
      <c r="I304" s="402"/>
      <c r="J304" s="402"/>
      <c r="K304" s="402"/>
      <c r="L304" s="402"/>
      <c r="M304" s="402">
        <f t="shared" si="108"/>
        <v>0</v>
      </c>
      <c r="N304" s="402"/>
      <c r="O304" s="402"/>
      <c r="P304" s="402"/>
      <c r="Q304" s="402">
        <f t="shared" si="109"/>
        <v>75.15</v>
      </c>
      <c r="R304" s="402">
        <f t="shared" si="110"/>
        <v>39.12</v>
      </c>
      <c r="S304" s="402">
        <v>29.06</v>
      </c>
      <c r="T304" s="402"/>
      <c r="U304" s="402">
        <v>10.06</v>
      </c>
      <c r="V304" s="402"/>
      <c r="W304" s="402"/>
      <c r="X304" s="402"/>
      <c r="Y304" s="402">
        <f t="shared" si="111"/>
        <v>36.03</v>
      </c>
      <c r="Z304" s="402">
        <v>6.03</v>
      </c>
      <c r="AA304" s="402"/>
      <c r="AB304" s="402"/>
      <c r="AC304" s="402"/>
      <c r="AD304" s="402"/>
      <c r="AE304" s="404">
        <v>30</v>
      </c>
      <c r="AF304" s="402">
        <f t="shared" si="112"/>
        <v>19.32</v>
      </c>
      <c r="AG304" s="402">
        <v>7.22</v>
      </c>
      <c r="AH304" s="402">
        <v>3.61</v>
      </c>
      <c r="AI304" s="402">
        <v>2.71</v>
      </c>
      <c r="AJ304" s="402">
        <v>0.09</v>
      </c>
      <c r="AK304" s="402">
        <v>0.27</v>
      </c>
      <c r="AL304" s="402">
        <v>5.42</v>
      </c>
      <c r="AM304" s="402"/>
      <c r="AN304" s="350"/>
      <c r="AO304" s="205">
        <f t="shared" si="82"/>
        <v>30</v>
      </c>
      <c r="AP304">
        <v>3</v>
      </c>
    </row>
    <row r="305" ht="24" hidden="1" spans="1:42">
      <c r="A305" s="284" t="s">
        <v>540</v>
      </c>
      <c r="B305" s="284" t="s">
        <v>199</v>
      </c>
      <c r="C305" s="284" t="s">
        <v>583</v>
      </c>
      <c r="D305" s="284" t="s">
        <v>581</v>
      </c>
      <c r="E305" s="402">
        <f t="shared" si="105"/>
        <v>68.71</v>
      </c>
      <c r="F305" s="402">
        <f t="shared" si="106"/>
        <v>0</v>
      </c>
      <c r="G305" s="402">
        <f t="shared" si="107"/>
        <v>0</v>
      </c>
      <c r="H305" s="402"/>
      <c r="I305" s="402"/>
      <c r="J305" s="402"/>
      <c r="K305" s="402"/>
      <c r="L305" s="402"/>
      <c r="M305" s="402">
        <f t="shared" si="108"/>
        <v>0</v>
      </c>
      <c r="N305" s="402"/>
      <c r="O305" s="402"/>
      <c r="P305" s="402"/>
      <c r="Q305" s="402">
        <f t="shared" si="109"/>
        <v>55.61</v>
      </c>
      <c r="R305" s="402">
        <f t="shared" si="110"/>
        <v>26.17</v>
      </c>
      <c r="S305" s="402">
        <v>18.78</v>
      </c>
      <c r="T305" s="402"/>
      <c r="U305" s="402">
        <v>7.39</v>
      </c>
      <c r="V305" s="402"/>
      <c r="W305" s="402"/>
      <c r="X305" s="402"/>
      <c r="Y305" s="402">
        <f t="shared" si="111"/>
        <v>29.44</v>
      </c>
      <c r="Z305" s="402">
        <v>4.44</v>
      </c>
      <c r="AA305" s="402"/>
      <c r="AB305" s="402"/>
      <c r="AC305" s="402"/>
      <c r="AD305" s="402"/>
      <c r="AE305" s="404">
        <v>25</v>
      </c>
      <c r="AF305" s="402">
        <f t="shared" si="112"/>
        <v>13.1</v>
      </c>
      <c r="AG305" s="402">
        <v>4.9</v>
      </c>
      <c r="AH305" s="402">
        <v>2.45</v>
      </c>
      <c r="AI305" s="402">
        <v>1.84</v>
      </c>
      <c r="AJ305" s="402">
        <v>0.06</v>
      </c>
      <c r="AK305" s="402">
        <v>0.18</v>
      </c>
      <c r="AL305" s="402">
        <v>3.67</v>
      </c>
      <c r="AM305" s="402"/>
      <c r="AN305" s="350"/>
      <c r="AO305" s="205">
        <f t="shared" si="82"/>
        <v>25</v>
      </c>
      <c r="AP305">
        <v>2.5</v>
      </c>
    </row>
    <row r="306" ht="24" hidden="1" spans="1:42">
      <c r="A306" s="284" t="s">
        <v>540</v>
      </c>
      <c r="B306" s="284" t="s">
        <v>199</v>
      </c>
      <c r="C306" s="284" t="s">
        <v>584</v>
      </c>
      <c r="D306" s="284" t="s">
        <v>581</v>
      </c>
      <c r="E306" s="402">
        <f t="shared" si="105"/>
        <v>84.23</v>
      </c>
      <c r="F306" s="402">
        <f t="shared" si="106"/>
        <v>0</v>
      </c>
      <c r="G306" s="402">
        <f t="shared" si="107"/>
        <v>0</v>
      </c>
      <c r="H306" s="402"/>
      <c r="I306" s="402"/>
      <c r="J306" s="402"/>
      <c r="K306" s="402"/>
      <c r="L306" s="402"/>
      <c r="M306" s="402">
        <f t="shared" si="108"/>
        <v>0</v>
      </c>
      <c r="N306" s="402"/>
      <c r="O306" s="412"/>
      <c r="P306" s="402"/>
      <c r="Q306" s="402">
        <f t="shared" si="109"/>
        <v>68.16</v>
      </c>
      <c r="R306" s="402">
        <f t="shared" si="110"/>
        <v>31.99</v>
      </c>
      <c r="S306" s="402">
        <v>22.95</v>
      </c>
      <c r="T306" s="402"/>
      <c r="U306" s="402">
        <v>9.03</v>
      </c>
      <c r="V306" s="402"/>
      <c r="W306" s="402"/>
      <c r="X306" s="402">
        <v>0.01</v>
      </c>
      <c r="Y306" s="402">
        <f t="shared" si="111"/>
        <v>36.17</v>
      </c>
      <c r="Z306" s="402">
        <v>5.42</v>
      </c>
      <c r="AA306" s="402"/>
      <c r="AB306" s="402"/>
      <c r="AC306" s="402"/>
      <c r="AD306" s="409">
        <v>0.75</v>
      </c>
      <c r="AE306" s="404">
        <v>30</v>
      </c>
      <c r="AF306" s="402">
        <f t="shared" si="112"/>
        <v>16.07</v>
      </c>
      <c r="AG306" s="402">
        <v>5.98</v>
      </c>
      <c r="AH306" s="402">
        <v>2.99</v>
      </c>
      <c r="AI306" s="402">
        <v>2.24</v>
      </c>
      <c r="AJ306" s="402">
        <v>0.15</v>
      </c>
      <c r="AK306" s="402">
        <v>0.22</v>
      </c>
      <c r="AL306" s="402">
        <v>4.49</v>
      </c>
      <c r="AM306" s="402"/>
      <c r="AN306" s="350"/>
      <c r="AO306" s="205">
        <f t="shared" si="82"/>
        <v>30</v>
      </c>
      <c r="AP306">
        <v>3.34</v>
      </c>
    </row>
    <row r="307" ht="24" hidden="1" spans="1:42">
      <c r="A307" s="284" t="s">
        <v>540</v>
      </c>
      <c r="B307" s="284" t="s">
        <v>518</v>
      </c>
      <c r="C307" s="284" t="s">
        <v>585</v>
      </c>
      <c r="D307" s="284" t="s">
        <v>586</v>
      </c>
      <c r="E307" s="402">
        <f t="shared" si="105"/>
        <v>1656.36</v>
      </c>
      <c r="F307" s="402">
        <f t="shared" si="106"/>
        <v>0</v>
      </c>
      <c r="G307" s="402">
        <f t="shared" si="107"/>
        <v>0</v>
      </c>
      <c r="H307" s="402"/>
      <c r="I307" s="402"/>
      <c r="J307" s="402"/>
      <c r="K307" s="402"/>
      <c r="L307" s="402"/>
      <c r="M307" s="402">
        <f t="shared" si="108"/>
        <v>0</v>
      </c>
      <c r="N307" s="402"/>
      <c r="O307" s="402"/>
      <c r="P307" s="402"/>
      <c r="Q307" s="402">
        <f t="shared" si="109"/>
        <v>1656.36</v>
      </c>
      <c r="R307" s="402">
        <f t="shared" si="110"/>
        <v>0</v>
      </c>
      <c r="S307" s="402"/>
      <c r="T307" s="402"/>
      <c r="U307" s="402"/>
      <c r="V307" s="402"/>
      <c r="W307" s="402"/>
      <c r="X307" s="402"/>
      <c r="Y307" s="402">
        <f t="shared" si="111"/>
        <v>1656.36</v>
      </c>
      <c r="Z307" s="402"/>
      <c r="AA307" s="402"/>
      <c r="AB307" s="402"/>
      <c r="AC307" s="402"/>
      <c r="AD307" s="402">
        <v>1656.36</v>
      </c>
      <c r="AE307" s="402"/>
      <c r="AF307" s="402">
        <f t="shared" si="112"/>
        <v>0</v>
      </c>
      <c r="AG307" s="402"/>
      <c r="AH307" s="402"/>
      <c r="AI307" s="402"/>
      <c r="AJ307" s="402"/>
      <c r="AK307" s="402"/>
      <c r="AL307" s="402"/>
      <c r="AM307" s="402"/>
      <c r="AN307" s="350"/>
      <c r="AO307" s="205">
        <f t="shared" si="82"/>
        <v>0</v>
      </c>
      <c r="AP307">
        <v>79.717</v>
      </c>
    </row>
    <row r="308" ht="36" hidden="1" spans="1:42">
      <c r="A308" s="284" t="s">
        <v>540</v>
      </c>
      <c r="B308" s="284" t="s">
        <v>518</v>
      </c>
      <c r="C308" s="284" t="s">
        <v>587</v>
      </c>
      <c r="D308" s="284" t="s">
        <v>588</v>
      </c>
      <c r="E308" s="402">
        <f t="shared" si="105"/>
        <v>0</v>
      </c>
      <c r="F308" s="402">
        <f t="shared" si="106"/>
        <v>0</v>
      </c>
      <c r="G308" s="402">
        <f t="shared" si="107"/>
        <v>0</v>
      </c>
      <c r="H308" s="402"/>
      <c r="I308" s="402"/>
      <c r="J308" s="402"/>
      <c r="K308" s="402"/>
      <c r="L308" s="402"/>
      <c r="M308" s="402">
        <f t="shared" si="108"/>
        <v>0</v>
      </c>
      <c r="N308" s="402"/>
      <c r="O308" s="402"/>
      <c r="P308" s="402"/>
      <c r="Q308" s="402">
        <f t="shared" si="109"/>
        <v>0</v>
      </c>
      <c r="R308" s="402">
        <f t="shared" si="110"/>
        <v>0</v>
      </c>
      <c r="S308" s="402"/>
      <c r="T308" s="402"/>
      <c r="U308" s="402"/>
      <c r="V308" s="402"/>
      <c r="W308" s="402"/>
      <c r="X308" s="402"/>
      <c r="Y308" s="402">
        <f t="shared" si="111"/>
        <v>0</v>
      </c>
      <c r="Z308" s="402"/>
      <c r="AA308" s="402"/>
      <c r="AB308" s="402"/>
      <c r="AC308" s="402"/>
      <c r="AD308" s="402"/>
      <c r="AE308" s="402"/>
      <c r="AF308" s="402">
        <f t="shared" si="112"/>
        <v>0</v>
      </c>
      <c r="AG308" s="402"/>
      <c r="AH308" s="402"/>
      <c r="AI308" s="402"/>
      <c r="AJ308" s="402"/>
      <c r="AK308" s="402"/>
      <c r="AL308" s="402"/>
      <c r="AM308" s="402"/>
      <c r="AN308" s="350"/>
      <c r="AO308" s="205">
        <f t="shared" si="82"/>
        <v>0</v>
      </c>
      <c r="AP308">
        <v>41.2221</v>
      </c>
    </row>
    <row r="309" ht="36" hidden="1" spans="1:42">
      <c r="A309" s="284" t="s">
        <v>540</v>
      </c>
      <c r="B309" s="284" t="s">
        <v>196</v>
      </c>
      <c r="C309" s="284" t="s">
        <v>589</v>
      </c>
      <c r="D309" s="284" t="s">
        <v>590</v>
      </c>
      <c r="E309" s="402">
        <f t="shared" si="105"/>
        <v>240.44</v>
      </c>
      <c r="F309" s="402">
        <f t="shared" si="106"/>
        <v>80</v>
      </c>
      <c r="G309" s="402">
        <f t="shared" si="107"/>
        <v>0</v>
      </c>
      <c r="H309" s="402"/>
      <c r="I309" s="402"/>
      <c r="J309" s="402"/>
      <c r="K309" s="402"/>
      <c r="L309" s="402"/>
      <c r="M309" s="402">
        <f t="shared" si="108"/>
        <v>80</v>
      </c>
      <c r="N309" s="402"/>
      <c r="O309" s="402">
        <v>80</v>
      </c>
      <c r="P309" s="402"/>
      <c r="Q309" s="402">
        <f t="shared" si="109"/>
        <v>160.44</v>
      </c>
      <c r="R309" s="402">
        <f t="shared" si="110"/>
        <v>0</v>
      </c>
      <c r="S309" s="402"/>
      <c r="T309" s="402"/>
      <c r="U309" s="402"/>
      <c r="V309" s="402"/>
      <c r="W309" s="402"/>
      <c r="X309" s="402"/>
      <c r="Y309" s="402">
        <f t="shared" si="111"/>
        <v>160.44</v>
      </c>
      <c r="Z309" s="402"/>
      <c r="AA309" s="402"/>
      <c r="AB309" s="402"/>
      <c r="AC309" s="402"/>
      <c r="AD309" s="402"/>
      <c r="AE309" s="413">
        <v>160.44</v>
      </c>
      <c r="AF309" s="402">
        <f t="shared" si="112"/>
        <v>0</v>
      </c>
      <c r="AG309" s="402"/>
      <c r="AH309" s="402"/>
      <c r="AI309" s="402"/>
      <c r="AJ309" s="402"/>
      <c r="AK309" s="402"/>
      <c r="AL309" s="402"/>
      <c r="AM309" s="402"/>
      <c r="AN309" s="350"/>
      <c r="AO309" s="205">
        <f t="shared" si="82"/>
        <v>160.44</v>
      </c>
      <c r="AP309">
        <v>199.2204</v>
      </c>
    </row>
    <row r="310" ht="36" hidden="1" spans="1:41">
      <c r="A310" s="284" t="s">
        <v>540</v>
      </c>
      <c r="B310" s="284" t="s">
        <v>199</v>
      </c>
      <c r="C310" s="284" t="s">
        <v>591</v>
      </c>
      <c r="D310" s="284" t="s">
        <v>592</v>
      </c>
      <c r="E310" s="402">
        <f t="shared" si="105"/>
        <v>439.46</v>
      </c>
      <c r="F310" s="402">
        <f t="shared" si="106"/>
        <v>0</v>
      </c>
      <c r="G310" s="402">
        <f t="shared" si="107"/>
        <v>0</v>
      </c>
      <c r="H310" s="402"/>
      <c r="I310" s="402"/>
      <c r="J310" s="402"/>
      <c r="K310" s="402"/>
      <c r="L310" s="402"/>
      <c r="M310" s="402">
        <f t="shared" si="108"/>
        <v>0</v>
      </c>
      <c r="N310" s="402"/>
      <c r="O310" s="412"/>
      <c r="P310" s="402"/>
      <c r="Q310" s="402">
        <f t="shared" si="109"/>
        <v>317.8</v>
      </c>
      <c r="R310" s="402">
        <f t="shared" si="110"/>
        <v>253.42</v>
      </c>
      <c r="S310" s="402">
        <v>173.43</v>
      </c>
      <c r="T310" s="402">
        <v>3.3</v>
      </c>
      <c r="U310" s="402">
        <v>66.37</v>
      </c>
      <c r="V310" s="402">
        <v>10.32</v>
      </c>
      <c r="W310" s="402"/>
      <c r="X310" s="402"/>
      <c r="Y310" s="402">
        <f t="shared" si="111"/>
        <v>64.38</v>
      </c>
      <c r="Z310" s="402">
        <v>39.82</v>
      </c>
      <c r="AA310" s="402"/>
      <c r="AB310" s="402"/>
      <c r="AC310" s="402"/>
      <c r="AD310" s="414">
        <f>60.57-36.01</f>
        <v>24.56</v>
      </c>
      <c r="AE310" s="402"/>
      <c r="AF310" s="402">
        <f t="shared" si="112"/>
        <v>121.66</v>
      </c>
      <c r="AG310" s="402">
        <v>45.27</v>
      </c>
      <c r="AH310" s="402">
        <v>22.63</v>
      </c>
      <c r="AI310" s="402">
        <v>16.98</v>
      </c>
      <c r="AJ310" s="402">
        <v>1.13</v>
      </c>
      <c r="AK310" s="402">
        <v>1.7</v>
      </c>
      <c r="AL310" s="402">
        <v>33.95</v>
      </c>
      <c r="AM310" s="402"/>
      <c r="AN310" s="350"/>
      <c r="AO310" s="205">
        <f t="shared" si="82"/>
        <v>0</v>
      </c>
    </row>
    <row r="311" ht="24" hidden="1" spans="1:41">
      <c r="A311" s="284" t="s">
        <v>540</v>
      </c>
      <c r="B311" s="284" t="s">
        <v>199</v>
      </c>
      <c r="C311" s="284" t="s">
        <v>593</v>
      </c>
      <c r="D311" s="284" t="s">
        <v>594</v>
      </c>
      <c r="E311" s="402">
        <f t="shared" si="105"/>
        <v>145.72</v>
      </c>
      <c r="F311" s="402">
        <f t="shared" si="106"/>
        <v>0</v>
      </c>
      <c r="G311" s="402">
        <f t="shared" si="107"/>
        <v>0</v>
      </c>
      <c r="H311" s="402"/>
      <c r="I311" s="402"/>
      <c r="J311" s="402"/>
      <c r="K311" s="402"/>
      <c r="L311" s="402"/>
      <c r="M311" s="402">
        <f t="shared" si="108"/>
        <v>0</v>
      </c>
      <c r="N311" s="402"/>
      <c r="O311" s="402"/>
      <c r="P311" s="402"/>
      <c r="Q311" s="402">
        <f t="shared" si="109"/>
        <v>103.96</v>
      </c>
      <c r="R311" s="402">
        <f t="shared" si="110"/>
        <v>89.25</v>
      </c>
      <c r="S311" s="402">
        <v>56.41</v>
      </c>
      <c r="T311" s="402">
        <v>1.48</v>
      </c>
      <c r="U311" s="402">
        <v>24.52</v>
      </c>
      <c r="V311" s="402">
        <v>6.84</v>
      </c>
      <c r="W311" s="402"/>
      <c r="X311" s="409"/>
      <c r="Y311" s="402">
        <f t="shared" si="111"/>
        <v>14.71</v>
      </c>
      <c r="Z311" s="402">
        <v>14.71</v>
      </c>
      <c r="AA311" s="402"/>
      <c r="AB311" s="402"/>
      <c r="AC311" s="402"/>
      <c r="AD311" s="402"/>
      <c r="AE311" s="402"/>
      <c r="AF311" s="402">
        <f t="shared" si="112"/>
        <v>41.76</v>
      </c>
      <c r="AG311" s="402">
        <v>15.54</v>
      </c>
      <c r="AH311" s="402">
        <v>7.77</v>
      </c>
      <c r="AI311" s="402">
        <v>5.83</v>
      </c>
      <c r="AJ311" s="402">
        <v>0.39</v>
      </c>
      <c r="AK311" s="402">
        <v>0.58</v>
      </c>
      <c r="AL311" s="402">
        <v>11.65</v>
      </c>
      <c r="AM311" s="402"/>
      <c r="AN311" s="350"/>
      <c r="AO311" s="205">
        <f t="shared" si="82"/>
        <v>0</v>
      </c>
    </row>
    <row r="312" ht="24" hidden="1" spans="1:41">
      <c r="A312" s="284" t="s">
        <v>540</v>
      </c>
      <c r="B312" s="284" t="s">
        <v>199</v>
      </c>
      <c r="C312" s="284" t="s">
        <v>595</v>
      </c>
      <c r="D312" s="284" t="s">
        <v>594</v>
      </c>
      <c r="E312" s="402">
        <f t="shared" si="105"/>
        <v>169.74</v>
      </c>
      <c r="F312" s="402">
        <f t="shared" si="106"/>
        <v>0</v>
      </c>
      <c r="G312" s="402">
        <f t="shared" si="107"/>
        <v>0</v>
      </c>
      <c r="H312" s="402"/>
      <c r="I312" s="402"/>
      <c r="J312" s="402"/>
      <c r="K312" s="402"/>
      <c r="L312" s="402"/>
      <c r="M312" s="402">
        <f t="shared" si="108"/>
        <v>0</v>
      </c>
      <c r="N312" s="402"/>
      <c r="O312" s="402"/>
      <c r="P312" s="402"/>
      <c r="Q312" s="402">
        <f t="shared" si="109"/>
        <v>120.65</v>
      </c>
      <c r="R312" s="402">
        <f t="shared" si="110"/>
        <v>103.53</v>
      </c>
      <c r="S312" s="402">
        <v>66.97</v>
      </c>
      <c r="T312" s="402">
        <v>1.54</v>
      </c>
      <c r="U312" s="402">
        <v>28.54</v>
      </c>
      <c r="V312" s="402">
        <v>6.48</v>
      </c>
      <c r="W312" s="402"/>
      <c r="X312" s="409"/>
      <c r="Y312" s="402">
        <f t="shared" si="111"/>
        <v>17.12</v>
      </c>
      <c r="Z312" s="402">
        <v>17.12</v>
      </c>
      <c r="AA312" s="402"/>
      <c r="AB312" s="402"/>
      <c r="AC312" s="402"/>
      <c r="AD312" s="402"/>
      <c r="AE312" s="402"/>
      <c r="AF312" s="402">
        <f t="shared" si="112"/>
        <v>49.09</v>
      </c>
      <c r="AG312" s="402">
        <v>18.27</v>
      </c>
      <c r="AH312" s="402">
        <v>9.13</v>
      </c>
      <c r="AI312" s="402">
        <v>6.85</v>
      </c>
      <c r="AJ312" s="402">
        <v>0.46</v>
      </c>
      <c r="AK312" s="402">
        <v>0.68</v>
      </c>
      <c r="AL312" s="402">
        <v>13.7</v>
      </c>
      <c r="AM312" s="402"/>
      <c r="AN312" s="350"/>
      <c r="AO312" s="205">
        <f t="shared" si="82"/>
        <v>0</v>
      </c>
    </row>
    <row r="313" ht="24" hidden="1" spans="1:41">
      <c r="A313" s="284" t="s">
        <v>540</v>
      </c>
      <c r="B313" s="284" t="s">
        <v>199</v>
      </c>
      <c r="C313" s="284" t="s">
        <v>596</v>
      </c>
      <c r="D313" s="284" t="s">
        <v>594</v>
      </c>
      <c r="E313" s="402">
        <f t="shared" si="105"/>
        <v>108.87</v>
      </c>
      <c r="F313" s="402">
        <f t="shared" si="106"/>
        <v>0</v>
      </c>
      <c r="G313" s="402">
        <f t="shared" si="107"/>
        <v>0</v>
      </c>
      <c r="H313" s="402"/>
      <c r="I313" s="402"/>
      <c r="J313" s="402"/>
      <c r="K313" s="402"/>
      <c r="L313" s="402"/>
      <c r="M313" s="402">
        <f t="shared" si="108"/>
        <v>0</v>
      </c>
      <c r="N313" s="402"/>
      <c r="O313" s="402"/>
      <c r="P313" s="402"/>
      <c r="Q313" s="402">
        <f t="shared" si="109"/>
        <v>77.64</v>
      </c>
      <c r="R313" s="402">
        <f t="shared" si="110"/>
        <v>66.32</v>
      </c>
      <c r="S313" s="402">
        <v>41.36</v>
      </c>
      <c r="T313" s="402">
        <v>1.05</v>
      </c>
      <c r="U313" s="402">
        <v>18.87</v>
      </c>
      <c r="V313" s="402">
        <v>5.04</v>
      </c>
      <c r="W313" s="402"/>
      <c r="X313" s="409"/>
      <c r="Y313" s="402">
        <f t="shared" si="111"/>
        <v>11.32</v>
      </c>
      <c r="Z313" s="402">
        <v>11.32</v>
      </c>
      <c r="AA313" s="402"/>
      <c r="AB313" s="402"/>
      <c r="AC313" s="402"/>
      <c r="AD313" s="402"/>
      <c r="AE313" s="402"/>
      <c r="AF313" s="402">
        <f t="shared" si="112"/>
        <v>31.23</v>
      </c>
      <c r="AG313" s="402">
        <v>11.62</v>
      </c>
      <c r="AH313" s="402">
        <v>5.81</v>
      </c>
      <c r="AI313" s="402">
        <v>4.36</v>
      </c>
      <c r="AJ313" s="402">
        <v>0.29</v>
      </c>
      <c r="AK313" s="402">
        <v>0.44</v>
      </c>
      <c r="AL313" s="402">
        <v>8.71</v>
      </c>
      <c r="AM313" s="402"/>
      <c r="AN313" s="350"/>
      <c r="AO313" s="205">
        <f t="shared" si="82"/>
        <v>0</v>
      </c>
    </row>
    <row r="314" ht="24" hidden="1" spans="1:41">
      <c r="A314" s="284" t="s">
        <v>540</v>
      </c>
      <c r="B314" s="284" t="s">
        <v>199</v>
      </c>
      <c r="C314" s="284" t="s">
        <v>597</v>
      </c>
      <c r="D314" s="284" t="s">
        <v>594</v>
      </c>
      <c r="E314" s="402">
        <f t="shared" si="105"/>
        <v>140.67</v>
      </c>
      <c r="F314" s="402">
        <f t="shared" si="106"/>
        <v>0</v>
      </c>
      <c r="G314" s="402">
        <f t="shared" si="107"/>
        <v>0</v>
      </c>
      <c r="H314" s="402"/>
      <c r="I314" s="402"/>
      <c r="J314" s="402"/>
      <c r="K314" s="402"/>
      <c r="L314" s="402"/>
      <c r="M314" s="402">
        <f t="shared" si="108"/>
        <v>0</v>
      </c>
      <c r="N314" s="402"/>
      <c r="O314" s="402"/>
      <c r="P314" s="402"/>
      <c r="Q314" s="402">
        <f t="shared" si="109"/>
        <v>99.38</v>
      </c>
      <c r="R314" s="402">
        <f t="shared" si="110"/>
        <v>86.5</v>
      </c>
      <c r="S314" s="402">
        <v>60.53</v>
      </c>
      <c r="T314" s="402">
        <v>1.14</v>
      </c>
      <c r="U314" s="402">
        <v>21.47</v>
      </c>
      <c r="V314" s="402">
        <v>3.36</v>
      </c>
      <c r="W314" s="402"/>
      <c r="X314" s="409"/>
      <c r="Y314" s="402">
        <f t="shared" si="111"/>
        <v>12.88</v>
      </c>
      <c r="Z314" s="402">
        <v>12.88</v>
      </c>
      <c r="AA314" s="402"/>
      <c r="AB314" s="402"/>
      <c r="AC314" s="402"/>
      <c r="AD314" s="402"/>
      <c r="AE314" s="402"/>
      <c r="AF314" s="402">
        <f t="shared" si="112"/>
        <v>41.29</v>
      </c>
      <c r="AG314" s="402">
        <v>15.37</v>
      </c>
      <c r="AH314" s="402">
        <v>7.68</v>
      </c>
      <c r="AI314" s="402">
        <v>5.76</v>
      </c>
      <c r="AJ314" s="402">
        <v>0.38</v>
      </c>
      <c r="AK314" s="402">
        <v>0.58</v>
      </c>
      <c r="AL314" s="402">
        <v>11.52</v>
      </c>
      <c r="AM314" s="402"/>
      <c r="AN314" s="350"/>
      <c r="AO314" s="205">
        <f t="shared" si="82"/>
        <v>0</v>
      </c>
    </row>
    <row r="315" ht="24" hidden="1" spans="1:41">
      <c r="A315" s="284" t="s">
        <v>540</v>
      </c>
      <c r="B315" s="284" t="s">
        <v>199</v>
      </c>
      <c r="C315" s="284" t="s">
        <v>598</v>
      </c>
      <c r="D315" s="284" t="s">
        <v>594</v>
      </c>
      <c r="E315" s="402">
        <f t="shared" si="105"/>
        <v>95.63</v>
      </c>
      <c r="F315" s="402">
        <f t="shared" si="106"/>
        <v>0</v>
      </c>
      <c r="G315" s="402">
        <f t="shared" si="107"/>
        <v>0</v>
      </c>
      <c r="H315" s="402"/>
      <c r="I315" s="402"/>
      <c r="J315" s="402"/>
      <c r="K315" s="402"/>
      <c r="L315" s="402"/>
      <c r="M315" s="402">
        <f t="shared" si="108"/>
        <v>0</v>
      </c>
      <c r="N315" s="402"/>
      <c r="O315" s="402"/>
      <c r="P315" s="402"/>
      <c r="Q315" s="402">
        <f t="shared" si="109"/>
        <v>68.75</v>
      </c>
      <c r="R315" s="402">
        <f t="shared" si="110"/>
        <v>58.77</v>
      </c>
      <c r="S315" s="402">
        <v>34.9</v>
      </c>
      <c r="T315" s="402">
        <v>0.99</v>
      </c>
      <c r="U315" s="402">
        <v>16.64</v>
      </c>
      <c r="V315" s="402">
        <v>6.24</v>
      </c>
      <c r="W315" s="402"/>
      <c r="X315" s="409"/>
      <c r="Y315" s="402">
        <f t="shared" si="111"/>
        <v>9.98</v>
      </c>
      <c r="Z315" s="402">
        <v>9.98</v>
      </c>
      <c r="AA315" s="402"/>
      <c r="AB315" s="402"/>
      <c r="AC315" s="402"/>
      <c r="AD315" s="402"/>
      <c r="AE315" s="402"/>
      <c r="AF315" s="402">
        <f t="shared" si="112"/>
        <v>26.88</v>
      </c>
      <c r="AG315" s="402">
        <v>10</v>
      </c>
      <c r="AH315" s="402">
        <v>5</v>
      </c>
      <c r="AI315" s="402">
        <v>3.75</v>
      </c>
      <c r="AJ315" s="402">
        <v>0.25</v>
      </c>
      <c r="AK315" s="402">
        <v>0.38</v>
      </c>
      <c r="AL315" s="402">
        <v>7.5</v>
      </c>
      <c r="AM315" s="402"/>
      <c r="AN315" s="350"/>
      <c r="AO315" s="205">
        <f t="shared" si="82"/>
        <v>0</v>
      </c>
    </row>
    <row r="316" ht="24" hidden="1" spans="1:41">
      <c r="A316" s="284" t="s">
        <v>540</v>
      </c>
      <c r="B316" s="284" t="s">
        <v>199</v>
      </c>
      <c r="C316" s="284" t="s">
        <v>599</v>
      </c>
      <c r="D316" s="284" t="s">
        <v>594</v>
      </c>
      <c r="E316" s="402">
        <f t="shared" si="105"/>
        <v>88.48</v>
      </c>
      <c r="F316" s="402">
        <f t="shared" si="106"/>
        <v>0</v>
      </c>
      <c r="G316" s="402">
        <f t="shared" si="107"/>
        <v>0</v>
      </c>
      <c r="H316" s="402"/>
      <c r="I316" s="402"/>
      <c r="J316" s="402"/>
      <c r="K316" s="402"/>
      <c r="L316" s="402"/>
      <c r="M316" s="402">
        <f t="shared" si="108"/>
        <v>0</v>
      </c>
      <c r="N316" s="402"/>
      <c r="O316" s="402"/>
      <c r="P316" s="402"/>
      <c r="Q316" s="402">
        <f t="shared" si="109"/>
        <v>63.33</v>
      </c>
      <c r="R316" s="402">
        <f t="shared" si="110"/>
        <v>53.95</v>
      </c>
      <c r="S316" s="402">
        <v>32.61</v>
      </c>
      <c r="T316" s="402">
        <v>0.91</v>
      </c>
      <c r="U316" s="402">
        <v>15.63</v>
      </c>
      <c r="V316" s="402">
        <v>4.8</v>
      </c>
      <c r="W316" s="402"/>
      <c r="X316" s="409"/>
      <c r="Y316" s="402">
        <f t="shared" si="111"/>
        <v>9.38</v>
      </c>
      <c r="Z316" s="402">
        <v>9.38</v>
      </c>
      <c r="AA316" s="402"/>
      <c r="AB316" s="402"/>
      <c r="AC316" s="402"/>
      <c r="AD316" s="402"/>
      <c r="AE316" s="402"/>
      <c r="AF316" s="402">
        <f t="shared" si="112"/>
        <v>25.15</v>
      </c>
      <c r="AG316" s="402">
        <v>9.36</v>
      </c>
      <c r="AH316" s="402">
        <v>4.68</v>
      </c>
      <c r="AI316" s="402">
        <v>3.51</v>
      </c>
      <c r="AJ316" s="402">
        <v>0.23</v>
      </c>
      <c r="AK316" s="402">
        <v>0.35</v>
      </c>
      <c r="AL316" s="402">
        <v>7.02</v>
      </c>
      <c r="AM316" s="402"/>
      <c r="AN316" s="350"/>
      <c r="AO316" s="205">
        <f t="shared" si="82"/>
        <v>0</v>
      </c>
    </row>
    <row r="317" ht="24" hidden="1" spans="1:41">
      <c r="A317" s="284" t="s">
        <v>540</v>
      </c>
      <c r="B317" s="284" t="s">
        <v>199</v>
      </c>
      <c r="C317" s="284" t="s">
        <v>600</v>
      </c>
      <c r="D317" s="284" t="s">
        <v>594</v>
      </c>
      <c r="E317" s="402">
        <f t="shared" si="105"/>
        <v>96.63</v>
      </c>
      <c r="F317" s="402">
        <f t="shared" si="106"/>
        <v>0</v>
      </c>
      <c r="G317" s="402">
        <f t="shared" si="107"/>
        <v>0</v>
      </c>
      <c r="H317" s="402"/>
      <c r="I317" s="402"/>
      <c r="J317" s="402"/>
      <c r="K317" s="402"/>
      <c r="L317" s="402"/>
      <c r="M317" s="402">
        <f t="shared" si="108"/>
        <v>0</v>
      </c>
      <c r="N317" s="402"/>
      <c r="O317" s="402"/>
      <c r="P317" s="402"/>
      <c r="Q317" s="402">
        <f t="shared" si="109"/>
        <v>69.45</v>
      </c>
      <c r="R317" s="402">
        <f t="shared" si="110"/>
        <v>59.85</v>
      </c>
      <c r="S317" s="402">
        <v>36.66</v>
      </c>
      <c r="T317" s="402">
        <v>0.94</v>
      </c>
      <c r="U317" s="402">
        <v>16.01</v>
      </c>
      <c r="V317" s="402">
        <v>6.24</v>
      </c>
      <c r="W317" s="402"/>
      <c r="X317" s="409"/>
      <c r="Y317" s="402">
        <f t="shared" si="111"/>
        <v>9.6</v>
      </c>
      <c r="Z317" s="402">
        <v>9.6</v>
      </c>
      <c r="AA317" s="402"/>
      <c r="AB317" s="402"/>
      <c r="AC317" s="402"/>
      <c r="AD317" s="402"/>
      <c r="AE317" s="402"/>
      <c r="AF317" s="402">
        <f t="shared" si="112"/>
        <v>27.18</v>
      </c>
      <c r="AG317" s="402">
        <v>10.11</v>
      </c>
      <c r="AH317" s="402">
        <v>5.06</v>
      </c>
      <c r="AI317" s="402">
        <v>3.79</v>
      </c>
      <c r="AJ317" s="402">
        <v>0.25</v>
      </c>
      <c r="AK317" s="402">
        <v>0.38</v>
      </c>
      <c r="AL317" s="402">
        <v>7.59</v>
      </c>
      <c r="AM317" s="402"/>
      <c r="AN317" s="350"/>
      <c r="AO317" s="205">
        <f t="shared" si="82"/>
        <v>0</v>
      </c>
    </row>
    <row r="318" ht="24" hidden="1" spans="1:41">
      <c r="A318" s="284" t="s">
        <v>540</v>
      </c>
      <c r="B318" s="284" t="s">
        <v>199</v>
      </c>
      <c r="C318" s="284" t="s">
        <v>601</v>
      </c>
      <c r="D318" s="284" t="s">
        <v>594</v>
      </c>
      <c r="E318" s="402">
        <f t="shared" si="105"/>
        <v>239.81</v>
      </c>
      <c r="F318" s="402">
        <f t="shared" si="106"/>
        <v>0</v>
      </c>
      <c r="G318" s="402">
        <f t="shared" si="107"/>
        <v>0</v>
      </c>
      <c r="H318" s="402"/>
      <c r="I318" s="402"/>
      <c r="J318" s="402"/>
      <c r="K318" s="402"/>
      <c r="L318" s="402"/>
      <c r="M318" s="402">
        <f t="shared" si="108"/>
        <v>0</v>
      </c>
      <c r="N318" s="402"/>
      <c r="O318" s="402"/>
      <c r="P318" s="402"/>
      <c r="Q318" s="402">
        <f t="shared" si="109"/>
        <v>169.51</v>
      </c>
      <c r="R318" s="402">
        <f t="shared" si="110"/>
        <v>146.2</v>
      </c>
      <c r="S318" s="402">
        <v>99.42</v>
      </c>
      <c r="T318" s="402">
        <v>1.94</v>
      </c>
      <c r="U318" s="402">
        <v>38.84</v>
      </c>
      <c r="V318" s="402">
        <v>6</v>
      </c>
      <c r="W318" s="402"/>
      <c r="X318" s="409"/>
      <c r="Y318" s="402">
        <f t="shared" si="111"/>
        <v>23.31</v>
      </c>
      <c r="Z318" s="402">
        <v>23.31</v>
      </c>
      <c r="AA318" s="402"/>
      <c r="AB318" s="402"/>
      <c r="AC318" s="402"/>
      <c r="AD318" s="402"/>
      <c r="AE318" s="402"/>
      <c r="AF318" s="402">
        <f t="shared" si="112"/>
        <v>70.3</v>
      </c>
      <c r="AG318" s="402">
        <v>26.16</v>
      </c>
      <c r="AH318" s="402">
        <v>13.08</v>
      </c>
      <c r="AI318" s="402">
        <v>9.81</v>
      </c>
      <c r="AJ318" s="402">
        <v>0.65</v>
      </c>
      <c r="AK318" s="402">
        <v>0.98</v>
      </c>
      <c r="AL318" s="402">
        <v>19.62</v>
      </c>
      <c r="AM318" s="402"/>
      <c r="AN318" s="350"/>
      <c r="AO318" s="205">
        <f t="shared" si="82"/>
        <v>0</v>
      </c>
    </row>
    <row r="319" ht="24" hidden="1" spans="1:41">
      <c r="A319" s="284" t="s">
        <v>540</v>
      </c>
      <c r="B319" s="284" t="s">
        <v>199</v>
      </c>
      <c r="C319" s="284" t="s">
        <v>602</v>
      </c>
      <c r="D319" s="284" t="s">
        <v>594</v>
      </c>
      <c r="E319" s="402">
        <f t="shared" si="105"/>
        <v>140.31</v>
      </c>
      <c r="F319" s="402">
        <f t="shared" si="106"/>
        <v>0</v>
      </c>
      <c r="G319" s="402">
        <f t="shared" si="107"/>
        <v>0</v>
      </c>
      <c r="H319" s="402"/>
      <c r="I319" s="402"/>
      <c r="J319" s="402"/>
      <c r="K319" s="402"/>
      <c r="L319" s="402"/>
      <c r="M319" s="402">
        <f t="shared" si="108"/>
        <v>0</v>
      </c>
      <c r="N319" s="402"/>
      <c r="O319" s="402"/>
      <c r="P319" s="402"/>
      <c r="Q319" s="402">
        <f t="shared" si="109"/>
        <v>99.96</v>
      </c>
      <c r="R319" s="402">
        <f t="shared" si="110"/>
        <v>86.12</v>
      </c>
      <c r="S319" s="402">
        <v>55.63</v>
      </c>
      <c r="T319" s="402">
        <v>1.3</v>
      </c>
      <c r="U319" s="402">
        <v>23.07</v>
      </c>
      <c r="V319" s="402">
        <v>6.12</v>
      </c>
      <c r="W319" s="402"/>
      <c r="X319" s="409"/>
      <c r="Y319" s="402">
        <f t="shared" si="111"/>
        <v>13.84</v>
      </c>
      <c r="Z319" s="402">
        <v>13.84</v>
      </c>
      <c r="AA319" s="402"/>
      <c r="AB319" s="402"/>
      <c r="AC319" s="402"/>
      <c r="AD319" s="402"/>
      <c r="AE319" s="402"/>
      <c r="AF319" s="402">
        <f t="shared" si="112"/>
        <v>40.35</v>
      </c>
      <c r="AG319" s="402">
        <v>15.01</v>
      </c>
      <c r="AH319" s="402">
        <v>7.51</v>
      </c>
      <c r="AI319" s="402">
        <v>5.63</v>
      </c>
      <c r="AJ319" s="402">
        <v>0.38</v>
      </c>
      <c r="AK319" s="402">
        <v>0.56</v>
      </c>
      <c r="AL319" s="402">
        <v>11.26</v>
      </c>
      <c r="AM319" s="402"/>
      <c r="AN319" s="350"/>
      <c r="AO319" s="205">
        <f t="shared" si="82"/>
        <v>0</v>
      </c>
    </row>
    <row r="320" ht="24" hidden="1" spans="1:41">
      <c r="A320" s="284" t="s">
        <v>540</v>
      </c>
      <c r="B320" s="284" t="s">
        <v>199</v>
      </c>
      <c r="C320" s="284" t="s">
        <v>603</v>
      </c>
      <c r="D320" s="284" t="s">
        <v>594</v>
      </c>
      <c r="E320" s="402">
        <f t="shared" si="105"/>
        <v>435.2</v>
      </c>
      <c r="F320" s="402">
        <f t="shared" si="106"/>
        <v>0</v>
      </c>
      <c r="G320" s="402">
        <f t="shared" si="107"/>
        <v>0</v>
      </c>
      <c r="H320" s="402"/>
      <c r="I320" s="402"/>
      <c r="J320" s="402"/>
      <c r="K320" s="402"/>
      <c r="L320" s="402"/>
      <c r="M320" s="402">
        <f t="shared" si="108"/>
        <v>0</v>
      </c>
      <c r="N320" s="402"/>
      <c r="O320" s="402"/>
      <c r="P320" s="402"/>
      <c r="Q320" s="402">
        <f t="shared" si="109"/>
        <v>307.65</v>
      </c>
      <c r="R320" s="402">
        <f t="shared" si="110"/>
        <v>265.99</v>
      </c>
      <c r="S320" s="402">
        <v>181.99</v>
      </c>
      <c r="T320" s="402">
        <v>3.53</v>
      </c>
      <c r="U320" s="402">
        <v>69.43</v>
      </c>
      <c r="V320" s="402">
        <v>11.04</v>
      </c>
      <c r="W320" s="402"/>
      <c r="X320" s="409"/>
      <c r="Y320" s="402">
        <f t="shared" si="111"/>
        <v>41.66</v>
      </c>
      <c r="Z320" s="402">
        <v>41.66</v>
      </c>
      <c r="AA320" s="402"/>
      <c r="AB320" s="402"/>
      <c r="AC320" s="402"/>
      <c r="AD320" s="402"/>
      <c r="AE320" s="402"/>
      <c r="AF320" s="402">
        <f t="shared" si="112"/>
        <v>127.55</v>
      </c>
      <c r="AG320" s="402">
        <v>47.46</v>
      </c>
      <c r="AH320" s="402">
        <v>23.73</v>
      </c>
      <c r="AI320" s="402">
        <v>17.8</v>
      </c>
      <c r="AJ320" s="402">
        <v>1.19</v>
      </c>
      <c r="AK320" s="402">
        <v>1.78</v>
      </c>
      <c r="AL320" s="402">
        <v>35.59</v>
      </c>
      <c r="AM320" s="402"/>
      <c r="AN320" s="350"/>
      <c r="AO320" s="205">
        <f t="shared" si="82"/>
        <v>0</v>
      </c>
    </row>
    <row r="321" ht="24" hidden="1" spans="1:41">
      <c r="A321" s="284" t="s">
        <v>540</v>
      </c>
      <c r="B321" s="284" t="s">
        <v>199</v>
      </c>
      <c r="C321" s="284" t="s">
        <v>604</v>
      </c>
      <c r="D321" s="284" t="s">
        <v>594</v>
      </c>
      <c r="E321" s="402">
        <f t="shared" si="105"/>
        <v>352.4777</v>
      </c>
      <c r="F321" s="402">
        <f t="shared" si="106"/>
        <v>0</v>
      </c>
      <c r="G321" s="402">
        <f t="shared" si="107"/>
        <v>0</v>
      </c>
      <c r="H321" s="402"/>
      <c r="I321" s="402"/>
      <c r="J321" s="402"/>
      <c r="K321" s="402"/>
      <c r="L321" s="402"/>
      <c r="M321" s="402">
        <f t="shared" si="108"/>
        <v>0</v>
      </c>
      <c r="N321" s="402"/>
      <c r="O321" s="402"/>
      <c r="P321" s="402"/>
      <c r="Q321" s="402">
        <f t="shared" si="109"/>
        <v>248.948</v>
      </c>
      <c r="R321" s="402">
        <f t="shared" si="110"/>
        <v>214.828</v>
      </c>
      <c r="S321" s="402">
        <v>147.03</v>
      </c>
      <c r="T321" s="402">
        <v>2.77</v>
      </c>
      <c r="U321" s="402">
        <v>56.868</v>
      </c>
      <c r="V321" s="402">
        <v>8.16</v>
      </c>
      <c r="W321" s="402"/>
      <c r="X321" s="409"/>
      <c r="Y321" s="402">
        <f t="shared" si="111"/>
        <v>34.12</v>
      </c>
      <c r="Z321" s="402">
        <v>34.12</v>
      </c>
      <c r="AA321" s="402"/>
      <c r="AB321" s="402"/>
      <c r="AC321" s="402"/>
      <c r="AD321" s="402"/>
      <c r="AE321" s="402"/>
      <c r="AF321" s="402">
        <f t="shared" si="112"/>
        <v>103.5297</v>
      </c>
      <c r="AG321" s="402">
        <v>38.5269</v>
      </c>
      <c r="AH321" s="402">
        <v>19.26</v>
      </c>
      <c r="AI321" s="402">
        <v>14.4476</v>
      </c>
      <c r="AJ321" s="402">
        <v>0.96</v>
      </c>
      <c r="AK321" s="402">
        <v>1.44</v>
      </c>
      <c r="AL321" s="402">
        <v>28.8952</v>
      </c>
      <c r="AM321" s="402"/>
      <c r="AN321" s="350"/>
      <c r="AO321" s="205">
        <f t="shared" si="82"/>
        <v>0</v>
      </c>
    </row>
    <row r="322" ht="24" hidden="1" spans="1:41">
      <c r="A322" s="284" t="s">
        <v>540</v>
      </c>
      <c r="B322" s="284" t="s">
        <v>199</v>
      </c>
      <c r="C322" s="284" t="s">
        <v>605</v>
      </c>
      <c r="D322" s="284" t="s">
        <v>594</v>
      </c>
      <c r="E322" s="402">
        <f t="shared" si="105"/>
        <v>120.69</v>
      </c>
      <c r="F322" s="402">
        <f t="shared" si="106"/>
        <v>0</v>
      </c>
      <c r="G322" s="402">
        <f t="shared" si="107"/>
        <v>0</v>
      </c>
      <c r="H322" s="402"/>
      <c r="I322" s="402"/>
      <c r="J322" s="402"/>
      <c r="K322" s="402"/>
      <c r="L322" s="402"/>
      <c r="M322" s="402">
        <f t="shared" si="108"/>
        <v>0</v>
      </c>
      <c r="N322" s="402"/>
      <c r="O322" s="402"/>
      <c r="P322" s="402"/>
      <c r="Q322" s="402">
        <f t="shared" si="109"/>
        <v>86.52</v>
      </c>
      <c r="R322" s="402">
        <f t="shared" si="110"/>
        <v>74.54</v>
      </c>
      <c r="S322" s="402">
        <v>46.37</v>
      </c>
      <c r="T322" s="402">
        <v>1.12</v>
      </c>
      <c r="U322" s="402">
        <v>19.97</v>
      </c>
      <c r="V322" s="402">
        <v>7.08</v>
      </c>
      <c r="W322" s="402"/>
      <c r="X322" s="409"/>
      <c r="Y322" s="402">
        <f t="shared" si="111"/>
        <v>11.98</v>
      </c>
      <c r="Z322" s="402">
        <v>11.98</v>
      </c>
      <c r="AA322" s="402"/>
      <c r="AB322" s="402"/>
      <c r="AC322" s="402"/>
      <c r="AD322" s="402"/>
      <c r="AE322" s="402"/>
      <c r="AF322" s="402">
        <f t="shared" si="112"/>
        <v>34.17</v>
      </c>
      <c r="AG322" s="402">
        <v>12.71</v>
      </c>
      <c r="AH322" s="402">
        <v>6.36</v>
      </c>
      <c r="AI322" s="402">
        <v>4.77</v>
      </c>
      <c r="AJ322" s="402">
        <v>0.32</v>
      </c>
      <c r="AK322" s="402">
        <v>0.48</v>
      </c>
      <c r="AL322" s="402">
        <v>9.53</v>
      </c>
      <c r="AM322" s="402"/>
      <c r="AN322" s="350"/>
      <c r="AO322" s="205">
        <f t="shared" si="82"/>
        <v>0</v>
      </c>
    </row>
    <row r="323" ht="24" hidden="1" spans="1:41">
      <c r="A323" s="284" t="s">
        <v>540</v>
      </c>
      <c r="B323" s="284" t="s">
        <v>199</v>
      </c>
      <c r="C323" s="284" t="s">
        <v>606</v>
      </c>
      <c r="D323" s="284" t="s">
        <v>594</v>
      </c>
      <c r="E323" s="402">
        <f t="shared" si="105"/>
        <v>126.21</v>
      </c>
      <c r="F323" s="402">
        <f t="shared" si="106"/>
        <v>0</v>
      </c>
      <c r="G323" s="402">
        <f t="shared" si="107"/>
        <v>0</v>
      </c>
      <c r="H323" s="402"/>
      <c r="I323" s="402"/>
      <c r="J323" s="402"/>
      <c r="K323" s="402"/>
      <c r="L323" s="402"/>
      <c r="M323" s="402">
        <f t="shared" si="108"/>
        <v>0</v>
      </c>
      <c r="N323" s="402"/>
      <c r="O323" s="402"/>
      <c r="P323" s="402"/>
      <c r="Q323" s="402">
        <f t="shared" si="109"/>
        <v>90.42</v>
      </c>
      <c r="R323" s="402">
        <f t="shared" si="110"/>
        <v>77.29</v>
      </c>
      <c r="S323" s="402">
        <v>46.98</v>
      </c>
      <c r="T323" s="402">
        <v>1.22</v>
      </c>
      <c r="U323" s="402">
        <v>21.89</v>
      </c>
      <c r="V323" s="402">
        <v>7.2</v>
      </c>
      <c r="W323" s="402"/>
      <c r="X323" s="409"/>
      <c r="Y323" s="402">
        <f t="shared" si="111"/>
        <v>13.13</v>
      </c>
      <c r="Z323" s="402">
        <v>13.13</v>
      </c>
      <c r="AA323" s="402"/>
      <c r="AB323" s="402"/>
      <c r="AC323" s="402"/>
      <c r="AD323" s="402"/>
      <c r="AE323" s="402"/>
      <c r="AF323" s="402">
        <f t="shared" si="112"/>
        <v>35.79</v>
      </c>
      <c r="AG323" s="402">
        <v>13.32</v>
      </c>
      <c r="AH323" s="402">
        <v>6.66</v>
      </c>
      <c r="AI323" s="402">
        <v>4.99</v>
      </c>
      <c r="AJ323" s="402">
        <v>0.33</v>
      </c>
      <c r="AK323" s="402">
        <v>0.5</v>
      </c>
      <c r="AL323" s="402">
        <v>9.99</v>
      </c>
      <c r="AM323" s="402"/>
      <c r="AN323" s="350"/>
      <c r="AO323" s="205">
        <f t="shared" si="82"/>
        <v>0</v>
      </c>
    </row>
    <row r="324" ht="24" hidden="1" spans="1:41">
      <c r="A324" s="284" t="s">
        <v>540</v>
      </c>
      <c r="B324" s="284" t="s">
        <v>199</v>
      </c>
      <c r="C324" s="284" t="s">
        <v>607</v>
      </c>
      <c r="D324" s="284" t="s">
        <v>594</v>
      </c>
      <c r="E324" s="402">
        <f t="shared" si="105"/>
        <v>205.17</v>
      </c>
      <c r="F324" s="402">
        <f t="shared" si="106"/>
        <v>0</v>
      </c>
      <c r="G324" s="402">
        <f t="shared" si="107"/>
        <v>0</v>
      </c>
      <c r="H324" s="402"/>
      <c r="I324" s="402"/>
      <c r="J324" s="402"/>
      <c r="K324" s="402"/>
      <c r="L324" s="402"/>
      <c r="M324" s="402">
        <f t="shared" si="108"/>
        <v>0</v>
      </c>
      <c r="N324" s="402"/>
      <c r="O324" s="402"/>
      <c r="P324" s="402"/>
      <c r="Q324" s="402">
        <f t="shared" si="109"/>
        <v>145.86</v>
      </c>
      <c r="R324" s="402">
        <f t="shared" si="110"/>
        <v>124.53</v>
      </c>
      <c r="S324" s="402">
        <v>79.12</v>
      </c>
      <c r="T324" s="402">
        <v>1.93</v>
      </c>
      <c r="U324" s="402">
        <v>35.56</v>
      </c>
      <c r="V324" s="402">
        <v>7.92</v>
      </c>
      <c r="W324" s="402"/>
      <c r="X324" s="409"/>
      <c r="Y324" s="402">
        <f t="shared" si="111"/>
        <v>21.33</v>
      </c>
      <c r="Z324" s="402">
        <v>21.33</v>
      </c>
      <c r="AA324" s="402"/>
      <c r="AB324" s="402"/>
      <c r="AC324" s="402"/>
      <c r="AD324" s="402"/>
      <c r="AE324" s="402"/>
      <c r="AF324" s="402">
        <f t="shared" si="112"/>
        <v>59.31</v>
      </c>
      <c r="AG324" s="402">
        <v>22.07</v>
      </c>
      <c r="AH324" s="402">
        <v>11.03</v>
      </c>
      <c r="AI324" s="402">
        <v>8.28</v>
      </c>
      <c r="AJ324" s="402">
        <v>0.55</v>
      </c>
      <c r="AK324" s="402">
        <v>0.83</v>
      </c>
      <c r="AL324" s="402">
        <v>16.55</v>
      </c>
      <c r="AM324" s="402"/>
      <c r="AN324" s="350"/>
      <c r="AO324" s="205">
        <f t="shared" si="82"/>
        <v>0</v>
      </c>
    </row>
    <row r="325" ht="24" hidden="1" spans="1:41">
      <c r="A325" s="284" t="s">
        <v>540</v>
      </c>
      <c r="B325" s="284" t="s">
        <v>199</v>
      </c>
      <c r="C325" s="284" t="s">
        <v>608</v>
      </c>
      <c r="D325" s="284" t="s">
        <v>594</v>
      </c>
      <c r="E325" s="402">
        <f t="shared" si="105"/>
        <v>149</v>
      </c>
      <c r="F325" s="402">
        <f t="shared" si="106"/>
        <v>0</v>
      </c>
      <c r="G325" s="402">
        <f t="shared" si="107"/>
        <v>0</v>
      </c>
      <c r="H325" s="402"/>
      <c r="I325" s="402"/>
      <c r="J325" s="402"/>
      <c r="K325" s="402"/>
      <c r="L325" s="402"/>
      <c r="M325" s="402">
        <f t="shared" si="108"/>
        <v>0</v>
      </c>
      <c r="N325" s="402"/>
      <c r="O325" s="402"/>
      <c r="P325" s="402"/>
      <c r="Q325" s="402">
        <f t="shared" si="109"/>
        <v>106.14</v>
      </c>
      <c r="R325" s="402">
        <f t="shared" si="110"/>
        <v>90.77</v>
      </c>
      <c r="S325" s="402">
        <v>57.24</v>
      </c>
      <c r="T325" s="402">
        <v>1.43</v>
      </c>
      <c r="U325" s="402">
        <v>25.62</v>
      </c>
      <c r="V325" s="402">
        <v>6.48</v>
      </c>
      <c r="W325" s="402"/>
      <c r="X325" s="409"/>
      <c r="Y325" s="402">
        <f t="shared" si="111"/>
        <v>15.37</v>
      </c>
      <c r="Z325" s="402">
        <v>15.37</v>
      </c>
      <c r="AA325" s="402"/>
      <c r="AB325" s="402"/>
      <c r="AC325" s="402"/>
      <c r="AD325" s="402"/>
      <c r="AE325" s="402"/>
      <c r="AF325" s="402">
        <f t="shared" si="112"/>
        <v>42.86</v>
      </c>
      <c r="AG325" s="402">
        <v>15.95</v>
      </c>
      <c r="AH325" s="402">
        <v>7.97</v>
      </c>
      <c r="AI325" s="402">
        <v>5.98</v>
      </c>
      <c r="AJ325" s="402">
        <v>0.4</v>
      </c>
      <c r="AK325" s="402">
        <v>0.6</v>
      </c>
      <c r="AL325" s="402">
        <v>11.96</v>
      </c>
      <c r="AM325" s="402"/>
      <c r="AN325" s="350"/>
      <c r="AO325" s="205">
        <f t="shared" si="82"/>
        <v>0</v>
      </c>
    </row>
    <row r="326" ht="36" hidden="1" spans="1:42">
      <c r="A326" s="284" t="s">
        <v>540</v>
      </c>
      <c r="B326" s="284" t="s">
        <v>199</v>
      </c>
      <c r="C326" s="284" t="s">
        <v>609</v>
      </c>
      <c r="D326" s="284" t="s">
        <v>610</v>
      </c>
      <c r="E326" s="402">
        <f t="shared" si="105"/>
        <v>569.56</v>
      </c>
      <c r="F326" s="402">
        <f t="shared" si="106"/>
        <v>0</v>
      </c>
      <c r="G326" s="402">
        <f t="shared" si="107"/>
        <v>0</v>
      </c>
      <c r="H326" s="402"/>
      <c r="I326" s="402"/>
      <c r="J326" s="402"/>
      <c r="K326" s="402"/>
      <c r="L326" s="402"/>
      <c r="M326" s="402">
        <f t="shared" si="108"/>
        <v>0</v>
      </c>
      <c r="N326" s="402"/>
      <c r="O326" s="402"/>
      <c r="P326" s="402"/>
      <c r="Q326" s="402">
        <f t="shared" si="109"/>
        <v>467.43</v>
      </c>
      <c r="R326" s="402">
        <f t="shared" si="110"/>
        <v>226.83</v>
      </c>
      <c r="S326" s="402">
        <v>149.2</v>
      </c>
      <c r="T326" s="402">
        <v>0.01</v>
      </c>
      <c r="U326" s="402">
        <v>55.2</v>
      </c>
      <c r="V326" s="402"/>
      <c r="W326" s="402"/>
      <c r="X326" s="402">
        <v>22.42</v>
      </c>
      <c r="Y326" s="402">
        <f t="shared" si="111"/>
        <v>240.6</v>
      </c>
      <c r="Z326" s="402">
        <v>33.12</v>
      </c>
      <c r="AA326" s="402"/>
      <c r="AB326" s="402">
        <v>2.48</v>
      </c>
      <c r="AC326" s="402"/>
      <c r="AD326" s="402"/>
      <c r="AE326" s="402">
        <v>205</v>
      </c>
      <c r="AF326" s="402">
        <f t="shared" si="112"/>
        <v>102.13</v>
      </c>
      <c r="AG326" s="402">
        <v>38</v>
      </c>
      <c r="AH326" s="402">
        <v>19</v>
      </c>
      <c r="AI326" s="402">
        <v>14.25</v>
      </c>
      <c r="AJ326" s="402">
        <v>0.95</v>
      </c>
      <c r="AK326" s="402">
        <v>1.43</v>
      </c>
      <c r="AL326" s="402">
        <v>28.5</v>
      </c>
      <c r="AM326" s="402"/>
      <c r="AN326" s="350"/>
      <c r="AO326" s="205">
        <f t="shared" si="82"/>
        <v>205</v>
      </c>
      <c r="AP326">
        <v>21.17</v>
      </c>
    </row>
    <row r="327" ht="36" hidden="1" spans="1:42">
      <c r="A327" s="284" t="s">
        <v>540</v>
      </c>
      <c r="B327" s="284" t="s">
        <v>196</v>
      </c>
      <c r="C327" s="284" t="s">
        <v>611</v>
      </c>
      <c r="D327" s="284" t="s">
        <v>612</v>
      </c>
      <c r="E327" s="402">
        <f t="shared" si="105"/>
        <v>137.25</v>
      </c>
      <c r="F327" s="402">
        <f t="shared" si="106"/>
        <v>112.45</v>
      </c>
      <c r="G327" s="402">
        <f t="shared" si="107"/>
        <v>59.45</v>
      </c>
      <c r="H327" s="402">
        <v>33.47</v>
      </c>
      <c r="I327" s="402">
        <v>23.19</v>
      </c>
      <c r="J327" s="402">
        <v>2.79</v>
      </c>
      <c r="K327" s="402"/>
      <c r="L327" s="402"/>
      <c r="M327" s="402">
        <f t="shared" si="108"/>
        <v>53</v>
      </c>
      <c r="N327" s="402"/>
      <c r="O327" s="402"/>
      <c r="P327" s="402">
        <v>53</v>
      </c>
      <c r="Q327" s="402">
        <f t="shared" si="109"/>
        <v>0</v>
      </c>
      <c r="R327" s="402">
        <f t="shared" si="110"/>
        <v>0</v>
      </c>
      <c r="S327" s="402"/>
      <c r="T327" s="402"/>
      <c r="U327" s="402"/>
      <c r="V327" s="402"/>
      <c r="W327" s="402"/>
      <c r="X327" s="402"/>
      <c r="Y327" s="402">
        <f t="shared" si="111"/>
        <v>0</v>
      </c>
      <c r="Z327" s="402"/>
      <c r="AA327" s="402"/>
      <c r="AB327" s="402"/>
      <c r="AC327" s="402"/>
      <c r="AD327" s="402"/>
      <c r="AE327" s="402"/>
      <c r="AF327" s="402">
        <f t="shared" si="112"/>
        <v>24.8</v>
      </c>
      <c r="AG327" s="402">
        <v>9.51</v>
      </c>
      <c r="AH327" s="402">
        <v>4.53</v>
      </c>
      <c r="AI327" s="402">
        <v>3.4</v>
      </c>
      <c r="AJ327" s="402">
        <v>0.22</v>
      </c>
      <c r="AK327" s="402">
        <v>0.34</v>
      </c>
      <c r="AL327" s="402">
        <v>6.8</v>
      </c>
      <c r="AM327" s="402"/>
      <c r="AN327" s="350"/>
      <c r="AO327" s="205">
        <f t="shared" si="82"/>
        <v>53</v>
      </c>
      <c r="AP327">
        <v>5.3524</v>
      </c>
    </row>
    <row r="328" ht="36" hidden="1" spans="1:42">
      <c r="A328" s="284" t="s">
        <v>540</v>
      </c>
      <c r="B328" s="284" t="s">
        <v>199</v>
      </c>
      <c r="C328" s="284" t="s">
        <v>613</v>
      </c>
      <c r="D328" s="284" t="s">
        <v>614</v>
      </c>
      <c r="E328" s="402">
        <f t="shared" si="105"/>
        <v>609.63</v>
      </c>
      <c r="F328" s="402">
        <f t="shared" si="106"/>
        <v>0</v>
      </c>
      <c r="G328" s="402">
        <f t="shared" si="107"/>
        <v>0</v>
      </c>
      <c r="H328" s="402"/>
      <c r="I328" s="402"/>
      <c r="J328" s="402"/>
      <c r="K328" s="402"/>
      <c r="L328" s="402"/>
      <c r="M328" s="402">
        <f t="shared" si="108"/>
        <v>0</v>
      </c>
      <c r="N328" s="402"/>
      <c r="O328" s="412"/>
      <c r="P328" s="402"/>
      <c r="Q328" s="402">
        <f t="shared" si="109"/>
        <v>426.81</v>
      </c>
      <c r="R328" s="402">
        <f t="shared" si="110"/>
        <v>365.02</v>
      </c>
      <c r="S328" s="402">
        <v>252.94</v>
      </c>
      <c r="T328" s="402">
        <v>11.85</v>
      </c>
      <c r="U328" s="402">
        <v>100.23</v>
      </c>
      <c r="V328" s="402"/>
      <c r="W328" s="402"/>
      <c r="X328" s="402"/>
      <c r="Y328" s="402">
        <f t="shared" si="111"/>
        <v>61.79</v>
      </c>
      <c r="Z328" s="402">
        <v>60.14</v>
      </c>
      <c r="AA328" s="402"/>
      <c r="AB328" s="402"/>
      <c r="AC328" s="402"/>
      <c r="AD328" s="409">
        <v>1.65</v>
      </c>
      <c r="AE328" s="402"/>
      <c r="AF328" s="402">
        <f t="shared" si="112"/>
        <v>182.82</v>
      </c>
      <c r="AG328" s="402">
        <v>68.03</v>
      </c>
      <c r="AH328" s="402">
        <v>34.01</v>
      </c>
      <c r="AI328" s="402">
        <v>25.51</v>
      </c>
      <c r="AJ328" s="402">
        <v>1.7</v>
      </c>
      <c r="AK328" s="402">
        <v>2.55</v>
      </c>
      <c r="AL328" s="402">
        <v>51.02</v>
      </c>
      <c r="AM328" s="402"/>
      <c r="AN328" s="350"/>
      <c r="AO328" s="205">
        <f t="shared" si="82"/>
        <v>0</v>
      </c>
      <c r="AP328">
        <v>22.1472</v>
      </c>
    </row>
    <row r="329" ht="36" hidden="1" spans="1:42">
      <c r="A329" s="284" t="s">
        <v>540</v>
      </c>
      <c r="B329" s="284" t="s">
        <v>196</v>
      </c>
      <c r="C329" s="284" t="s">
        <v>615</v>
      </c>
      <c r="D329" s="284" t="s">
        <v>616</v>
      </c>
      <c r="E329" s="402">
        <f t="shared" si="105"/>
        <v>92.65</v>
      </c>
      <c r="F329" s="402">
        <f t="shared" si="106"/>
        <v>74.7</v>
      </c>
      <c r="G329" s="402">
        <f t="shared" si="107"/>
        <v>43.22</v>
      </c>
      <c r="H329" s="402">
        <v>24.33</v>
      </c>
      <c r="I329" s="402">
        <v>16.86</v>
      </c>
      <c r="J329" s="402">
        <v>2.03</v>
      </c>
      <c r="K329" s="402"/>
      <c r="L329" s="402"/>
      <c r="M329" s="402">
        <f t="shared" si="108"/>
        <v>31.48</v>
      </c>
      <c r="N329" s="402">
        <v>2.48</v>
      </c>
      <c r="O329" s="402"/>
      <c r="P329" s="402">
        <v>29</v>
      </c>
      <c r="Q329" s="402">
        <f t="shared" si="109"/>
        <v>0</v>
      </c>
      <c r="R329" s="402">
        <f t="shared" si="110"/>
        <v>0</v>
      </c>
      <c r="S329" s="402"/>
      <c r="T329" s="402"/>
      <c r="U329" s="402"/>
      <c r="V329" s="402"/>
      <c r="W329" s="402"/>
      <c r="X329" s="402"/>
      <c r="Y329" s="402">
        <f t="shared" si="111"/>
        <v>0</v>
      </c>
      <c r="Z329" s="402"/>
      <c r="AA329" s="402"/>
      <c r="AB329" s="402"/>
      <c r="AC329" s="402"/>
      <c r="AD329" s="402"/>
      <c r="AE329" s="402"/>
      <c r="AF329" s="402">
        <f t="shared" si="112"/>
        <v>17.95</v>
      </c>
      <c r="AG329" s="402">
        <v>6.91</v>
      </c>
      <c r="AH329" s="402">
        <v>3.3</v>
      </c>
      <c r="AI329" s="402">
        <v>2.47</v>
      </c>
      <c r="AJ329" s="402">
        <v>0.08</v>
      </c>
      <c r="AK329" s="402">
        <v>0.25</v>
      </c>
      <c r="AL329" s="402">
        <v>4.94</v>
      </c>
      <c r="AM329" s="402"/>
      <c r="AN329" s="350"/>
      <c r="AO329" s="205">
        <f t="shared" si="82"/>
        <v>29</v>
      </c>
      <c r="AP329">
        <v>4.4444</v>
      </c>
    </row>
    <row r="330" s="311" customFormat="1" ht="21" customHeight="1" spans="1:44">
      <c r="A330" s="328"/>
      <c r="B330" s="328"/>
      <c r="C330" s="328" t="s">
        <v>140</v>
      </c>
      <c r="D330" s="329">
        <v>212</v>
      </c>
      <c r="E330" s="401">
        <f t="shared" ref="E330:P330" si="113">SUM(E331:E345)</f>
        <v>2817.1483</v>
      </c>
      <c r="F330" s="401">
        <f t="shared" si="113"/>
        <v>1302.66</v>
      </c>
      <c r="G330" s="401">
        <f t="shared" si="113"/>
        <v>287.85</v>
      </c>
      <c r="H330" s="401">
        <f t="shared" si="113"/>
        <v>162.94</v>
      </c>
      <c r="I330" s="401">
        <f t="shared" si="113"/>
        <v>111.33</v>
      </c>
      <c r="J330" s="401">
        <f t="shared" si="113"/>
        <v>13.58</v>
      </c>
      <c r="K330" s="401">
        <f t="shared" si="113"/>
        <v>0</v>
      </c>
      <c r="L330" s="401">
        <f t="shared" si="113"/>
        <v>0</v>
      </c>
      <c r="M330" s="401">
        <f t="shared" si="113"/>
        <v>1014.81</v>
      </c>
      <c r="N330" s="401">
        <f t="shared" si="113"/>
        <v>488.09</v>
      </c>
      <c r="O330" s="401">
        <f t="shared" si="113"/>
        <v>347.72</v>
      </c>
      <c r="P330" s="401">
        <f t="shared" si="113"/>
        <v>179</v>
      </c>
      <c r="Q330" s="401">
        <f t="shared" ref="Q330:AE330" si="114">SUM(Q331:Q345)</f>
        <v>1157.9083</v>
      </c>
      <c r="R330" s="401">
        <f t="shared" si="114"/>
        <v>473.71</v>
      </c>
      <c r="S330" s="401">
        <f t="shared" si="114"/>
        <v>341.79</v>
      </c>
      <c r="T330" s="401">
        <f t="shared" si="114"/>
        <v>0.46</v>
      </c>
      <c r="U330" s="401">
        <f t="shared" si="114"/>
        <v>131.46</v>
      </c>
      <c r="V330" s="401">
        <f t="shared" si="114"/>
        <v>0</v>
      </c>
      <c r="W330" s="401">
        <f t="shared" si="114"/>
        <v>0</v>
      </c>
      <c r="X330" s="401">
        <f t="shared" si="114"/>
        <v>0</v>
      </c>
      <c r="Y330" s="401">
        <f t="shared" si="114"/>
        <v>684.1983</v>
      </c>
      <c r="Z330" s="401">
        <f t="shared" si="114"/>
        <v>78.9</v>
      </c>
      <c r="AA330" s="401">
        <f t="shared" si="114"/>
        <v>0</v>
      </c>
      <c r="AB330" s="401">
        <f t="shared" si="114"/>
        <v>88.4883</v>
      </c>
      <c r="AC330" s="401">
        <f t="shared" si="114"/>
        <v>0</v>
      </c>
      <c r="AD330" s="401">
        <f t="shared" si="114"/>
        <v>73.81</v>
      </c>
      <c r="AE330" s="401">
        <f t="shared" si="114"/>
        <v>443</v>
      </c>
      <c r="AF330" s="401">
        <f t="shared" ref="AF330:AM330" si="115">SUM(AF331:AF345)</f>
        <v>356.58</v>
      </c>
      <c r="AG330" s="401">
        <f t="shared" si="115"/>
        <v>134.51</v>
      </c>
      <c r="AH330" s="401">
        <f t="shared" si="115"/>
        <v>66.16</v>
      </c>
      <c r="AI330" s="401">
        <f t="shared" si="115"/>
        <v>49.61</v>
      </c>
      <c r="AJ330" s="401">
        <f t="shared" si="115"/>
        <v>1.66</v>
      </c>
      <c r="AK330" s="401">
        <f t="shared" si="115"/>
        <v>4.96</v>
      </c>
      <c r="AL330" s="401">
        <f t="shared" si="115"/>
        <v>99.25</v>
      </c>
      <c r="AM330" s="401">
        <f t="shared" si="115"/>
        <v>0.43</v>
      </c>
      <c r="AN330" s="362"/>
      <c r="AO330" s="407">
        <f t="shared" ref="AO330:AO393" si="116">P330+AE330</f>
        <v>622</v>
      </c>
      <c r="AP330" s="373"/>
      <c r="AR330"/>
    </row>
    <row r="331" ht="24" hidden="1" spans="1:42">
      <c r="A331" s="284" t="s">
        <v>290</v>
      </c>
      <c r="B331" s="284" t="s">
        <v>196</v>
      </c>
      <c r="C331" s="284" t="s">
        <v>617</v>
      </c>
      <c r="D331" s="284" t="s">
        <v>618</v>
      </c>
      <c r="E331" s="402">
        <f t="shared" ref="E331:E345" si="117">F331+Q331+AF331</f>
        <v>203.65</v>
      </c>
      <c r="F331" s="402">
        <f t="shared" ref="F331:F345" si="118">G331+M331</f>
        <v>157.82</v>
      </c>
      <c r="G331" s="402">
        <f t="shared" ref="G331:G345" si="119">SUM(H331:L331)</f>
        <v>110.34</v>
      </c>
      <c r="H331" s="402">
        <v>62.26</v>
      </c>
      <c r="I331" s="402">
        <v>42.89</v>
      </c>
      <c r="J331" s="402">
        <v>5.19</v>
      </c>
      <c r="K331" s="402"/>
      <c r="L331" s="402"/>
      <c r="M331" s="402">
        <f t="shared" ref="M331:M345" si="120">SUM(N331:P331)</f>
        <v>47.48</v>
      </c>
      <c r="N331" s="402">
        <v>2.48</v>
      </c>
      <c r="O331" s="402"/>
      <c r="P331" s="404">
        <v>45</v>
      </c>
      <c r="Q331" s="402">
        <f t="shared" ref="Q331:Q345" si="121">R331+Y331</f>
        <v>0</v>
      </c>
      <c r="R331" s="402">
        <f t="shared" ref="R331:R345" si="122">SUM(S331:X331)</f>
        <v>0</v>
      </c>
      <c r="S331" s="402"/>
      <c r="T331" s="402"/>
      <c r="U331" s="402"/>
      <c r="V331" s="402"/>
      <c r="W331" s="402"/>
      <c r="X331" s="402"/>
      <c r="Y331" s="402">
        <f t="shared" ref="Y331:Y345" si="123">SUM(Z331:AE331)</f>
        <v>0</v>
      </c>
      <c r="Z331" s="402"/>
      <c r="AA331" s="402"/>
      <c r="AB331" s="402"/>
      <c r="AC331" s="402"/>
      <c r="AD331" s="402"/>
      <c r="AE331" s="402"/>
      <c r="AF331" s="402">
        <f t="shared" ref="AF331:AF345" si="124">SUM(AG331:AM331)</f>
        <v>45.83</v>
      </c>
      <c r="AG331" s="402">
        <v>17.65</v>
      </c>
      <c r="AH331" s="402">
        <v>8.41</v>
      </c>
      <c r="AI331" s="402">
        <v>6.31</v>
      </c>
      <c r="AJ331" s="402">
        <v>0.21</v>
      </c>
      <c r="AK331" s="402">
        <v>0.63</v>
      </c>
      <c r="AL331" s="402">
        <v>12.62</v>
      </c>
      <c r="AM331" s="402"/>
      <c r="AN331" s="350"/>
      <c r="AO331" s="205">
        <f t="shared" si="116"/>
        <v>45</v>
      </c>
      <c r="AP331">
        <v>13.8778</v>
      </c>
    </row>
    <row r="332" ht="36" hidden="1" spans="1:42">
      <c r="A332" s="284" t="s">
        <v>290</v>
      </c>
      <c r="B332" s="284" t="s">
        <v>196</v>
      </c>
      <c r="C332" s="284" t="s">
        <v>619</v>
      </c>
      <c r="D332" s="284" t="s">
        <v>620</v>
      </c>
      <c r="E332" s="402">
        <f t="shared" si="117"/>
        <v>902.08</v>
      </c>
      <c r="F332" s="402">
        <f t="shared" si="118"/>
        <v>880.67</v>
      </c>
      <c r="G332" s="402">
        <f t="shared" si="119"/>
        <v>51.54</v>
      </c>
      <c r="H332" s="402">
        <v>29.02</v>
      </c>
      <c r="I332" s="402">
        <v>20.1</v>
      </c>
      <c r="J332" s="402">
        <v>2.42</v>
      </c>
      <c r="K332" s="402"/>
      <c r="L332" s="402"/>
      <c r="M332" s="402">
        <f t="shared" si="120"/>
        <v>829.13</v>
      </c>
      <c r="N332" s="402">
        <v>485.61</v>
      </c>
      <c r="O332" s="409">
        <f>8+1.68+298.84</f>
        <v>308.52</v>
      </c>
      <c r="P332" s="402">
        <v>35</v>
      </c>
      <c r="Q332" s="402">
        <f t="shared" si="121"/>
        <v>0</v>
      </c>
      <c r="R332" s="402">
        <f t="shared" si="122"/>
        <v>0</v>
      </c>
      <c r="S332" s="402"/>
      <c r="T332" s="402"/>
      <c r="U332" s="402"/>
      <c r="V332" s="402"/>
      <c r="W332" s="402"/>
      <c r="X332" s="402"/>
      <c r="Y332" s="402">
        <f t="shared" si="123"/>
        <v>0</v>
      </c>
      <c r="Z332" s="402"/>
      <c r="AA332" s="402"/>
      <c r="AB332" s="402"/>
      <c r="AC332" s="402"/>
      <c r="AD332" s="410"/>
      <c r="AE332" s="402"/>
      <c r="AF332" s="402">
        <f t="shared" si="124"/>
        <v>21.41</v>
      </c>
      <c r="AG332" s="402">
        <v>8.25</v>
      </c>
      <c r="AH332" s="402">
        <v>3.93</v>
      </c>
      <c r="AI332" s="402">
        <v>2.95</v>
      </c>
      <c r="AJ332" s="402">
        <v>0.1</v>
      </c>
      <c r="AK332" s="402">
        <v>0.29</v>
      </c>
      <c r="AL332" s="402">
        <v>5.89</v>
      </c>
      <c r="AM332" s="402"/>
      <c r="AN332" s="363" t="s">
        <v>621</v>
      </c>
      <c r="AO332" s="205">
        <f t="shared" si="116"/>
        <v>35</v>
      </c>
      <c r="AP332">
        <v>4.0718</v>
      </c>
    </row>
    <row r="333" ht="24" hidden="1" spans="1:42">
      <c r="A333" s="284" t="s">
        <v>290</v>
      </c>
      <c r="B333" s="284" t="s">
        <v>196</v>
      </c>
      <c r="C333" s="284" t="s">
        <v>622</v>
      </c>
      <c r="D333" s="284" t="s">
        <v>620</v>
      </c>
      <c r="E333" s="402">
        <f t="shared" si="117"/>
        <v>316.49</v>
      </c>
      <c r="F333" s="402">
        <f t="shared" si="118"/>
        <v>264.17</v>
      </c>
      <c r="G333" s="402">
        <f t="shared" si="119"/>
        <v>125.97</v>
      </c>
      <c r="H333" s="402">
        <v>71.66</v>
      </c>
      <c r="I333" s="402">
        <v>48.34</v>
      </c>
      <c r="J333" s="402">
        <v>5.97</v>
      </c>
      <c r="K333" s="402"/>
      <c r="L333" s="402"/>
      <c r="M333" s="402">
        <f t="shared" si="120"/>
        <v>138.2</v>
      </c>
      <c r="N333" s="402"/>
      <c r="O333" s="412">
        <v>39.2</v>
      </c>
      <c r="P333" s="402">
        <v>99</v>
      </c>
      <c r="Q333" s="402">
        <f t="shared" si="121"/>
        <v>0</v>
      </c>
      <c r="R333" s="402">
        <f t="shared" si="122"/>
        <v>0</v>
      </c>
      <c r="S333" s="402"/>
      <c r="T333" s="402"/>
      <c r="U333" s="402"/>
      <c r="V333" s="402"/>
      <c r="W333" s="402"/>
      <c r="X333" s="402"/>
      <c r="Y333" s="402">
        <f t="shared" si="123"/>
        <v>0</v>
      </c>
      <c r="Z333" s="402"/>
      <c r="AA333" s="402"/>
      <c r="AB333" s="402"/>
      <c r="AC333" s="402"/>
      <c r="AD333" s="402"/>
      <c r="AE333" s="402"/>
      <c r="AF333" s="402">
        <f t="shared" si="124"/>
        <v>52.32</v>
      </c>
      <c r="AG333" s="402">
        <v>20.16</v>
      </c>
      <c r="AH333" s="402">
        <v>9.6</v>
      </c>
      <c r="AI333" s="402">
        <v>7.2</v>
      </c>
      <c r="AJ333" s="402">
        <v>0.24</v>
      </c>
      <c r="AK333" s="402">
        <v>0.72</v>
      </c>
      <c r="AL333" s="402">
        <v>14.4</v>
      </c>
      <c r="AM333" s="402"/>
      <c r="AN333" s="350"/>
      <c r="AO333" s="205">
        <f t="shared" si="116"/>
        <v>99</v>
      </c>
      <c r="AP333">
        <v>9.8796</v>
      </c>
    </row>
    <row r="334" ht="24" hidden="1" spans="1:42">
      <c r="A334" s="284" t="s">
        <v>290</v>
      </c>
      <c r="B334" s="284" t="s">
        <v>199</v>
      </c>
      <c r="C334" s="284" t="s">
        <v>623</v>
      </c>
      <c r="D334" s="284" t="s">
        <v>620</v>
      </c>
      <c r="E334" s="402">
        <f t="shared" si="117"/>
        <v>372.53</v>
      </c>
      <c r="F334" s="402">
        <f t="shared" si="118"/>
        <v>0</v>
      </c>
      <c r="G334" s="402">
        <f t="shared" si="119"/>
        <v>0</v>
      </c>
      <c r="H334" s="402"/>
      <c r="I334" s="402"/>
      <c r="J334" s="402"/>
      <c r="K334" s="402"/>
      <c r="L334" s="402"/>
      <c r="M334" s="402">
        <f t="shared" si="120"/>
        <v>0</v>
      </c>
      <c r="N334" s="402"/>
      <c r="O334" s="412"/>
      <c r="P334" s="402"/>
      <c r="Q334" s="402">
        <f t="shared" si="121"/>
        <v>312.72</v>
      </c>
      <c r="R334" s="402">
        <f t="shared" si="122"/>
        <v>119.29</v>
      </c>
      <c r="S334" s="402">
        <v>85.24</v>
      </c>
      <c r="T334" s="402"/>
      <c r="U334" s="402">
        <v>34.05</v>
      </c>
      <c r="V334" s="402"/>
      <c r="W334" s="402"/>
      <c r="X334" s="402"/>
      <c r="Y334" s="402">
        <f t="shared" si="123"/>
        <v>193.43</v>
      </c>
      <c r="Z334" s="402">
        <v>20.43</v>
      </c>
      <c r="AA334" s="402"/>
      <c r="AB334" s="402"/>
      <c r="AC334" s="402"/>
      <c r="AD334" s="402">
        <v>49</v>
      </c>
      <c r="AE334" s="402">
        <v>124</v>
      </c>
      <c r="AF334" s="402">
        <f t="shared" si="124"/>
        <v>59.81</v>
      </c>
      <c r="AG334" s="402">
        <v>22.36</v>
      </c>
      <c r="AH334" s="402">
        <v>11.18</v>
      </c>
      <c r="AI334" s="402">
        <v>8.38</v>
      </c>
      <c r="AJ334" s="402">
        <v>0.28</v>
      </c>
      <c r="AK334" s="402">
        <v>0.84</v>
      </c>
      <c r="AL334" s="402">
        <v>16.77</v>
      </c>
      <c r="AM334" s="402"/>
      <c r="AN334" s="350"/>
      <c r="AO334" s="205">
        <f t="shared" si="116"/>
        <v>124</v>
      </c>
      <c r="AP334">
        <v>12.5</v>
      </c>
    </row>
    <row r="335" ht="24" hidden="1" spans="1:42">
      <c r="A335" s="284" t="s">
        <v>290</v>
      </c>
      <c r="B335" s="284" t="s">
        <v>199</v>
      </c>
      <c r="C335" s="284" t="s">
        <v>624</v>
      </c>
      <c r="D335" s="284" t="s">
        <v>620</v>
      </c>
      <c r="E335" s="402">
        <f t="shared" si="117"/>
        <v>34.41</v>
      </c>
      <c r="F335" s="402">
        <f t="shared" si="118"/>
        <v>0</v>
      </c>
      <c r="G335" s="402">
        <f t="shared" si="119"/>
        <v>0</v>
      </c>
      <c r="H335" s="402"/>
      <c r="I335" s="402"/>
      <c r="J335" s="402"/>
      <c r="K335" s="402"/>
      <c r="L335" s="402"/>
      <c r="M335" s="402">
        <f t="shared" si="120"/>
        <v>0</v>
      </c>
      <c r="N335" s="402"/>
      <c r="O335" s="412"/>
      <c r="P335" s="402"/>
      <c r="Q335" s="402">
        <f t="shared" si="121"/>
        <v>28.26</v>
      </c>
      <c r="R335" s="402">
        <f t="shared" si="122"/>
        <v>12.32</v>
      </c>
      <c r="S335" s="402">
        <v>8.96</v>
      </c>
      <c r="T335" s="402"/>
      <c r="U335" s="402">
        <v>3.36</v>
      </c>
      <c r="V335" s="402"/>
      <c r="W335" s="402"/>
      <c r="X335" s="402"/>
      <c r="Y335" s="402">
        <f t="shared" si="123"/>
        <v>15.94</v>
      </c>
      <c r="Z335" s="402">
        <v>2.02</v>
      </c>
      <c r="AA335" s="402"/>
      <c r="AB335" s="402"/>
      <c r="AC335" s="402"/>
      <c r="AD335" s="402">
        <v>3.92</v>
      </c>
      <c r="AE335" s="402">
        <v>10</v>
      </c>
      <c r="AF335" s="402">
        <f t="shared" si="124"/>
        <v>6.15</v>
      </c>
      <c r="AG335" s="402">
        <v>2.3</v>
      </c>
      <c r="AH335" s="402">
        <v>1.15</v>
      </c>
      <c r="AI335" s="402">
        <v>0.86</v>
      </c>
      <c r="AJ335" s="402">
        <v>0.03</v>
      </c>
      <c r="AK335" s="402">
        <v>0.09</v>
      </c>
      <c r="AL335" s="402">
        <v>1.72</v>
      </c>
      <c r="AM335" s="402"/>
      <c r="AN335" s="350"/>
      <c r="AO335" s="205">
        <f t="shared" si="116"/>
        <v>10</v>
      </c>
      <c r="AP335">
        <v>1.17</v>
      </c>
    </row>
    <row r="336" ht="24" hidden="1" spans="1:42">
      <c r="A336" s="284" t="s">
        <v>290</v>
      </c>
      <c r="B336" s="284" t="s">
        <v>199</v>
      </c>
      <c r="C336" s="284" t="s">
        <v>625</v>
      </c>
      <c r="D336" s="284" t="s">
        <v>620</v>
      </c>
      <c r="E336" s="402">
        <f t="shared" si="117"/>
        <v>61.02</v>
      </c>
      <c r="F336" s="402">
        <f t="shared" si="118"/>
        <v>0</v>
      </c>
      <c r="G336" s="402">
        <f t="shared" si="119"/>
        <v>0</v>
      </c>
      <c r="H336" s="402"/>
      <c r="I336" s="402"/>
      <c r="J336" s="402"/>
      <c r="K336" s="402"/>
      <c r="L336" s="402"/>
      <c r="M336" s="402">
        <f t="shared" si="120"/>
        <v>0</v>
      </c>
      <c r="N336" s="402"/>
      <c r="O336" s="412"/>
      <c r="P336" s="402"/>
      <c r="Q336" s="402">
        <f t="shared" si="121"/>
        <v>51.07</v>
      </c>
      <c r="R336" s="402">
        <f t="shared" si="122"/>
        <v>19.75</v>
      </c>
      <c r="S336" s="402">
        <v>13.95</v>
      </c>
      <c r="T336" s="402"/>
      <c r="U336" s="402">
        <v>5.8</v>
      </c>
      <c r="V336" s="402"/>
      <c r="W336" s="402"/>
      <c r="X336" s="402"/>
      <c r="Y336" s="402">
        <f t="shared" si="123"/>
        <v>31.32</v>
      </c>
      <c r="Z336" s="402">
        <v>3.48</v>
      </c>
      <c r="AA336" s="402"/>
      <c r="AB336" s="402"/>
      <c r="AC336" s="402"/>
      <c r="AD336" s="402">
        <v>7.84</v>
      </c>
      <c r="AE336" s="402">
        <v>20</v>
      </c>
      <c r="AF336" s="402">
        <f t="shared" si="124"/>
        <v>9.95</v>
      </c>
      <c r="AG336" s="402">
        <v>3.72</v>
      </c>
      <c r="AH336" s="402">
        <v>1.86</v>
      </c>
      <c r="AI336" s="402">
        <v>1.39</v>
      </c>
      <c r="AJ336" s="402">
        <v>0.05</v>
      </c>
      <c r="AK336" s="402">
        <v>0.14</v>
      </c>
      <c r="AL336" s="402">
        <v>2.79</v>
      </c>
      <c r="AM336" s="402"/>
      <c r="AN336" s="350"/>
      <c r="AO336" s="205">
        <f t="shared" si="116"/>
        <v>20</v>
      </c>
      <c r="AP336">
        <v>2</v>
      </c>
    </row>
    <row r="337" ht="48" hidden="1" spans="1:42">
      <c r="A337" s="284" t="s">
        <v>290</v>
      </c>
      <c r="B337" s="284" t="s">
        <v>199</v>
      </c>
      <c r="C337" s="284" t="s">
        <v>626</v>
      </c>
      <c r="D337" s="284" t="s">
        <v>627</v>
      </c>
      <c r="E337" s="402">
        <f t="shared" si="117"/>
        <v>95.65</v>
      </c>
      <c r="F337" s="402">
        <f t="shared" si="118"/>
        <v>0</v>
      </c>
      <c r="G337" s="402">
        <f t="shared" si="119"/>
        <v>0</v>
      </c>
      <c r="H337" s="402"/>
      <c r="I337" s="402"/>
      <c r="J337" s="402"/>
      <c r="K337" s="402"/>
      <c r="L337" s="402"/>
      <c r="M337" s="402">
        <f t="shared" si="120"/>
        <v>0</v>
      </c>
      <c r="N337" s="402"/>
      <c r="O337" s="402"/>
      <c r="P337" s="402"/>
      <c r="Q337" s="402">
        <f t="shared" si="121"/>
        <v>75.96</v>
      </c>
      <c r="R337" s="402">
        <f t="shared" si="122"/>
        <v>39.73</v>
      </c>
      <c r="S337" s="402">
        <v>29.35</v>
      </c>
      <c r="T337" s="402"/>
      <c r="U337" s="402">
        <v>10.38</v>
      </c>
      <c r="V337" s="402"/>
      <c r="W337" s="402"/>
      <c r="X337" s="402"/>
      <c r="Y337" s="402">
        <f t="shared" si="123"/>
        <v>36.23</v>
      </c>
      <c r="Z337" s="402">
        <v>6.23</v>
      </c>
      <c r="AA337" s="402"/>
      <c r="AB337" s="402"/>
      <c r="AC337" s="402"/>
      <c r="AD337" s="402"/>
      <c r="AE337" s="402">
        <v>30</v>
      </c>
      <c r="AF337" s="402">
        <f t="shared" si="124"/>
        <v>19.69</v>
      </c>
      <c r="AG337" s="402">
        <v>7.36</v>
      </c>
      <c r="AH337" s="402">
        <v>3.68</v>
      </c>
      <c r="AI337" s="402">
        <v>2.76</v>
      </c>
      <c r="AJ337" s="402">
        <v>0.09</v>
      </c>
      <c r="AK337" s="402">
        <v>0.28</v>
      </c>
      <c r="AL337" s="402">
        <v>5.52</v>
      </c>
      <c r="AM337" s="402"/>
      <c r="AN337" s="350"/>
      <c r="AO337" s="205">
        <f t="shared" si="116"/>
        <v>30</v>
      </c>
      <c r="AP337">
        <v>3</v>
      </c>
    </row>
    <row r="338" ht="48" hidden="1" spans="1:42">
      <c r="A338" s="284" t="s">
        <v>290</v>
      </c>
      <c r="B338" s="284" t="s">
        <v>199</v>
      </c>
      <c r="C338" s="284" t="s">
        <v>628</v>
      </c>
      <c r="D338" s="284" t="s">
        <v>629</v>
      </c>
      <c r="E338" s="402">
        <f t="shared" si="117"/>
        <v>41.74</v>
      </c>
      <c r="F338" s="402">
        <f t="shared" si="118"/>
        <v>0</v>
      </c>
      <c r="G338" s="402">
        <f t="shared" si="119"/>
        <v>0</v>
      </c>
      <c r="H338" s="402"/>
      <c r="I338" s="402"/>
      <c r="J338" s="402"/>
      <c r="K338" s="402"/>
      <c r="L338" s="402"/>
      <c r="M338" s="402">
        <f t="shared" si="120"/>
        <v>0</v>
      </c>
      <c r="N338" s="402"/>
      <c r="O338" s="402"/>
      <c r="P338" s="402"/>
      <c r="Q338" s="402">
        <f t="shared" si="121"/>
        <v>33.72</v>
      </c>
      <c r="R338" s="402">
        <f t="shared" si="122"/>
        <v>16.03</v>
      </c>
      <c r="S338" s="402">
        <v>11.55</v>
      </c>
      <c r="T338" s="402"/>
      <c r="U338" s="402">
        <v>4.48</v>
      </c>
      <c r="V338" s="402"/>
      <c r="W338" s="402"/>
      <c r="X338" s="402"/>
      <c r="Y338" s="402">
        <f t="shared" si="123"/>
        <v>17.69</v>
      </c>
      <c r="Z338" s="402">
        <v>2.69</v>
      </c>
      <c r="AA338" s="402"/>
      <c r="AB338" s="402"/>
      <c r="AC338" s="402"/>
      <c r="AD338" s="402"/>
      <c r="AE338" s="402">
        <v>15</v>
      </c>
      <c r="AF338" s="402">
        <f t="shared" si="124"/>
        <v>8.02</v>
      </c>
      <c r="AG338" s="402">
        <v>3</v>
      </c>
      <c r="AH338" s="402">
        <v>1.5</v>
      </c>
      <c r="AI338" s="402">
        <v>1.12</v>
      </c>
      <c r="AJ338" s="402">
        <v>0.04</v>
      </c>
      <c r="AK338" s="402">
        <v>0.11</v>
      </c>
      <c r="AL338" s="402">
        <v>2.25</v>
      </c>
      <c r="AM338" s="402"/>
      <c r="AN338" s="350"/>
      <c r="AO338" s="205">
        <f t="shared" si="116"/>
        <v>15</v>
      </c>
      <c r="AP338">
        <v>1.5</v>
      </c>
    </row>
    <row r="339" ht="48" hidden="1" spans="1:42">
      <c r="A339" s="284" t="s">
        <v>290</v>
      </c>
      <c r="B339" s="284" t="s">
        <v>199</v>
      </c>
      <c r="C339" s="284" t="s">
        <v>630</v>
      </c>
      <c r="D339" s="284" t="s">
        <v>629</v>
      </c>
      <c r="E339" s="402">
        <f t="shared" si="117"/>
        <v>101.2983</v>
      </c>
      <c r="F339" s="402">
        <f t="shared" si="118"/>
        <v>0</v>
      </c>
      <c r="G339" s="402">
        <f t="shared" si="119"/>
        <v>0</v>
      </c>
      <c r="H339" s="402"/>
      <c r="I339" s="402"/>
      <c r="J339" s="402"/>
      <c r="K339" s="402"/>
      <c r="L339" s="402"/>
      <c r="M339" s="402">
        <f t="shared" si="120"/>
        <v>0</v>
      </c>
      <c r="N339" s="402"/>
      <c r="O339" s="402"/>
      <c r="P339" s="402"/>
      <c r="Q339" s="402">
        <f t="shared" si="121"/>
        <v>83.6483</v>
      </c>
      <c r="R339" s="402">
        <f t="shared" si="122"/>
        <v>35.16</v>
      </c>
      <c r="S339" s="402">
        <v>25.06</v>
      </c>
      <c r="T339" s="402"/>
      <c r="U339" s="402">
        <v>10.1</v>
      </c>
      <c r="V339" s="402"/>
      <c r="W339" s="402"/>
      <c r="X339" s="402"/>
      <c r="Y339" s="402">
        <f t="shared" si="123"/>
        <v>48.4883</v>
      </c>
      <c r="Z339" s="402">
        <v>6.06</v>
      </c>
      <c r="AA339" s="402"/>
      <c r="AB339" s="402">
        <v>7.4283</v>
      </c>
      <c r="AC339" s="402"/>
      <c r="AD339" s="402"/>
      <c r="AE339" s="402">
        <v>35</v>
      </c>
      <c r="AF339" s="402">
        <f t="shared" si="124"/>
        <v>17.65</v>
      </c>
      <c r="AG339" s="402">
        <v>6.6</v>
      </c>
      <c r="AH339" s="402">
        <v>3.3</v>
      </c>
      <c r="AI339" s="402">
        <v>2.47</v>
      </c>
      <c r="AJ339" s="402">
        <v>0.08</v>
      </c>
      <c r="AK339" s="402">
        <v>0.25</v>
      </c>
      <c r="AL339" s="402">
        <v>4.95</v>
      </c>
      <c r="AM339" s="402"/>
      <c r="AN339" s="350"/>
      <c r="AO339" s="205">
        <f t="shared" si="116"/>
        <v>35</v>
      </c>
      <c r="AP339">
        <v>3.5417</v>
      </c>
    </row>
    <row r="340" ht="48" hidden="1" spans="1:42">
      <c r="A340" s="284" t="s">
        <v>290</v>
      </c>
      <c r="B340" s="284" t="s">
        <v>199</v>
      </c>
      <c r="C340" s="284" t="s">
        <v>631</v>
      </c>
      <c r="D340" s="284" t="s">
        <v>629</v>
      </c>
      <c r="E340" s="402">
        <f t="shared" si="117"/>
        <v>94.98</v>
      </c>
      <c r="F340" s="402">
        <f t="shared" si="118"/>
        <v>0</v>
      </c>
      <c r="G340" s="402">
        <f t="shared" si="119"/>
        <v>0</v>
      </c>
      <c r="H340" s="402"/>
      <c r="I340" s="402"/>
      <c r="J340" s="402"/>
      <c r="K340" s="402"/>
      <c r="L340" s="402"/>
      <c r="M340" s="402">
        <f t="shared" si="120"/>
        <v>0</v>
      </c>
      <c r="N340" s="402"/>
      <c r="O340" s="402"/>
      <c r="P340" s="402"/>
      <c r="Q340" s="402">
        <f t="shared" si="121"/>
        <v>79.6</v>
      </c>
      <c r="R340" s="402">
        <f t="shared" si="122"/>
        <v>29.63</v>
      </c>
      <c r="S340" s="402">
        <v>20.82</v>
      </c>
      <c r="T340" s="402"/>
      <c r="U340" s="402">
        <v>8.81</v>
      </c>
      <c r="V340" s="402"/>
      <c r="W340" s="402"/>
      <c r="X340" s="402"/>
      <c r="Y340" s="402">
        <f t="shared" si="123"/>
        <v>49.97</v>
      </c>
      <c r="Z340" s="402">
        <v>5.29</v>
      </c>
      <c r="AA340" s="402"/>
      <c r="AB340" s="402">
        <v>14.68</v>
      </c>
      <c r="AC340" s="402"/>
      <c r="AD340" s="402"/>
      <c r="AE340" s="402">
        <v>30</v>
      </c>
      <c r="AF340" s="402">
        <f t="shared" si="124"/>
        <v>15.38</v>
      </c>
      <c r="AG340" s="402">
        <v>5.59</v>
      </c>
      <c r="AH340" s="402">
        <v>2.79</v>
      </c>
      <c r="AI340" s="402">
        <v>2.1</v>
      </c>
      <c r="AJ340" s="402">
        <v>0.07</v>
      </c>
      <c r="AK340" s="402">
        <v>0.21</v>
      </c>
      <c r="AL340" s="402">
        <v>4.19</v>
      </c>
      <c r="AM340" s="402">
        <v>0.43</v>
      </c>
      <c r="AN340" s="350"/>
      <c r="AO340" s="205">
        <f t="shared" si="116"/>
        <v>30</v>
      </c>
      <c r="AP340">
        <v>3</v>
      </c>
    </row>
    <row r="341" ht="36" hidden="1" spans="1:42">
      <c r="A341" s="284" t="s">
        <v>290</v>
      </c>
      <c r="B341" s="284" t="s">
        <v>199</v>
      </c>
      <c r="C341" s="284" t="s">
        <v>632</v>
      </c>
      <c r="D341" s="284" t="s">
        <v>633</v>
      </c>
      <c r="E341" s="402">
        <f t="shared" si="117"/>
        <v>192.24</v>
      </c>
      <c r="F341" s="402">
        <f t="shared" si="118"/>
        <v>0</v>
      </c>
      <c r="G341" s="402">
        <f t="shared" si="119"/>
        <v>0</v>
      </c>
      <c r="H341" s="402"/>
      <c r="I341" s="402"/>
      <c r="J341" s="402"/>
      <c r="K341" s="402"/>
      <c r="L341" s="402"/>
      <c r="M341" s="402">
        <f t="shared" si="120"/>
        <v>0</v>
      </c>
      <c r="N341" s="402"/>
      <c r="O341" s="402"/>
      <c r="P341" s="402"/>
      <c r="Q341" s="402">
        <f t="shared" si="121"/>
        <v>153.8</v>
      </c>
      <c r="R341" s="402">
        <f t="shared" si="122"/>
        <v>77.63</v>
      </c>
      <c r="S341" s="402">
        <v>57.36</v>
      </c>
      <c r="T341" s="402"/>
      <c r="U341" s="402">
        <v>20.27</v>
      </c>
      <c r="V341" s="402"/>
      <c r="W341" s="402"/>
      <c r="X341" s="402"/>
      <c r="Y341" s="402">
        <f t="shared" si="123"/>
        <v>76.17</v>
      </c>
      <c r="Z341" s="402">
        <v>12.17</v>
      </c>
      <c r="AA341" s="402"/>
      <c r="AB341" s="402"/>
      <c r="AC341" s="402"/>
      <c r="AD341" s="402"/>
      <c r="AE341" s="402">
        <v>64</v>
      </c>
      <c r="AF341" s="402">
        <f t="shared" si="124"/>
        <v>38.44</v>
      </c>
      <c r="AG341" s="402">
        <v>14.37</v>
      </c>
      <c r="AH341" s="402">
        <v>7.18</v>
      </c>
      <c r="AI341" s="402">
        <v>5.39</v>
      </c>
      <c r="AJ341" s="402">
        <v>0.18</v>
      </c>
      <c r="AK341" s="402">
        <v>0.54</v>
      </c>
      <c r="AL341" s="402">
        <v>10.78</v>
      </c>
      <c r="AM341" s="402"/>
      <c r="AN341" s="350"/>
      <c r="AO341" s="205">
        <f t="shared" si="116"/>
        <v>64</v>
      </c>
      <c r="AP341">
        <v>7.0517</v>
      </c>
    </row>
    <row r="342" ht="36" hidden="1" spans="1:42">
      <c r="A342" s="284" t="s">
        <v>290</v>
      </c>
      <c r="B342" s="284" t="s">
        <v>199</v>
      </c>
      <c r="C342" s="284" t="s">
        <v>634</v>
      </c>
      <c r="D342" s="284" t="s">
        <v>635</v>
      </c>
      <c r="E342" s="402">
        <f t="shared" si="117"/>
        <v>142.43</v>
      </c>
      <c r="F342" s="402">
        <f t="shared" si="118"/>
        <v>0</v>
      </c>
      <c r="G342" s="402">
        <f t="shared" si="119"/>
        <v>0</v>
      </c>
      <c r="H342" s="402"/>
      <c r="I342" s="402"/>
      <c r="J342" s="402"/>
      <c r="K342" s="402"/>
      <c r="L342" s="402"/>
      <c r="M342" s="402">
        <f t="shared" si="120"/>
        <v>0</v>
      </c>
      <c r="N342" s="402"/>
      <c r="O342" s="402"/>
      <c r="P342" s="402"/>
      <c r="Q342" s="402">
        <f t="shared" si="121"/>
        <v>127.34</v>
      </c>
      <c r="R342" s="402">
        <f t="shared" si="122"/>
        <v>30.31</v>
      </c>
      <c r="S342" s="402">
        <v>21.61</v>
      </c>
      <c r="T342" s="402">
        <v>0.46</v>
      </c>
      <c r="U342" s="402">
        <v>8.24</v>
      </c>
      <c r="V342" s="402"/>
      <c r="W342" s="402"/>
      <c r="X342" s="402"/>
      <c r="Y342" s="402">
        <f t="shared" si="123"/>
        <v>97.03</v>
      </c>
      <c r="Z342" s="402">
        <v>4.94</v>
      </c>
      <c r="AA342" s="402"/>
      <c r="AB342" s="402">
        <v>49.04</v>
      </c>
      <c r="AC342" s="402"/>
      <c r="AD342" s="402">
        <v>13.05</v>
      </c>
      <c r="AE342" s="402">
        <v>30</v>
      </c>
      <c r="AF342" s="402">
        <f t="shared" si="124"/>
        <v>15.09</v>
      </c>
      <c r="AG342" s="402">
        <v>5.64</v>
      </c>
      <c r="AH342" s="402">
        <v>2.82</v>
      </c>
      <c r="AI342" s="402">
        <v>2.12</v>
      </c>
      <c r="AJ342" s="402">
        <v>0.07</v>
      </c>
      <c r="AK342" s="402">
        <v>0.21</v>
      </c>
      <c r="AL342" s="402">
        <v>4.23</v>
      </c>
      <c r="AM342" s="402"/>
      <c r="AN342" s="350"/>
      <c r="AO342" s="205">
        <f t="shared" si="116"/>
        <v>30</v>
      </c>
      <c r="AP342">
        <v>8.755</v>
      </c>
    </row>
    <row r="343" ht="36" hidden="1" spans="1:42">
      <c r="A343" s="284" t="s">
        <v>290</v>
      </c>
      <c r="B343" s="284" t="s">
        <v>199</v>
      </c>
      <c r="C343" s="284" t="s">
        <v>636</v>
      </c>
      <c r="D343" s="284" t="s">
        <v>635</v>
      </c>
      <c r="E343" s="402">
        <f t="shared" si="117"/>
        <v>84.89</v>
      </c>
      <c r="F343" s="402">
        <f t="shared" si="118"/>
        <v>0</v>
      </c>
      <c r="G343" s="402">
        <f t="shared" si="119"/>
        <v>0</v>
      </c>
      <c r="H343" s="402"/>
      <c r="I343" s="402"/>
      <c r="J343" s="402"/>
      <c r="K343" s="402"/>
      <c r="L343" s="402"/>
      <c r="M343" s="402">
        <f t="shared" si="120"/>
        <v>0</v>
      </c>
      <c r="N343" s="402"/>
      <c r="O343" s="402"/>
      <c r="P343" s="402"/>
      <c r="Q343" s="402">
        <f t="shared" si="121"/>
        <v>70.66</v>
      </c>
      <c r="R343" s="402">
        <f t="shared" si="122"/>
        <v>28.33</v>
      </c>
      <c r="S343" s="402">
        <v>20.17</v>
      </c>
      <c r="T343" s="402"/>
      <c r="U343" s="402">
        <v>8.16</v>
      </c>
      <c r="V343" s="402"/>
      <c r="W343" s="402"/>
      <c r="X343" s="402"/>
      <c r="Y343" s="402">
        <f t="shared" si="123"/>
        <v>42.33</v>
      </c>
      <c r="Z343" s="402">
        <v>4.9</v>
      </c>
      <c r="AA343" s="402"/>
      <c r="AB343" s="402">
        <v>7.43</v>
      </c>
      <c r="AC343" s="402"/>
      <c r="AD343" s="402"/>
      <c r="AE343" s="402">
        <v>30</v>
      </c>
      <c r="AF343" s="402">
        <f t="shared" si="124"/>
        <v>14.23</v>
      </c>
      <c r="AG343" s="402">
        <v>5.32</v>
      </c>
      <c r="AH343" s="402">
        <v>2.66</v>
      </c>
      <c r="AI343" s="402">
        <v>1.99</v>
      </c>
      <c r="AJ343" s="402">
        <v>0.07</v>
      </c>
      <c r="AK343" s="402">
        <v>0.2</v>
      </c>
      <c r="AL343" s="402">
        <v>3.99</v>
      </c>
      <c r="AM343" s="402"/>
      <c r="AN343" s="350"/>
      <c r="AO343" s="205">
        <f t="shared" si="116"/>
        <v>30</v>
      </c>
      <c r="AP343">
        <v>3.68</v>
      </c>
    </row>
    <row r="344" ht="36" hidden="1" spans="1:42">
      <c r="A344" s="284" t="s">
        <v>290</v>
      </c>
      <c r="B344" s="284" t="s">
        <v>199</v>
      </c>
      <c r="C344" s="284" t="s">
        <v>637</v>
      </c>
      <c r="D344" s="284" t="s">
        <v>638</v>
      </c>
      <c r="E344" s="402">
        <f t="shared" si="117"/>
        <v>34.74</v>
      </c>
      <c r="F344" s="402">
        <f t="shared" si="118"/>
        <v>0</v>
      </c>
      <c r="G344" s="402">
        <f t="shared" si="119"/>
        <v>0</v>
      </c>
      <c r="H344" s="402"/>
      <c r="I344" s="402"/>
      <c r="J344" s="402"/>
      <c r="K344" s="402"/>
      <c r="L344" s="402"/>
      <c r="M344" s="402">
        <f t="shared" si="120"/>
        <v>0</v>
      </c>
      <c r="N344" s="402"/>
      <c r="O344" s="402"/>
      <c r="P344" s="402"/>
      <c r="Q344" s="402">
        <f t="shared" si="121"/>
        <v>28.82</v>
      </c>
      <c r="R344" s="402">
        <f t="shared" si="122"/>
        <v>11.64</v>
      </c>
      <c r="S344" s="402">
        <v>8.01</v>
      </c>
      <c r="T344" s="402"/>
      <c r="U344" s="402">
        <v>3.63</v>
      </c>
      <c r="V344" s="402"/>
      <c r="W344" s="402"/>
      <c r="X344" s="402"/>
      <c r="Y344" s="402">
        <f t="shared" si="123"/>
        <v>17.18</v>
      </c>
      <c r="Z344" s="402">
        <v>2.18</v>
      </c>
      <c r="AA344" s="402"/>
      <c r="AB344" s="402"/>
      <c r="AC344" s="402"/>
      <c r="AD344" s="402"/>
      <c r="AE344" s="402">
        <v>15</v>
      </c>
      <c r="AF344" s="402">
        <f t="shared" si="124"/>
        <v>5.92</v>
      </c>
      <c r="AG344" s="402">
        <v>2.21</v>
      </c>
      <c r="AH344" s="402">
        <v>1.11</v>
      </c>
      <c r="AI344" s="402">
        <v>0.83</v>
      </c>
      <c r="AJ344" s="402">
        <v>0.03</v>
      </c>
      <c r="AK344" s="402">
        <v>0.08</v>
      </c>
      <c r="AL344" s="402">
        <v>1.66</v>
      </c>
      <c r="AM344" s="402"/>
      <c r="AN344" s="350"/>
      <c r="AO344" s="205">
        <f t="shared" si="116"/>
        <v>15</v>
      </c>
      <c r="AP344">
        <v>1.5</v>
      </c>
    </row>
    <row r="345" ht="36" hidden="1" spans="1:42">
      <c r="A345" s="284" t="s">
        <v>290</v>
      </c>
      <c r="B345" s="284" t="s">
        <v>199</v>
      </c>
      <c r="C345" s="284" t="s">
        <v>639</v>
      </c>
      <c r="D345" s="284" t="s">
        <v>638</v>
      </c>
      <c r="E345" s="402">
        <f t="shared" si="117"/>
        <v>139</v>
      </c>
      <c r="F345" s="402">
        <f t="shared" si="118"/>
        <v>0</v>
      </c>
      <c r="G345" s="402">
        <f t="shared" si="119"/>
        <v>0</v>
      </c>
      <c r="H345" s="402"/>
      <c r="I345" s="402"/>
      <c r="J345" s="402"/>
      <c r="K345" s="402"/>
      <c r="L345" s="402"/>
      <c r="M345" s="402">
        <f t="shared" si="120"/>
        <v>0</v>
      </c>
      <c r="N345" s="402"/>
      <c r="O345" s="402"/>
      <c r="P345" s="402"/>
      <c r="Q345" s="402">
        <f t="shared" si="121"/>
        <v>112.31</v>
      </c>
      <c r="R345" s="402">
        <f t="shared" si="122"/>
        <v>53.89</v>
      </c>
      <c r="S345" s="402">
        <v>39.71</v>
      </c>
      <c r="T345" s="402"/>
      <c r="U345" s="402">
        <v>14.18</v>
      </c>
      <c r="V345" s="402"/>
      <c r="W345" s="402"/>
      <c r="X345" s="402"/>
      <c r="Y345" s="402">
        <f t="shared" si="123"/>
        <v>58.42</v>
      </c>
      <c r="Z345" s="402">
        <v>8.51</v>
      </c>
      <c r="AA345" s="402"/>
      <c r="AB345" s="402">
        <v>9.91</v>
      </c>
      <c r="AC345" s="402"/>
      <c r="AD345" s="402"/>
      <c r="AE345" s="402">
        <v>40</v>
      </c>
      <c r="AF345" s="402">
        <f t="shared" si="124"/>
        <v>26.69</v>
      </c>
      <c r="AG345" s="402">
        <v>9.98</v>
      </c>
      <c r="AH345" s="402">
        <v>4.99</v>
      </c>
      <c r="AI345" s="402">
        <v>3.74</v>
      </c>
      <c r="AJ345" s="402">
        <v>0.12</v>
      </c>
      <c r="AK345" s="402">
        <v>0.37</v>
      </c>
      <c r="AL345" s="402">
        <v>7.49</v>
      </c>
      <c r="AM345" s="402"/>
      <c r="AN345" s="350"/>
      <c r="AO345" s="205">
        <f t="shared" si="116"/>
        <v>40</v>
      </c>
      <c r="AP345">
        <v>4.36</v>
      </c>
    </row>
    <row r="346" s="311" customFormat="1" ht="21" customHeight="1" spans="1:44">
      <c r="A346" s="328"/>
      <c r="B346" s="328"/>
      <c r="C346" s="328" t="s">
        <v>141</v>
      </c>
      <c r="D346" s="329">
        <v>213</v>
      </c>
      <c r="E346" s="401">
        <f t="shared" ref="E346:P346" si="125">SUM(E347:E389)</f>
        <v>5914.93</v>
      </c>
      <c r="F346" s="401">
        <f t="shared" si="125"/>
        <v>1096.27</v>
      </c>
      <c r="G346" s="401">
        <f t="shared" si="125"/>
        <v>689.73</v>
      </c>
      <c r="H346" s="401">
        <f t="shared" si="125"/>
        <v>389.13</v>
      </c>
      <c r="I346" s="401">
        <f t="shared" si="125"/>
        <v>266.9</v>
      </c>
      <c r="J346" s="401">
        <f t="shared" si="125"/>
        <v>32.91</v>
      </c>
      <c r="K346" s="401">
        <f t="shared" si="125"/>
        <v>0</v>
      </c>
      <c r="L346" s="401">
        <f t="shared" si="125"/>
        <v>0.79</v>
      </c>
      <c r="M346" s="401">
        <f t="shared" si="125"/>
        <v>406.54</v>
      </c>
      <c r="N346" s="401">
        <f t="shared" si="125"/>
        <v>49.54</v>
      </c>
      <c r="O346" s="401">
        <f t="shared" si="125"/>
        <v>0</v>
      </c>
      <c r="P346" s="401">
        <f t="shared" si="125"/>
        <v>357</v>
      </c>
      <c r="Q346" s="401">
        <f t="shared" ref="Q346:AE346" si="126">SUM(Q347:Q389)</f>
        <v>3652.13</v>
      </c>
      <c r="R346" s="401">
        <f t="shared" si="126"/>
        <v>1904.11</v>
      </c>
      <c r="S346" s="401">
        <f t="shared" si="126"/>
        <v>1395.04</v>
      </c>
      <c r="T346" s="401">
        <f t="shared" si="126"/>
        <v>0</v>
      </c>
      <c r="U346" s="401">
        <f t="shared" si="126"/>
        <v>475.25</v>
      </c>
      <c r="V346" s="401">
        <f t="shared" si="126"/>
        <v>21.6</v>
      </c>
      <c r="W346" s="401">
        <f t="shared" si="126"/>
        <v>0</v>
      </c>
      <c r="X346" s="401">
        <f t="shared" si="126"/>
        <v>12.22</v>
      </c>
      <c r="Y346" s="401">
        <f t="shared" si="126"/>
        <v>1748.02</v>
      </c>
      <c r="Z346" s="401">
        <f t="shared" si="126"/>
        <v>280.95</v>
      </c>
      <c r="AA346" s="401">
        <f t="shared" si="126"/>
        <v>16.07</v>
      </c>
      <c r="AB346" s="401">
        <f t="shared" si="126"/>
        <v>0</v>
      </c>
      <c r="AC346" s="401">
        <f t="shared" si="126"/>
        <v>0</v>
      </c>
      <c r="AD346" s="401">
        <f t="shared" si="126"/>
        <v>0</v>
      </c>
      <c r="AE346" s="401">
        <f t="shared" si="126"/>
        <v>1451</v>
      </c>
      <c r="AF346" s="401">
        <f t="shared" ref="AF346:AM346" si="127">SUM(AF347:AF389)</f>
        <v>1166.53</v>
      </c>
      <c r="AG346" s="401">
        <f t="shared" si="127"/>
        <v>438.96</v>
      </c>
      <c r="AH346" s="401">
        <f t="shared" si="127"/>
        <v>216.82</v>
      </c>
      <c r="AI346" s="401">
        <f t="shared" si="127"/>
        <v>162.62</v>
      </c>
      <c r="AJ346" s="401">
        <f t="shared" si="127"/>
        <v>5.42</v>
      </c>
      <c r="AK346" s="401">
        <f t="shared" si="127"/>
        <v>16.27</v>
      </c>
      <c r="AL346" s="401">
        <f t="shared" si="127"/>
        <v>325.29</v>
      </c>
      <c r="AM346" s="401">
        <f t="shared" si="127"/>
        <v>1.15</v>
      </c>
      <c r="AN346" s="362"/>
      <c r="AO346" s="407">
        <f t="shared" si="116"/>
        <v>1808</v>
      </c>
      <c r="AP346" s="373"/>
      <c r="AR346"/>
    </row>
    <row r="347" ht="24" hidden="1" spans="1:42">
      <c r="A347" s="284" t="s">
        <v>640</v>
      </c>
      <c r="B347" s="284" t="s">
        <v>196</v>
      </c>
      <c r="C347" s="284" t="s">
        <v>641</v>
      </c>
      <c r="D347" s="284" t="s">
        <v>642</v>
      </c>
      <c r="E347" s="402">
        <f t="shared" ref="E347:E389" si="128">F347+Q347+AF347</f>
        <v>384.44</v>
      </c>
      <c r="F347" s="402">
        <f t="shared" ref="F347:F389" si="129">G347+M347</f>
        <v>302.44</v>
      </c>
      <c r="G347" s="402">
        <f>SUM(H347:L347)</f>
        <v>198.53</v>
      </c>
      <c r="H347" s="402">
        <v>113.23</v>
      </c>
      <c r="I347" s="402">
        <v>74.66</v>
      </c>
      <c r="J347" s="402">
        <v>9.85</v>
      </c>
      <c r="K347" s="402"/>
      <c r="L347" s="402">
        <v>0.79</v>
      </c>
      <c r="M347" s="402">
        <f t="shared" ref="M347:M389" si="130">SUM(N347:P347)</f>
        <v>103.91</v>
      </c>
      <c r="N347" s="402">
        <v>9.91</v>
      </c>
      <c r="O347" s="402"/>
      <c r="P347" s="404">
        <v>94</v>
      </c>
      <c r="Q347" s="402">
        <f t="shared" ref="Q347:Q389" si="131">R347+Y347</f>
        <v>0</v>
      </c>
      <c r="R347" s="402">
        <f t="shared" ref="R347:R389" si="132">SUM(S347:X347)</f>
        <v>0</v>
      </c>
      <c r="S347" s="402"/>
      <c r="T347" s="402"/>
      <c r="U347" s="402"/>
      <c r="V347" s="402"/>
      <c r="W347" s="402"/>
      <c r="X347" s="402"/>
      <c r="Y347" s="402">
        <f t="shared" ref="Y347:Y389" si="133">SUM(Z347:AE347)</f>
        <v>0</v>
      </c>
      <c r="Z347" s="402"/>
      <c r="AA347" s="402"/>
      <c r="AB347" s="402"/>
      <c r="AC347" s="402"/>
      <c r="AD347" s="402"/>
      <c r="AE347" s="402"/>
      <c r="AF347" s="402">
        <f t="shared" ref="AF347:AF389" si="134">SUM(AG347:AM347)</f>
        <v>82</v>
      </c>
      <c r="AG347" s="402">
        <v>31.64</v>
      </c>
      <c r="AH347" s="402">
        <v>15.03</v>
      </c>
      <c r="AI347" s="402">
        <v>11.27</v>
      </c>
      <c r="AJ347" s="402">
        <v>0.38</v>
      </c>
      <c r="AK347" s="402">
        <v>1.13</v>
      </c>
      <c r="AL347" s="402">
        <v>22.55</v>
      </c>
      <c r="AM347" s="402"/>
      <c r="AN347" s="350"/>
      <c r="AO347" s="205">
        <f t="shared" si="116"/>
        <v>94</v>
      </c>
      <c r="AP347">
        <v>24.9192</v>
      </c>
    </row>
    <row r="348" ht="24" hidden="1" spans="1:42">
      <c r="A348" s="284" t="s">
        <v>640</v>
      </c>
      <c r="B348" s="284" t="s">
        <v>196</v>
      </c>
      <c r="C348" s="284" t="s">
        <v>643</v>
      </c>
      <c r="D348" s="284" t="s">
        <v>642</v>
      </c>
      <c r="E348" s="402">
        <f t="shared" si="128"/>
        <v>187.05</v>
      </c>
      <c r="F348" s="402">
        <f t="shared" si="129"/>
        <v>151.67</v>
      </c>
      <c r="G348" s="402">
        <f>SUM(H348:L348)</f>
        <v>85.19</v>
      </c>
      <c r="H348" s="402">
        <v>47.96</v>
      </c>
      <c r="I348" s="402">
        <v>33.23</v>
      </c>
      <c r="J348" s="402">
        <v>4</v>
      </c>
      <c r="K348" s="402"/>
      <c r="L348" s="402"/>
      <c r="M348" s="402">
        <f t="shared" si="130"/>
        <v>66.48</v>
      </c>
      <c r="N348" s="402">
        <v>2.48</v>
      </c>
      <c r="O348" s="402"/>
      <c r="P348" s="402">
        <v>64</v>
      </c>
      <c r="Q348" s="402">
        <f t="shared" si="131"/>
        <v>0</v>
      </c>
      <c r="R348" s="402">
        <f t="shared" si="132"/>
        <v>0</v>
      </c>
      <c r="S348" s="402"/>
      <c r="T348" s="402"/>
      <c r="U348" s="402"/>
      <c r="V348" s="402"/>
      <c r="W348" s="402"/>
      <c r="X348" s="402"/>
      <c r="Y348" s="402">
        <f t="shared" si="133"/>
        <v>0</v>
      </c>
      <c r="Z348" s="402"/>
      <c r="AA348" s="402"/>
      <c r="AB348" s="402"/>
      <c r="AC348" s="402"/>
      <c r="AD348" s="402"/>
      <c r="AE348" s="402"/>
      <c r="AF348" s="402">
        <f t="shared" si="134"/>
        <v>35.38</v>
      </c>
      <c r="AG348" s="402">
        <v>13.63</v>
      </c>
      <c r="AH348" s="402">
        <v>6.49</v>
      </c>
      <c r="AI348" s="402">
        <v>4.87</v>
      </c>
      <c r="AJ348" s="402">
        <v>0.16</v>
      </c>
      <c r="AK348" s="402">
        <v>0.49</v>
      </c>
      <c r="AL348" s="402">
        <v>9.74</v>
      </c>
      <c r="AM348" s="402"/>
      <c r="AN348" s="350"/>
      <c r="AO348" s="205">
        <f t="shared" si="116"/>
        <v>64</v>
      </c>
      <c r="AP348">
        <v>12.2078</v>
      </c>
    </row>
    <row r="349" ht="24" hidden="1" spans="1:42">
      <c r="A349" s="284" t="s">
        <v>640</v>
      </c>
      <c r="B349" s="284" t="s">
        <v>196</v>
      </c>
      <c r="C349" s="284" t="s">
        <v>644</v>
      </c>
      <c r="D349" s="284" t="s">
        <v>642</v>
      </c>
      <c r="E349" s="402">
        <f t="shared" si="128"/>
        <v>24.31</v>
      </c>
      <c r="F349" s="402">
        <f t="shared" si="129"/>
        <v>20.1</v>
      </c>
      <c r="G349" s="402">
        <f>SUM(H349:L349)</f>
        <v>10.1</v>
      </c>
      <c r="H349" s="402">
        <v>5.26</v>
      </c>
      <c r="I349" s="402">
        <v>4.41</v>
      </c>
      <c r="J349" s="402">
        <v>0.43</v>
      </c>
      <c r="K349" s="402"/>
      <c r="L349" s="402"/>
      <c r="M349" s="402">
        <f t="shared" si="130"/>
        <v>10</v>
      </c>
      <c r="N349" s="402"/>
      <c r="O349" s="402"/>
      <c r="P349" s="402">
        <v>10</v>
      </c>
      <c r="Q349" s="402">
        <f t="shared" si="131"/>
        <v>0</v>
      </c>
      <c r="R349" s="402">
        <f t="shared" si="132"/>
        <v>0</v>
      </c>
      <c r="S349" s="402"/>
      <c r="T349" s="402"/>
      <c r="U349" s="402"/>
      <c r="V349" s="402"/>
      <c r="W349" s="402"/>
      <c r="X349" s="402"/>
      <c r="Y349" s="402">
        <f t="shared" si="133"/>
        <v>0</v>
      </c>
      <c r="Z349" s="402"/>
      <c r="AA349" s="402"/>
      <c r="AB349" s="402"/>
      <c r="AC349" s="402"/>
      <c r="AD349" s="402"/>
      <c r="AE349" s="402"/>
      <c r="AF349" s="402">
        <f t="shared" si="134"/>
        <v>4.21</v>
      </c>
      <c r="AG349" s="402">
        <v>1.62</v>
      </c>
      <c r="AH349" s="402">
        <v>0.77</v>
      </c>
      <c r="AI349" s="402">
        <v>0.58</v>
      </c>
      <c r="AJ349" s="402">
        <v>0.02</v>
      </c>
      <c r="AK349" s="402">
        <v>0.06</v>
      </c>
      <c r="AL349" s="402">
        <v>1.16</v>
      </c>
      <c r="AM349" s="402"/>
      <c r="AN349" s="350"/>
      <c r="AO349" s="205">
        <f t="shared" si="116"/>
        <v>10</v>
      </c>
      <c r="AP349">
        <v>0.9004</v>
      </c>
    </row>
    <row r="350" ht="24" hidden="1" spans="1:42">
      <c r="A350" s="284" t="s">
        <v>640</v>
      </c>
      <c r="B350" s="284" t="s">
        <v>196</v>
      </c>
      <c r="C350" s="284" t="s">
        <v>645</v>
      </c>
      <c r="D350" s="284" t="s">
        <v>642</v>
      </c>
      <c r="E350" s="402">
        <f t="shared" si="128"/>
        <v>44.81</v>
      </c>
      <c r="F350" s="402">
        <f t="shared" si="129"/>
        <v>36.06</v>
      </c>
      <c r="G350" s="402">
        <f>SUM(H350:L350)</f>
        <v>21.06</v>
      </c>
      <c r="H350" s="402">
        <v>11.85</v>
      </c>
      <c r="I350" s="402">
        <v>8.22</v>
      </c>
      <c r="J350" s="402">
        <v>0.99</v>
      </c>
      <c r="K350" s="402"/>
      <c r="L350" s="402"/>
      <c r="M350" s="402">
        <f t="shared" si="130"/>
        <v>15</v>
      </c>
      <c r="N350" s="402"/>
      <c r="O350" s="402"/>
      <c r="P350" s="402">
        <v>15</v>
      </c>
      <c r="Q350" s="402">
        <f t="shared" si="131"/>
        <v>0</v>
      </c>
      <c r="R350" s="402">
        <f t="shared" si="132"/>
        <v>0</v>
      </c>
      <c r="S350" s="402"/>
      <c r="T350" s="402"/>
      <c r="U350" s="402"/>
      <c r="V350" s="402"/>
      <c r="W350" s="402"/>
      <c r="X350" s="402"/>
      <c r="Y350" s="402">
        <f t="shared" si="133"/>
        <v>0</v>
      </c>
      <c r="Z350" s="402"/>
      <c r="AA350" s="402"/>
      <c r="AB350" s="402"/>
      <c r="AC350" s="402"/>
      <c r="AD350" s="402"/>
      <c r="AE350" s="402"/>
      <c r="AF350" s="402">
        <f t="shared" si="134"/>
        <v>8.75</v>
      </c>
      <c r="AG350" s="402">
        <v>3.37</v>
      </c>
      <c r="AH350" s="402">
        <v>1.61</v>
      </c>
      <c r="AI350" s="402">
        <v>1.2</v>
      </c>
      <c r="AJ350" s="402">
        <v>0.04</v>
      </c>
      <c r="AK350" s="402">
        <v>0.12</v>
      </c>
      <c r="AL350" s="402">
        <v>2.41</v>
      </c>
      <c r="AM350" s="402"/>
      <c r="AN350" s="350"/>
      <c r="AO350" s="205">
        <f t="shared" si="116"/>
        <v>15</v>
      </c>
      <c r="AP350">
        <v>1.6614</v>
      </c>
    </row>
    <row r="351" ht="24" hidden="1" spans="1:42">
      <c r="A351" s="284" t="s">
        <v>640</v>
      </c>
      <c r="B351" s="284" t="s">
        <v>199</v>
      </c>
      <c r="C351" s="284" t="s">
        <v>646</v>
      </c>
      <c r="D351" s="284" t="s">
        <v>647</v>
      </c>
      <c r="E351" s="402">
        <f t="shared" si="128"/>
        <v>240.75</v>
      </c>
      <c r="F351" s="402">
        <f t="shared" si="129"/>
        <v>0</v>
      </c>
      <c r="G351" s="402">
        <f>SUM(H351:L351)</f>
        <v>0</v>
      </c>
      <c r="H351" s="402"/>
      <c r="I351" s="402"/>
      <c r="J351" s="402"/>
      <c r="K351" s="402"/>
      <c r="L351" s="402"/>
      <c r="M351" s="402">
        <f t="shared" si="130"/>
        <v>0</v>
      </c>
      <c r="N351" s="402"/>
      <c r="O351" s="402"/>
      <c r="P351" s="402"/>
      <c r="Q351" s="402">
        <f t="shared" si="131"/>
        <v>189.26</v>
      </c>
      <c r="R351" s="402">
        <f t="shared" si="132"/>
        <v>105.4</v>
      </c>
      <c r="S351" s="402">
        <v>80.55</v>
      </c>
      <c r="T351" s="402"/>
      <c r="U351" s="402">
        <v>24.85</v>
      </c>
      <c r="V351" s="402"/>
      <c r="W351" s="402"/>
      <c r="X351" s="402"/>
      <c r="Y351" s="402">
        <f t="shared" si="133"/>
        <v>83.86</v>
      </c>
      <c r="Z351" s="404">
        <v>14.86</v>
      </c>
      <c r="AA351" s="402"/>
      <c r="AB351" s="402"/>
      <c r="AC351" s="402"/>
      <c r="AD351" s="402"/>
      <c r="AE351" s="402">
        <v>69</v>
      </c>
      <c r="AF351" s="402">
        <f t="shared" si="134"/>
        <v>51.49</v>
      </c>
      <c r="AG351" s="402">
        <v>19.25</v>
      </c>
      <c r="AH351" s="402">
        <v>9.62</v>
      </c>
      <c r="AI351" s="402">
        <v>7.22</v>
      </c>
      <c r="AJ351" s="402">
        <v>0.24</v>
      </c>
      <c r="AK351" s="402">
        <v>0.72</v>
      </c>
      <c r="AL351" s="402">
        <v>14.44</v>
      </c>
      <c r="AM351" s="402"/>
      <c r="AN351" s="350"/>
      <c r="AO351" s="205">
        <f t="shared" si="116"/>
        <v>69</v>
      </c>
      <c r="AP351">
        <v>20.85</v>
      </c>
    </row>
    <row r="352" ht="24" hidden="1" spans="1:42">
      <c r="A352" s="284" t="s">
        <v>640</v>
      </c>
      <c r="B352" s="284" t="s">
        <v>199</v>
      </c>
      <c r="C352" s="284" t="s">
        <v>648</v>
      </c>
      <c r="D352" s="284" t="s">
        <v>647</v>
      </c>
      <c r="E352" s="402">
        <f t="shared" si="128"/>
        <v>175.77</v>
      </c>
      <c r="F352" s="402">
        <f t="shared" si="129"/>
        <v>0</v>
      </c>
      <c r="G352" s="402">
        <f t="shared" ref="G352:G389" si="135">SUM(H352:L352)</f>
        <v>0</v>
      </c>
      <c r="H352" s="402"/>
      <c r="I352" s="402"/>
      <c r="J352" s="402"/>
      <c r="K352" s="402"/>
      <c r="L352" s="402"/>
      <c r="M352" s="402">
        <f t="shared" si="130"/>
        <v>0</v>
      </c>
      <c r="N352" s="402"/>
      <c r="O352" s="402"/>
      <c r="P352" s="402"/>
      <c r="Q352" s="402">
        <f t="shared" si="131"/>
        <v>140.78</v>
      </c>
      <c r="R352" s="402">
        <f t="shared" si="132"/>
        <v>70.76</v>
      </c>
      <c r="S352" s="402">
        <v>52.4</v>
      </c>
      <c r="T352" s="402"/>
      <c r="U352" s="402">
        <v>18.36</v>
      </c>
      <c r="V352" s="402"/>
      <c r="W352" s="402"/>
      <c r="X352" s="402"/>
      <c r="Y352" s="402">
        <f t="shared" si="133"/>
        <v>70.02</v>
      </c>
      <c r="Z352" s="402">
        <v>11.02</v>
      </c>
      <c r="AA352" s="402"/>
      <c r="AB352" s="402"/>
      <c r="AC352" s="402"/>
      <c r="AD352" s="402"/>
      <c r="AE352" s="402">
        <v>59</v>
      </c>
      <c r="AF352" s="402">
        <f t="shared" si="134"/>
        <v>34.99</v>
      </c>
      <c r="AG352" s="402">
        <v>13.08</v>
      </c>
      <c r="AH352" s="402">
        <v>6.54</v>
      </c>
      <c r="AI352" s="402">
        <v>4.91</v>
      </c>
      <c r="AJ352" s="402">
        <v>0.16</v>
      </c>
      <c r="AK352" s="402">
        <v>0.49</v>
      </c>
      <c r="AL352" s="402">
        <v>9.81</v>
      </c>
      <c r="AM352" s="402"/>
      <c r="AN352" s="350"/>
      <c r="AO352" s="205">
        <f t="shared" si="116"/>
        <v>59</v>
      </c>
      <c r="AP352">
        <v>7.2734</v>
      </c>
    </row>
    <row r="353" ht="24" hidden="1" spans="1:42">
      <c r="A353" s="284" t="s">
        <v>640</v>
      </c>
      <c r="B353" s="284" t="s">
        <v>199</v>
      </c>
      <c r="C353" s="284" t="s">
        <v>649</v>
      </c>
      <c r="D353" s="284" t="s">
        <v>647</v>
      </c>
      <c r="E353" s="402">
        <f t="shared" si="128"/>
        <v>102.46</v>
      </c>
      <c r="F353" s="402">
        <f t="shared" si="129"/>
        <v>0</v>
      </c>
      <c r="G353" s="402">
        <f t="shared" si="135"/>
        <v>0</v>
      </c>
      <c r="H353" s="402"/>
      <c r="I353" s="402"/>
      <c r="J353" s="402"/>
      <c r="K353" s="402"/>
      <c r="L353" s="402"/>
      <c r="M353" s="402">
        <f t="shared" si="130"/>
        <v>0</v>
      </c>
      <c r="N353" s="402"/>
      <c r="O353" s="402"/>
      <c r="P353" s="402"/>
      <c r="Q353" s="402">
        <f t="shared" si="131"/>
        <v>81.04</v>
      </c>
      <c r="R353" s="402">
        <f t="shared" si="132"/>
        <v>45.34</v>
      </c>
      <c r="S353" s="402">
        <v>34.85</v>
      </c>
      <c r="T353" s="402"/>
      <c r="U353" s="402">
        <v>9.5</v>
      </c>
      <c r="V353" s="402"/>
      <c r="W353" s="402"/>
      <c r="X353" s="402">
        <v>0.99</v>
      </c>
      <c r="Y353" s="402">
        <f t="shared" si="133"/>
        <v>35.7</v>
      </c>
      <c r="Z353" s="402">
        <v>5.7</v>
      </c>
      <c r="AA353" s="402"/>
      <c r="AB353" s="402"/>
      <c r="AC353" s="402"/>
      <c r="AD353" s="402"/>
      <c r="AE353" s="402">
        <v>30</v>
      </c>
      <c r="AF353" s="402">
        <f t="shared" si="134"/>
        <v>21.42</v>
      </c>
      <c r="AG353" s="402">
        <v>8.01</v>
      </c>
      <c r="AH353" s="402">
        <v>4</v>
      </c>
      <c r="AI353" s="402">
        <v>3</v>
      </c>
      <c r="AJ353" s="402">
        <v>0.1</v>
      </c>
      <c r="AK353" s="402">
        <v>0.3</v>
      </c>
      <c r="AL353" s="402">
        <v>6.01</v>
      </c>
      <c r="AM353" s="402"/>
      <c r="AN353" s="350"/>
      <c r="AO353" s="205">
        <f t="shared" si="116"/>
        <v>30</v>
      </c>
      <c r="AP353">
        <v>2.84</v>
      </c>
    </row>
    <row r="354" ht="24" hidden="1" spans="1:42">
      <c r="A354" s="284" t="s">
        <v>640</v>
      </c>
      <c r="B354" s="284" t="s">
        <v>199</v>
      </c>
      <c r="C354" s="284" t="s">
        <v>650</v>
      </c>
      <c r="D354" s="284" t="s">
        <v>647</v>
      </c>
      <c r="E354" s="402">
        <f t="shared" si="128"/>
        <v>106.53</v>
      </c>
      <c r="F354" s="402">
        <f t="shared" si="129"/>
        <v>0</v>
      </c>
      <c r="G354" s="402">
        <f t="shared" si="135"/>
        <v>0</v>
      </c>
      <c r="H354" s="402"/>
      <c r="I354" s="402"/>
      <c r="J354" s="402"/>
      <c r="K354" s="402"/>
      <c r="L354" s="402"/>
      <c r="M354" s="402">
        <f t="shared" si="130"/>
        <v>0</v>
      </c>
      <c r="N354" s="402"/>
      <c r="O354" s="402"/>
      <c r="P354" s="402"/>
      <c r="Q354" s="402">
        <f t="shared" si="131"/>
        <v>83.87</v>
      </c>
      <c r="R354" s="402">
        <f t="shared" si="132"/>
        <v>47.18</v>
      </c>
      <c r="S354" s="402">
        <v>35.09</v>
      </c>
      <c r="T354" s="402"/>
      <c r="U354" s="402">
        <v>11.15</v>
      </c>
      <c r="V354" s="402"/>
      <c r="W354" s="402"/>
      <c r="X354" s="402">
        <v>0.94</v>
      </c>
      <c r="Y354" s="402">
        <f t="shared" si="133"/>
        <v>36.69</v>
      </c>
      <c r="Z354" s="402">
        <v>6.69</v>
      </c>
      <c r="AA354" s="402"/>
      <c r="AB354" s="402"/>
      <c r="AC354" s="402"/>
      <c r="AD354" s="402"/>
      <c r="AE354" s="402">
        <v>30</v>
      </c>
      <c r="AF354" s="402">
        <f t="shared" si="134"/>
        <v>22.66</v>
      </c>
      <c r="AG354" s="402">
        <v>8.47</v>
      </c>
      <c r="AH354" s="402">
        <v>4.23</v>
      </c>
      <c r="AI354" s="402">
        <v>3.18</v>
      </c>
      <c r="AJ354" s="402">
        <v>0.11</v>
      </c>
      <c r="AK354" s="402">
        <v>0.32</v>
      </c>
      <c r="AL354" s="402">
        <v>6.35</v>
      </c>
      <c r="AM354" s="402"/>
      <c r="AN354" s="350"/>
      <c r="AO354" s="205">
        <f t="shared" si="116"/>
        <v>30</v>
      </c>
      <c r="AP354">
        <v>3.51</v>
      </c>
    </row>
    <row r="355" ht="24" hidden="1" spans="1:42">
      <c r="A355" s="284" t="s">
        <v>640</v>
      </c>
      <c r="B355" s="284" t="s">
        <v>199</v>
      </c>
      <c r="C355" s="284" t="s">
        <v>651</v>
      </c>
      <c r="D355" s="284" t="s">
        <v>647</v>
      </c>
      <c r="E355" s="402">
        <f t="shared" si="128"/>
        <v>172.41</v>
      </c>
      <c r="F355" s="402">
        <f t="shared" si="129"/>
        <v>0</v>
      </c>
      <c r="G355" s="402">
        <f t="shared" si="135"/>
        <v>0</v>
      </c>
      <c r="H355" s="402"/>
      <c r="I355" s="402"/>
      <c r="J355" s="402"/>
      <c r="K355" s="402"/>
      <c r="L355" s="402"/>
      <c r="M355" s="402">
        <f t="shared" si="130"/>
        <v>0</v>
      </c>
      <c r="N355" s="402"/>
      <c r="O355" s="402"/>
      <c r="P355" s="402"/>
      <c r="Q355" s="402">
        <f t="shared" si="131"/>
        <v>136.92</v>
      </c>
      <c r="R355" s="402">
        <f t="shared" si="132"/>
        <v>72.09</v>
      </c>
      <c r="S355" s="402">
        <v>54.04</v>
      </c>
      <c r="T355" s="402"/>
      <c r="U355" s="402">
        <v>18.05</v>
      </c>
      <c r="V355" s="402"/>
      <c r="W355" s="402"/>
      <c r="X355" s="402"/>
      <c r="Y355" s="402">
        <f t="shared" si="133"/>
        <v>64.83</v>
      </c>
      <c r="Z355" s="402">
        <v>10.83</v>
      </c>
      <c r="AA355" s="402"/>
      <c r="AB355" s="402"/>
      <c r="AC355" s="402"/>
      <c r="AD355" s="402"/>
      <c r="AE355" s="402">
        <v>54</v>
      </c>
      <c r="AF355" s="402">
        <f t="shared" si="134"/>
        <v>35.49</v>
      </c>
      <c r="AG355" s="402">
        <v>13.27</v>
      </c>
      <c r="AH355" s="402">
        <v>6.63</v>
      </c>
      <c r="AI355" s="402">
        <v>4.97</v>
      </c>
      <c r="AJ355" s="402">
        <v>0.17</v>
      </c>
      <c r="AK355" s="402">
        <v>0.5</v>
      </c>
      <c r="AL355" s="402">
        <v>9.95</v>
      </c>
      <c r="AM355" s="402"/>
      <c r="AN355" s="350"/>
      <c r="AO355" s="205">
        <f t="shared" si="116"/>
        <v>54</v>
      </c>
      <c r="AP355">
        <v>6.69</v>
      </c>
    </row>
    <row r="356" ht="24" hidden="1" spans="1:42">
      <c r="A356" s="284" t="s">
        <v>640</v>
      </c>
      <c r="B356" s="284" t="s">
        <v>199</v>
      </c>
      <c r="C356" s="284" t="s">
        <v>652</v>
      </c>
      <c r="D356" s="284" t="s">
        <v>647</v>
      </c>
      <c r="E356" s="402">
        <f t="shared" si="128"/>
        <v>37.12</v>
      </c>
      <c r="F356" s="402">
        <f t="shared" si="129"/>
        <v>0</v>
      </c>
      <c r="G356" s="402">
        <f t="shared" si="135"/>
        <v>0</v>
      </c>
      <c r="H356" s="402"/>
      <c r="I356" s="402"/>
      <c r="J356" s="402"/>
      <c r="K356" s="402"/>
      <c r="L356" s="402"/>
      <c r="M356" s="402">
        <f t="shared" si="130"/>
        <v>0</v>
      </c>
      <c r="N356" s="402"/>
      <c r="O356" s="402"/>
      <c r="P356" s="402"/>
      <c r="Q356" s="402">
        <f t="shared" si="131"/>
        <v>30.49</v>
      </c>
      <c r="R356" s="402">
        <f t="shared" si="132"/>
        <v>12.97</v>
      </c>
      <c r="S356" s="402">
        <v>8.77</v>
      </c>
      <c r="T356" s="402"/>
      <c r="U356" s="402">
        <v>4.2</v>
      </c>
      <c r="V356" s="402"/>
      <c r="W356" s="402"/>
      <c r="X356" s="402"/>
      <c r="Y356" s="402">
        <f t="shared" si="133"/>
        <v>17.52</v>
      </c>
      <c r="Z356" s="402">
        <v>2.52</v>
      </c>
      <c r="AA356" s="402"/>
      <c r="AB356" s="402"/>
      <c r="AC356" s="402"/>
      <c r="AD356" s="402"/>
      <c r="AE356" s="402">
        <v>15</v>
      </c>
      <c r="AF356" s="402">
        <f t="shared" si="134"/>
        <v>6.63</v>
      </c>
      <c r="AG356" s="402">
        <v>2.48</v>
      </c>
      <c r="AH356" s="402">
        <v>1.24</v>
      </c>
      <c r="AI356" s="402">
        <v>0.93</v>
      </c>
      <c r="AJ356" s="402">
        <v>0.03</v>
      </c>
      <c r="AK356" s="402">
        <v>0.09</v>
      </c>
      <c r="AL356" s="402">
        <v>1.86</v>
      </c>
      <c r="AM356" s="402"/>
      <c r="AN356" s="350"/>
      <c r="AO356" s="205">
        <f t="shared" si="116"/>
        <v>15</v>
      </c>
      <c r="AP356">
        <v>1.5</v>
      </c>
    </row>
    <row r="357" ht="24" hidden="1" spans="1:42">
      <c r="A357" s="284" t="s">
        <v>640</v>
      </c>
      <c r="B357" s="284" t="s">
        <v>199</v>
      </c>
      <c r="C357" s="284" t="s">
        <v>653</v>
      </c>
      <c r="D357" s="284" t="s">
        <v>647</v>
      </c>
      <c r="E357" s="402">
        <f t="shared" si="128"/>
        <v>79.01</v>
      </c>
      <c r="F357" s="402">
        <f t="shared" si="129"/>
        <v>0</v>
      </c>
      <c r="G357" s="402">
        <f t="shared" si="135"/>
        <v>0</v>
      </c>
      <c r="H357" s="402"/>
      <c r="I357" s="402"/>
      <c r="J357" s="402"/>
      <c r="K357" s="402"/>
      <c r="L357" s="402"/>
      <c r="M357" s="402">
        <f t="shared" si="130"/>
        <v>0</v>
      </c>
      <c r="N357" s="402"/>
      <c r="O357" s="402"/>
      <c r="P357" s="402"/>
      <c r="Q357" s="402">
        <f t="shared" si="131"/>
        <v>64.51</v>
      </c>
      <c r="R357" s="402">
        <f t="shared" si="132"/>
        <v>29.6</v>
      </c>
      <c r="S357" s="402">
        <v>20.8</v>
      </c>
      <c r="T357" s="402"/>
      <c r="U357" s="402">
        <v>8.18</v>
      </c>
      <c r="V357" s="402"/>
      <c r="W357" s="402"/>
      <c r="X357" s="402">
        <v>0.62</v>
      </c>
      <c r="Y357" s="402">
        <f t="shared" si="133"/>
        <v>34.91</v>
      </c>
      <c r="Z357" s="402">
        <v>4.91</v>
      </c>
      <c r="AA357" s="402"/>
      <c r="AB357" s="402"/>
      <c r="AC357" s="402"/>
      <c r="AD357" s="402"/>
      <c r="AE357" s="402">
        <v>30</v>
      </c>
      <c r="AF357" s="402">
        <f t="shared" si="134"/>
        <v>14.5</v>
      </c>
      <c r="AG357" s="402">
        <v>5.42</v>
      </c>
      <c r="AH357" s="402">
        <v>2.71</v>
      </c>
      <c r="AI357" s="402">
        <v>2.03</v>
      </c>
      <c r="AJ357" s="402">
        <v>0.07</v>
      </c>
      <c r="AK357" s="402">
        <v>0.2</v>
      </c>
      <c r="AL357" s="402">
        <v>4.07</v>
      </c>
      <c r="AM357" s="402"/>
      <c r="AN357" s="350"/>
      <c r="AO357" s="205">
        <f t="shared" si="116"/>
        <v>30</v>
      </c>
      <c r="AP357">
        <v>3</v>
      </c>
    </row>
    <row r="358" ht="24" hidden="1" spans="1:42">
      <c r="A358" s="284" t="s">
        <v>640</v>
      </c>
      <c r="B358" s="284" t="s">
        <v>199</v>
      </c>
      <c r="C358" s="284" t="s">
        <v>654</v>
      </c>
      <c r="D358" s="284" t="s">
        <v>647</v>
      </c>
      <c r="E358" s="402">
        <f t="shared" si="128"/>
        <v>26.43</v>
      </c>
      <c r="F358" s="402">
        <f t="shared" si="129"/>
        <v>0</v>
      </c>
      <c r="G358" s="402">
        <f t="shared" si="135"/>
        <v>0</v>
      </c>
      <c r="H358" s="402"/>
      <c r="I358" s="402"/>
      <c r="J358" s="402"/>
      <c r="K358" s="402"/>
      <c r="L358" s="402"/>
      <c r="M358" s="402">
        <f t="shared" si="130"/>
        <v>0</v>
      </c>
      <c r="N358" s="402"/>
      <c r="O358" s="402"/>
      <c r="P358" s="402"/>
      <c r="Q358" s="402">
        <f t="shared" si="131"/>
        <v>21.51</v>
      </c>
      <c r="R358" s="402">
        <f t="shared" si="132"/>
        <v>9.77</v>
      </c>
      <c r="S358" s="402">
        <v>6.87</v>
      </c>
      <c r="T358" s="402"/>
      <c r="U358" s="402">
        <v>2.9</v>
      </c>
      <c r="V358" s="402"/>
      <c r="W358" s="402"/>
      <c r="X358" s="402"/>
      <c r="Y358" s="402">
        <f t="shared" si="133"/>
        <v>11.74</v>
      </c>
      <c r="Z358" s="402">
        <v>1.74</v>
      </c>
      <c r="AA358" s="402"/>
      <c r="AB358" s="402"/>
      <c r="AC358" s="402"/>
      <c r="AD358" s="402"/>
      <c r="AE358" s="402">
        <v>10</v>
      </c>
      <c r="AF358" s="402">
        <f t="shared" si="134"/>
        <v>4.92</v>
      </c>
      <c r="AG358" s="402">
        <v>1.84</v>
      </c>
      <c r="AH358" s="402">
        <v>0.92</v>
      </c>
      <c r="AI358" s="402">
        <v>0.69</v>
      </c>
      <c r="AJ358" s="402">
        <v>0.02</v>
      </c>
      <c r="AK358" s="402">
        <v>0.07</v>
      </c>
      <c r="AL358" s="402">
        <v>1.38</v>
      </c>
      <c r="AM358" s="402"/>
      <c r="AN358" s="350"/>
      <c r="AO358" s="205">
        <f t="shared" si="116"/>
        <v>10</v>
      </c>
      <c r="AP358">
        <v>1.35</v>
      </c>
    </row>
    <row r="359" ht="24" hidden="1" spans="1:42">
      <c r="A359" s="284" t="s">
        <v>640</v>
      </c>
      <c r="B359" s="284" t="s">
        <v>199</v>
      </c>
      <c r="C359" s="284" t="s">
        <v>655</v>
      </c>
      <c r="D359" s="284" t="s">
        <v>647</v>
      </c>
      <c r="E359" s="402">
        <f t="shared" si="128"/>
        <v>34.85</v>
      </c>
      <c r="F359" s="402">
        <f t="shared" si="129"/>
        <v>0</v>
      </c>
      <c r="G359" s="402">
        <f t="shared" si="135"/>
        <v>0</v>
      </c>
      <c r="H359" s="402"/>
      <c r="I359" s="402"/>
      <c r="J359" s="402"/>
      <c r="K359" s="402"/>
      <c r="L359" s="402"/>
      <c r="M359" s="402">
        <f t="shared" si="130"/>
        <v>0</v>
      </c>
      <c r="N359" s="402"/>
      <c r="O359" s="402"/>
      <c r="P359" s="402"/>
      <c r="Q359" s="402">
        <f t="shared" si="131"/>
        <v>28.91</v>
      </c>
      <c r="R359" s="402">
        <f t="shared" si="132"/>
        <v>11.64</v>
      </c>
      <c r="S359" s="402">
        <v>7.86</v>
      </c>
      <c r="T359" s="402"/>
      <c r="U359" s="402">
        <v>3.78</v>
      </c>
      <c r="V359" s="402"/>
      <c r="W359" s="402"/>
      <c r="X359" s="402"/>
      <c r="Y359" s="402">
        <f t="shared" si="133"/>
        <v>17.27</v>
      </c>
      <c r="Z359" s="402">
        <v>2.27</v>
      </c>
      <c r="AA359" s="402"/>
      <c r="AB359" s="402"/>
      <c r="AC359" s="402"/>
      <c r="AD359" s="402"/>
      <c r="AE359" s="402">
        <v>15</v>
      </c>
      <c r="AF359" s="402">
        <f t="shared" si="134"/>
        <v>5.94</v>
      </c>
      <c r="AG359" s="402">
        <v>2.22</v>
      </c>
      <c r="AH359" s="402">
        <v>1.11</v>
      </c>
      <c r="AI359" s="402">
        <v>0.83</v>
      </c>
      <c r="AJ359" s="402">
        <v>0.03</v>
      </c>
      <c r="AK359" s="402">
        <v>0.08</v>
      </c>
      <c r="AL359" s="402">
        <v>1.67</v>
      </c>
      <c r="AM359" s="402"/>
      <c r="AN359" s="350"/>
      <c r="AO359" s="205">
        <f t="shared" si="116"/>
        <v>15</v>
      </c>
      <c r="AP359">
        <v>1.5</v>
      </c>
    </row>
    <row r="360" ht="24" hidden="1" spans="1:42">
      <c r="A360" s="284" t="s">
        <v>640</v>
      </c>
      <c r="B360" s="284" t="s">
        <v>199</v>
      </c>
      <c r="C360" s="284" t="s">
        <v>656</v>
      </c>
      <c r="D360" s="284" t="s">
        <v>647</v>
      </c>
      <c r="E360" s="402">
        <f t="shared" si="128"/>
        <v>73.58</v>
      </c>
      <c r="F360" s="402">
        <f t="shared" si="129"/>
        <v>0</v>
      </c>
      <c r="G360" s="402">
        <f t="shared" si="135"/>
        <v>0</v>
      </c>
      <c r="H360" s="402"/>
      <c r="I360" s="402"/>
      <c r="J360" s="402"/>
      <c r="K360" s="402"/>
      <c r="L360" s="402"/>
      <c r="M360" s="402">
        <f t="shared" si="130"/>
        <v>0</v>
      </c>
      <c r="N360" s="402"/>
      <c r="O360" s="402"/>
      <c r="P360" s="402"/>
      <c r="Q360" s="402">
        <f t="shared" si="131"/>
        <v>59.03</v>
      </c>
      <c r="R360" s="402">
        <f t="shared" si="132"/>
        <v>29.66</v>
      </c>
      <c r="S360" s="402">
        <v>22.38</v>
      </c>
      <c r="T360" s="402"/>
      <c r="U360" s="402">
        <v>7.28</v>
      </c>
      <c r="V360" s="402"/>
      <c r="W360" s="402"/>
      <c r="X360" s="402"/>
      <c r="Y360" s="402">
        <f t="shared" si="133"/>
        <v>29.37</v>
      </c>
      <c r="Z360" s="402">
        <v>4.37</v>
      </c>
      <c r="AA360" s="402"/>
      <c r="AB360" s="402"/>
      <c r="AC360" s="402"/>
      <c r="AD360" s="402"/>
      <c r="AE360" s="402">
        <v>25</v>
      </c>
      <c r="AF360" s="402">
        <f t="shared" si="134"/>
        <v>14.55</v>
      </c>
      <c r="AG360" s="402">
        <v>5.44</v>
      </c>
      <c r="AH360" s="402">
        <v>2.72</v>
      </c>
      <c r="AI360" s="402">
        <v>2.04</v>
      </c>
      <c r="AJ360" s="402">
        <v>0.07</v>
      </c>
      <c r="AK360" s="402">
        <v>0.2</v>
      </c>
      <c r="AL360" s="402">
        <v>4.08</v>
      </c>
      <c r="AM360" s="402"/>
      <c r="AN360" s="350"/>
      <c r="AO360" s="205">
        <f t="shared" si="116"/>
        <v>25</v>
      </c>
      <c r="AP360">
        <v>2.86</v>
      </c>
    </row>
    <row r="361" ht="24" hidden="1" spans="1:42">
      <c r="A361" s="284" t="s">
        <v>640</v>
      </c>
      <c r="B361" s="284" t="s">
        <v>199</v>
      </c>
      <c r="C361" s="284" t="s">
        <v>657</v>
      </c>
      <c r="D361" s="284" t="s">
        <v>647</v>
      </c>
      <c r="E361" s="402">
        <f t="shared" si="128"/>
        <v>65.89</v>
      </c>
      <c r="F361" s="402">
        <f t="shared" si="129"/>
        <v>0</v>
      </c>
      <c r="G361" s="402">
        <f t="shared" si="135"/>
        <v>0</v>
      </c>
      <c r="H361" s="402"/>
      <c r="I361" s="402"/>
      <c r="J361" s="402"/>
      <c r="K361" s="402"/>
      <c r="L361" s="402"/>
      <c r="M361" s="402">
        <f t="shared" si="130"/>
        <v>0</v>
      </c>
      <c r="N361" s="402"/>
      <c r="O361" s="402"/>
      <c r="P361" s="402"/>
      <c r="Q361" s="402">
        <f t="shared" si="131"/>
        <v>52.51</v>
      </c>
      <c r="R361" s="402">
        <f t="shared" si="132"/>
        <v>28.24</v>
      </c>
      <c r="S361" s="402">
        <v>19.87</v>
      </c>
      <c r="T361" s="402"/>
      <c r="U361" s="402">
        <v>7.12</v>
      </c>
      <c r="V361" s="402"/>
      <c r="W361" s="402"/>
      <c r="X361" s="402">
        <v>1.25</v>
      </c>
      <c r="Y361" s="402">
        <f t="shared" si="133"/>
        <v>24.27</v>
      </c>
      <c r="Z361" s="402">
        <v>4.27</v>
      </c>
      <c r="AA361" s="402"/>
      <c r="AB361" s="402"/>
      <c r="AC361" s="402"/>
      <c r="AD361" s="402"/>
      <c r="AE361" s="402">
        <v>20</v>
      </c>
      <c r="AF361" s="402">
        <f t="shared" si="134"/>
        <v>13.38</v>
      </c>
      <c r="AG361" s="402">
        <v>5</v>
      </c>
      <c r="AH361" s="402">
        <v>2.5</v>
      </c>
      <c r="AI361" s="402">
        <v>1.88</v>
      </c>
      <c r="AJ361" s="402">
        <v>0.06</v>
      </c>
      <c r="AK361" s="402">
        <v>0.19</v>
      </c>
      <c r="AL361" s="402">
        <v>3.75</v>
      </c>
      <c r="AM361" s="402"/>
      <c r="AN361" s="350"/>
      <c r="AO361" s="205">
        <f t="shared" si="116"/>
        <v>20</v>
      </c>
      <c r="AP361">
        <v>2</v>
      </c>
    </row>
    <row r="362" ht="24" hidden="1" spans="1:42">
      <c r="A362" s="284" t="s">
        <v>640</v>
      </c>
      <c r="B362" s="284" t="s">
        <v>199</v>
      </c>
      <c r="C362" s="284" t="s">
        <v>658</v>
      </c>
      <c r="D362" s="284" t="s">
        <v>647</v>
      </c>
      <c r="E362" s="402">
        <f t="shared" si="128"/>
        <v>64.91</v>
      </c>
      <c r="F362" s="402">
        <f t="shared" si="129"/>
        <v>0</v>
      </c>
      <c r="G362" s="402">
        <f t="shared" si="135"/>
        <v>0</v>
      </c>
      <c r="H362" s="402"/>
      <c r="I362" s="402"/>
      <c r="J362" s="402"/>
      <c r="K362" s="402"/>
      <c r="L362" s="402"/>
      <c r="M362" s="402">
        <f t="shared" si="130"/>
        <v>0</v>
      </c>
      <c r="N362" s="402"/>
      <c r="O362" s="402"/>
      <c r="P362" s="402"/>
      <c r="Q362" s="402">
        <f t="shared" si="131"/>
        <v>51.83</v>
      </c>
      <c r="R362" s="402">
        <f t="shared" si="132"/>
        <v>27.74</v>
      </c>
      <c r="S362" s="402">
        <v>19.67</v>
      </c>
      <c r="T362" s="402"/>
      <c r="U362" s="402">
        <v>6.82</v>
      </c>
      <c r="V362" s="402"/>
      <c r="W362" s="402"/>
      <c r="X362" s="402">
        <v>1.25</v>
      </c>
      <c r="Y362" s="402">
        <f t="shared" si="133"/>
        <v>24.09</v>
      </c>
      <c r="Z362" s="402">
        <v>4.09</v>
      </c>
      <c r="AA362" s="402"/>
      <c r="AB362" s="402"/>
      <c r="AC362" s="402"/>
      <c r="AD362" s="402"/>
      <c r="AE362" s="402">
        <v>20</v>
      </c>
      <c r="AF362" s="402">
        <f t="shared" si="134"/>
        <v>13.08</v>
      </c>
      <c r="AG362" s="402">
        <v>4.89</v>
      </c>
      <c r="AH362" s="402">
        <v>2.45</v>
      </c>
      <c r="AI362" s="402">
        <v>1.83</v>
      </c>
      <c r="AJ362" s="402">
        <v>0.06</v>
      </c>
      <c r="AK362" s="402">
        <v>0.18</v>
      </c>
      <c r="AL362" s="402">
        <v>3.67</v>
      </c>
      <c r="AM362" s="402"/>
      <c r="AN362" s="350"/>
      <c r="AO362" s="205">
        <f t="shared" si="116"/>
        <v>20</v>
      </c>
      <c r="AP362">
        <v>2.34</v>
      </c>
    </row>
    <row r="363" ht="24" hidden="1" spans="1:42">
      <c r="A363" s="284" t="s">
        <v>640</v>
      </c>
      <c r="B363" s="284" t="s">
        <v>199</v>
      </c>
      <c r="C363" s="284" t="s">
        <v>659</v>
      </c>
      <c r="D363" s="284" t="s">
        <v>647</v>
      </c>
      <c r="E363" s="402">
        <f t="shared" si="128"/>
        <v>83.83</v>
      </c>
      <c r="F363" s="402">
        <f t="shared" si="129"/>
        <v>0</v>
      </c>
      <c r="G363" s="402">
        <f t="shared" si="135"/>
        <v>0</v>
      </c>
      <c r="H363" s="402"/>
      <c r="I363" s="402"/>
      <c r="J363" s="402"/>
      <c r="K363" s="402"/>
      <c r="L363" s="402"/>
      <c r="M363" s="402">
        <f t="shared" si="130"/>
        <v>0</v>
      </c>
      <c r="N363" s="402"/>
      <c r="O363" s="402"/>
      <c r="P363" s="402"/>
      <c r="Q363" s="402">
        <f t="shared" si="131"/>
        <v>68.26</v>
      </c>
      <c r="R363" s="402">
        <f t="shared" si="132"/>
        <v>32.91</v>
      </c>
      <c r="S363" s="402">
        <v>22.13</v>
      </c>
      <c r="T363" s="402"/>
      <c r="U363" s="402">
        <v>8.91</v>
      </c>
      <c r="V363" s="402"/>
      <c r="W363" s="402"/>
      <c r="X363" s="402">
        <v>1.87</v>
      </c>
      <c r="Y363" s="402">
        <f t="shared" si="133"/>
        <v>35.35</v>
      </c>
      <c r="Z363" s="402">
        <v>5.35</v>
      </c>
      <c r="AA363" s="402"/>
      <c r="AB363" s="402"/>
      <c r="AC363" s="402"/>
      <c r="AD363" s="402"/>
      <c r="AE363" s="402">
        <v>30</v>
      </c>
      <c r="AF363" s="402">
        <f t="shared" si="134"/>
        <v>15.57</v>
      </c>
      <c r="AG363" s="402">
        <v>5.82</v>
      </c>
      <c r="AH363" s="402">
        <v>2.91</v>
      </c>
      <c r="AI363" s="402">
        <v>2.18</v>
      </c>
      <c r="AJ363" s="402">
        <v>0.07</v>
      </c>
      <c r="AK363" s="402">
        <v>0.22</v>
      </c>
      <c r="AL363" s="402">
        <v>4.37</v>
      </c>
      <c r="AM363" s="402"/>
      <c r="AN363" s="350"/>
      <c r="AO363" s="205">
        <f t="shared" si="116"/>
        <v>30</v>
      </c>
      <c r="AP363">
        <v>3.17</v>
      </c>
    </row>
    <row r="364" ht="24" hidden="1" spans="1:42">
      <c r="A364" s="284" t="s">
        <v>640</v>
      </c>
      <c r="B364" s="284" t="s">
        <v>199</v>
      </c>
      <c r="C364" s="284" t="s">
        <v>660</v>
      </c>
      <c r="D364" s="284" t="s">
        <v>647</v>
      </c>
      <c r="E364" s="402">
        <f t="shared" si="128"/>
        <v>150.23</v>
      </c>
      <c r="F364" s="402">
        <f t="shared" si="129"/>
        <v>0</v>
      </c>
      <c r="G364" s="402">
        <f t="shared" si="135"/>
        <v>0</v>
      </c>
      <c r="H364" s="402"/>
      <c r="I364" s="402"/>
      <c r="J364" s="402"/>
      <c r="K364" s="402"/>
      <c r="L364" s="402"/>
      <c r="M364" s="402">
        <f t="shared" si="130"/>
        <v>0</v>
      </c>
      <c r="N364" s="402"/>
      <c r="O364" s="402"/>
      <c r="P364" s="402"/>
      <c r="Q364" s="402">
        <f t="shared" si="131"/>
        <v>121.12</v>
      </c>
      <c r="R364" s="402">
        <f t="shared" si="132"/>
        <v>62.22</v>
      </c>
      <c r="S364" s="402">
        <v>44.27</v>
      </c>
      <c r="T364" s="402"/>
      <c r="U364" s="402">
        <v>14.83</v>
      </c>
      <c r="V364" s="402"/>
      <c r="W364" s="402"/>
      <c r="X364" s="402">
        <v>3.12</v>
      </c>
      <c r="Y364" s="402">
        <f t="shared" si="133"/>
        <v>58.9</v>
      </c>
      <c r="Z364" s="402">
        <v>8.9</v>
      </c>
      <c r="AA364" s="402"/>
      <c r="AB364" s="402"/>
      <c r="AC364" s="402"/>
      <c r="AD364" s="402"/>
      <c r="AE364" s="402">
        <v>50</v>
      </c>
      <c r="AF364" s="402">
        <f t="shared" si="134"/>
        <v>29.11</v>
      </c>
      <c r="AG364" s="402">
        <v>10.88</v>
      </c>
      <c r="AH364" s="402">
        <v>5.44</v>
      </c>
      <c r="AI364" s="402">
        <v>4.08</v>
      </c>
      <c r="AJ364" s="402">
        <v>0.14</v>
      </c>
      <c r="AK364" s="402">
        <v>0.41</v>
      </c>
      <c r="AL364" s="402">
        <v>8.16</v>
      </c>
      <c r="AM364" s="402"/>
      <c r="AN364" s="350"/>
      <c r="AO364" s="205">
        <f t="shared" si="116"/>
        <v>50</v>
      </c>
      <c r="AP364">
        <v>5.51</v>
      </c>
    </row>
    <row r="365" ht="24" hidden="1" spans="1:42">
      <c r="A365" s="284" t="s">
        <v>640</v>
      </c>
      <c r="B365" s="284" t="s">
        <v>199</v>
      </c>
      <c r="C365" s="284" t="s">
        <v>661</v>
      </c>
      <c r="D365" s="284" t="s">
        <v>647</v>
      </c>
      <c r="E365" s="402">
        <f t="shared" si="128"/>
        <v>86.74</v>
      </c>
      <c r="F365" s="402">
        <f t="shared" si="129"/>
        <v>0</v>
      </c>
      <c r="G365" s="402">
        <f t="shared" si="135"/>
        <v>0</v>
      </c>
      <c r="H365" s="402"/>
      <c r="I365" s="402"/>
      <c r="J365" s="402"/>
      <c r="K365" s="402"/>
      <c r="L365" s="402"/>
      <c r="M365" s="402">
        <f t="shared" si="130"/>
        <v>0</v>
      </c>
      <c r="N365" s="402"/>
      <c r="O365" s="402"/>
      <c r="P365" s="402"/>
      <c r="Q365" s="402">
        <f t="shared" si="131"/>
        <v>70.55</v>
      </c>
      <c r="R365" s="402">
        <f t="shared" si="132"/>
        <v>35.06</v>
      </c>
      <c r="S365" s="402">
        <v>23.16</v>
      </c>
      <c r="T365" s="402"/>
      <c r="U365" s="402">
        <v>9.14</v>
      </c>
      <c r="V365" s="402">
        <v>1.2</v>
      </c>
      <c r="W365" s="402"/>
      <c r="X365" s="402">
        <v>1.56</v>
      </c>
      <c r="Y365" s="402">
        <f t="shared" si="133"/>
        <v>35.49</v>
      </c>
      <c r="Z365" s="402">
        <v>5.49</v>
      </c>
      <c r="AA365" s="402"/>
      <c r="AB365" s="402"/>
      <c r="AC365" s="402"/>
      <c r="AD365" s="402"/>
      <c r="AE365" s="402">
        <v>30</v>
      </c>
      <c r="AF365" s="402">
        <f t="shared" si="134"/>
        <v>16.19</v>
      </c>
      <c r="AG365" s="402">
        <v>6.05</v>
      </c>
      <c r="AH365" s="402">
        <v>3.02</v>
      </c>
      <c r="AI365" s="402">
        <v>2.27</v>
      </c>
      <c r="AJ365" s="402">
        <v>0.08</v>
      </c>
      <c r="AK365" s="402">
        <v>0.23</v>
      </c>
      <c r="AL365" s="402">
        <v>4.54</v>
      </c>
      <c r="AM365" s="402"/>
      <c r="AN365" s="350"/>
      <c r="AO365" s="205">
        <f t="shared" si="116"/>
        <v>30</v>
      </c>
      <c r="AP365">
        <v>6.06</v>
      </c>
    </row>
    <row r="366" ht="24" hidden="1" spans="1:42">
      <c r="A366" s="284" t="s">
        <v>640</v>
      </c>
      <c r="B366" s="284" t="s">
        <v>199</v>
      </c>
      <c r="C366" s="284" t="s">
        <v>662</v>
      </c>
      <c r="D366" s="284" t="s">
        <v>647</v>
      </c>
      <c r="E366" s="402">
        <f t="shared" si="128"/>
        <v>106.84</v>
      </c>
      <c r="F366" s="402">
        <f t="shared" si="129"/>
        <v>0</v>
      </c>
      <c r="G366" s="402">
        <f t="shared" si="135"/>
        <v>0</v>
      </c>
      <c r="H366" s="402"/>
      <c r="I366" s="402"/>
      <c r="J366" s="402"/>
      <c r="K366" s="402"/>
      <c r="L366" s="402"/>
      <c r="M366" s="402">
        <f t="shared" si="130"/>
        <v>0</v>
      </c>
      <c r="N366" s="402"/>
      <c r="O366" s="402"/>
      <c r="P366" s="402"/>
      <c r="Q366" s="402">
        <f t="shared" si="131"/>
        <v>86.81</v>
      </c>
      <c r="R366" s="402">
        <f t="shared" si="132"/>
        <v>39.83</v>
      </c>
      <c r="S366" s="402">
        <v>28.19</v>
      </c>
      <c r="T366" s="402"/>
      <c r="U366" s="402">
        <v>11.64</v>
      </c>
      <c r="V366" s="402"/>
      <c r="W366" s="402"/>
      <c r="X366" s="402"/>
      <c r="Y366" s="402">
        <f t="shared" si="133"/>
        <v>46.98</v>
      </c>
      <c r="Z366" s="402">
        <v>6.98</v>
      </c>
      <c r="AA366" s="402"/>
      <c r="AB366" s="402"/>
      <c r="AC366" s="402"/>
      <c r="AD366" s="402"/>
      <c r="AE366" s="402">
        <v>40</v>
      </c>
      <c r="AF366" s="402">
        <f t="shared" si="134"/>
        <v>20.03</v>
      </c>
      <c r="AG366" s="402">
        <v>7.49</v>
      </c>
      <c r="AH366" s="402">
        <v>3.74</v>
      </c>
      <c r="AI366" s="402">
        <v>2.81</v>
      </c>
      <c r="AJ366" s="402">
        <v>0.09</v>
      </c>
      <c r="AK366" s="402">
        <v>0.28</v>
      </c>
      <c r="AL366" s="402">
        <v>5.62</v>
      </c>
      <c r="AM366" s="402"/>
      <c r="AN366" s="350"/>
      <c r="AO366" s="205">
        <f t="shared" si="116"/>
        <v>40</v>
      </c>
      <c r="AP366">
        <v>4</v>
      </c>
    </row>
    <row r="367" ht="24" hidden="1" spans="1:42">
      <c r="A367" s="284" t="s">
        <v>640</v>
      </c>
      <c r="B367" s="284" t="s">
        <v>199</v>
      </c>
      <c r="C367" s="284" t="s">
        <v>663</v>
      </c>
      <c r="D367" s="284" t="s">
        <v>647</v>
      </c>
      <c r="E367" s="402">
        <f t="shared" si="128"/>
        <v>67.88</v>
      </c>
      <c r="F367" s="402">
        <f t="shared" si="129"/>
        <v>0</v>
      </c>
      <c r="G367" s="402">
        <f t="shared" si="135"/>
        <v>0</v>
      </c>
      <c r="H367" s="402"/>
      <c r="I367" s="402"/>
      <c r="J367" s="402"/>
      <c r="K367" s="402"/>
      <c r="L367" s="402"/>
      <c r="M367" s="402">
        <f t="shared" si="130"/>
        <v>0</v>
      </c>
      <c r="N367" s="402"/>
      <c r="O367" s="402"/>
      <c r="P367" s="402"/>
      <c r="Q367" s="402">
        <f t="shared" si="131"/>
        <v>55.03</v>
      </c>
      <c r="R367" s="402">
        <f t="shared" si="132"/>
        <v>25.79</v>
      </c>
      <c r="S367" s="402">
        <v>18.73</v>
      </c>
      <c r="T367" s="402"/>
      <c r="U367" s="402">
        <v>7.06</v>
      </c>
      <c r="V367" s="402"/>
      <c r="W367" s="402"/>
      <c r="X367" s="402"/>
      <c r="Y367" s="402">
        <f t="shared" si="133"/>
        <v>29.24</v>
      </c>
      <c r="Z367" s="402">
        <v>4.24</v>
      </c>
      <c r="AA367" s="402"/>
      <c r="AB367" s="402"/>
      <c r="AC367" s="402"/>
      <c r="AD367" s="402"/>
      <c r="AE367" s="402">
        <v>25</v>
      </c>
      <c r="AF367" s="402">
        <f t="shared" si="134"/>
        <v>12.85</v>
      </c>
      <c r="AG367" s="402">
        <v>4.81</v>
      </c>
      <c r="AH367" s="402">
        <v>2.4</v>
      </c>
      <c r="AI367" s="402">
        <v>1.8</v>
      </c>
      <c r="AJ367" s="402">
        <v>0.06</v>
      </c>
      <c r="AK367" s="402">
        <v>0.18</v>
      </c>
      <c r="AL367" s="402">
        <v>3.6</v>
      </c>
      <c r="AM367" s="402"/>
      <c r="AN367" s="350"/>
      <c r="AO367" s="205">
        <f t="shared" si="116"/>
        <v>25</v>
      </c>
      <c r="AP367">
        <v>2.5</v>
      </c>
    </row>
    <row r="368" ht="24" hidden="1" spans="1:42">
      <c r="A368" s="284" t="s">
        <v>640</v>
      </c>
      <c r="B368" s="284" t="s">
        <v>199</v>
      </c>
      <c r="C368" s="284" t="s">
        <v>664</v>
      </c>
      <c r="D368" s="284" t="s">
        <v>647</v>
      </c>
      <c r="E368" s="402">
        <f t="shared" si="128"/>
        <v>80.72</v>
      </c>
      <c r="F368" s="402">
        <f t="shared" si="129"/>
        <v>0</v>
      </c>
      <c r="G368" s="402">
        <f t="shared" si="135"/>
        <v>0</v>
      </c>
      <c r="H368" s="402"/>
      <c r="I368" s="402"/>
      <c r="J368" s="402"/>
      <c r="K368" s="402"/>
      <c r="L368" s="402"/>
      <c r="M368" s="402">
        <f t="shared" si="130"/>
        <v>0</v>
      </c>
      <c r="N368" s="402"/>
      <c r="O368" s="402"/>
      <c r="P368" s="402"/>
      <c r="Q368" s="402">
        <f t="shared" si="131"/>
        <v>64.03</v>
      </c>
      <c r="R368" s="402">
        <f t="shared" si="132"/>
        <v>33.79</v>
      </c>
      <c r="S368" s="402">
        <v>25.05</v>
      </c>
      <c r="T368" s="402"/>
      <c r="U368" s="402">
        <v>8.74</v>
      </c>
      <c r="V368" s="402"/>
      <c r="W368" s="402"/>
      <c r="X368" s="402"/>
      <c r="Y368" s="402">
        <f t="shared" si="133"/>
        <v>30.24</v>
      </c>
      <c r="Z368" s="402">
        <v>5.24</v>
      </c>
      <c r="AA368" s="402"/>
      <c r="AB368" s="402"/>
      <c r="AC368" s="402"/>
      <c r="AD368" s="402"/>
      <c r="AE368" s="402">
        <v>25</v>
      </c>
      <c r="AF368" s="402">
        <f t="shared" si="134"/>
        <v>16.69</v>
      </c>
      <c r="AG368" s="402">
        <v>6.24</v>
      </c>
      <c r="AH368" s="402">
        <v>3.12</v>
      </c>
      <c r="AI368" s="402">
        <v>2.34</v>
      </c>
      <c r="AJ368" s="402">
        <v>0.08</v>
      </c>
      <c r="AK368" s="402">
        <v>0.23</v>
      </c>
      <c r="AL368" s="402">
        <v>4.68</v>
      </c>
      <c r="AM368" s="402"/>
      <c r="AN368" s="350"/>
      <c r="AO368" s="205">
        <f t="shared" si="116"/>
        <v>25</v>
      </c>
      <c r="AP368">
        <v>2.625</v>
      </c>
    </row>
    <row r="369" ht="24" hidden="1" spans="1:42">
      <c r="A369" s="284" t="s">
        <v>665</v>
      </c>
      <c r="B369" s="284" t="s">
        <v>196</v>
      </c>
      <c r="C369" s="284" t="s">
        <v>666</v>
      </c>
      <c r="D369" s="284" t="s">
        <v>667</v>
      </c>
      <c r="E369" s="402">
        <f t="shared" si="128"/>
        <v>321.7</v>
      </c>
      <c r="F369" s="402">
        <f t="shared" si="129"/>
        <v>256.38</v>
      </c>
      <c r="G369" s="402">
        <f t="shared" si="135"/>
        <v>157.38</v>
      </c>
      <c r="H369" s="402">
        <v>91.57</v>
      </c>
      <c r="I369" s="402">
        <v>58.18</v>
      </c>
      <c r="J369" s="402">
        <v>7.63</v>
      </c>
      <c r="K369" s="402"/>
      <c r="L369" s="402"/>
      <c r="M369" s="402">
        <f t="shared" si="130"/>
        <v>99</v>
      </c>
      <c r="N369" s="402"/>
      <c r="O369" s="402"/>
      <c r="P369" s="404">
        <v>99</v>
      </c>
      <c r="Q369" s="402">
        <f t="shared" si="131"/>
        <v>0</v>
      </c>
      <c r="R369" s="402">
        <f t="shared" si="132"/>
        <v>0</v>
      </c>
      <c r="S369" s="402"/>
      <c r="T369" s="402"/>
      <c r="U369" s="402"/>
      <c r="V369" s="402"/>
      <c r="W369" s="402"/>
      <c r="X369" s="402"/>
      <c r="Y369" s="402">
        <f t="shared" si="133"/>
        <v>0</v>
      </c>
      <c r="Z369" s="402"/>
      <c r="AA369" s="402"/>
      <c r="AB369" s="402"/>
      <c r="AC369" s="402"/>
      <c r="AD369" s="402"/>
      <c r="AE369" s="402"/>
      <c r="AF369" s="402">
        <f t="shared" si="134"/>
        <v>65.32</v>
      </c>
      <c r="AG369" s="402">
        <v>25.18</v>
      </c>
      <c r="AH369" s="402">
        <v>11.98</v>
      </c>
      <c r="AI369" s="402">
        <v>8.99</v>
      </c>
      <c r="AJ369" s="402">
        <v>0.3</v>
      </c>
      <c r="AK369" s="402">
        <v>0.9</v>
      </c>
      <c r="AL369" s="402">
        <v>17.97</v>
      </c>
      <c r="AM369" s="402"/>
      <c r="AN369" s="350"/>
      <c r="AO369" s="205">
        <f t="shared" si="116"/>
        <v>99</v>
      </c>
      <c r="AP369">
        <v>30.1416</v>
      </c>
    </row>
    <row r="370" ht="24" hidden="1" spans="1:42">
      <c r="A370" s="284" t="s">
        <v>665</v>
      </c>
      <c r="B370" s="284" t="s">
        <v>196</v>
      </c>
      <c r="C370" s="284" t="s">
        <v>668</v>
      </c>
      <c r="D370" s="284" t="s">
        <v>667</v>
      </c>
      <c r="E370" s="402">
        <f t="shared" si="128"/>
        <v>391.51</v>
      </c>
      <c r="F370" s="402">
        <f t="shared" si="129"/>
        <v>247.44</v>
      </c>
      <c r="G370" s="402">
        <f t="shared" si="135"/>
        <v>165.29</v>
      </c>
      <c r="H370" s="402">
        <v>89</v>
      </c>
      <c r="I370" s="402">
        <v>68.8</v>
      </c>
      <c r="J370" s="402">
        <v>7.49</v>
      </c>
      <c r="K370" s="402"/>
      <c r="L370" s="402"/>
      <c r="M370" s="402">
        <f t="shared" si="130"/>
        <v>82.15</v>
      </c>
      <c r="N370" s="402">
        <v>37.15</v>
      </c>
      <c r="O370" s="402"/>
      <c r="P370" s="404">
        <v>45</v>
      </c>
      <c r="Q370" s="402">
        <f t="shared" si="131"/>
        <v>47.96</v>
      </c>
      <c r="R370" s="402">
        <f t="shared" si="132"/>
        <v>39</v>
      </c>
      <c r="S370" s="402">
        <v>39</v>
      </c>
      <c r="T370" s="402"/>
      <c r="U370" s="402"/>
      <c r="V370" s="402"/>
      <c r="W370" s="402"/>
      <c r="X370" s="402"/>
      <c r="Y370" s="402">
        <f t="shared" si="133"/>
        <v>8.96</v>
      </c>
      <c r="Z370" s="410">
        <v>8.96</v>
      </c>
      <c r="AA370" s="402"/>
      <c r="AB370" s="402"/>
      <c r="AC370" s="402"/>
      <c r="AD370" s="402"/>
      <c r="AE370" s="404"/>
      <c r="AF370" s="402">
        <f t="shared" si="134"/>
        <v>96.11</v>
      </c>
      <c r="AG370" s="402">
        <v>36.68</v>
      </c>
      <c r="AH370" s="402">
        <v>17.74</v>
      </c>
      <c r="AI370" s="402">
        <v>13.31</v>
      </c>
      <c r="AJ370" s="402">
        <v>0.44</v>
      </c>
      <c r="AK370" s="402">
        <v>1.33</v>
      </c>
      <c r="AL370" s="402">
        <v>26.61</v>
      </c>
      <c r="AM370" s="402"/>
      <c r="AN370" s="350"/>
      <c r="AO370" s="205">
        <f t="shared" si="116"/>
        <v>45</v>
      </c>
      <c r="AP370">
        <v>20.6471</v>
      </c>
    </row>
    <row r="371" ht="24" hidden="1" spans="1:42">
      <c r="A371" s="284" t="s">
        <v>665</v>
      </c>
      <c r="B371" s="284" t="s">
        <v>199</v>
      </c>
      <c r="C371" s="284" t="s">
        <v>669</v>
      </c>
      <c r="D371" s="284" t="s">
        <v>670</v>
      </c>
      <c r="E371" s="402">
        <f t="shared" si="128"/>
        <v>57.69</v>
      </c>
      <c r="F371" s="402">
        <f t="shared" si="129"/>
        <v>0</v>
      </c>
      <c r="G371" s="402">
        <f t="shared" si="135"/>
        <v>0</v>
      </c>
      <c r="H371" s="402"/>
      <c r="I371" s="402"/>
      <c r="J371" s="402"/>
      <c r="K371" s="402"/>
      <c r="L371" s="402"/>
      <c r="M371" s="402">
        <f t="shared" si="130"/>
        <v>0</v>
      </c>
      <c r="N371" s="402"/>
      <c r="O371" s="402"/>
      <c r="P371" s="402"/>
      <c r="Q371" s="402">
        <f t="shared" si="131"/>
        <v>46.4</v>
      </c>
      <c r="R371" s="402">
        <f t="shared" si="132"/>
        <v>22.38</v>
      </c>
      <c r="S371" s="402">
        <v>15.68</v>
      </c>
      <c r="T371" s="402"/>
      <c r="U371" s="402">
        <v>6.7</v>
      </c>
      <c r="V371" s="402"/>
      <c r="W371" s="402"/>
      <c r="X371" s="402"/>
      <c r="Y371" s="402">
        <f t="shared" si="133"/>
        <v>24.02</v>
      </c>
      <c r="Z371" s="402">
        <v>4.02</v>
      </c>
      <c r="AA371" s="402"/>
      <c r="AB371" s="402"/>
      <c r="AC371" s="402"/>
      <c r="AD371" s="402"/>
      <c r="AE371" s="404">
        <v>20</v>
      </c>
      <c r="AF371" s="402">
        <f t="shared" si="134"/>
        <v>11.29</v>
      </c>
      <c r="AG371" s="402">
        <v>4.22</v>
      </c>
      <c r="AH371" s="402">
        <v>2.11</v>
      </c>
      <c r="AI371" s="402">
        <v>1.58</v>
      </c>
      <c r="AJ371" s="402">
        <v>0.05</v>
      </c>
      <c r="AK371" s="402">
        <v>0.16</v>
      </c>
      <c r="AL371" s="402">
        <v>3.17</v>
      </c>
      <c r="AM371" s="402"/>
      <c r="AN371" s="350"/>
      <c r="AO371" s="205">
        <f t="shared" si="116"/>
        <v>20</v>
      </c>
      <c r="AP371">
        <v>2</v>
      </c>
    </row>
    <row r="372" ht="24" hidden="1" spans="1:41">
      <c r="A372" s="284" t="s">
        <v>665</v>
      </c>
      <c r="B372" s="284" t="s">
        <v>199</v>
      </c>
      <c r="C372" s="284" t="s">
        <v>671</v>
      </c>
      <c r="D372" s="284" t="s">
        <v>670</v>
      </c>
      <c r="E372" s="402">
        <f t="shared" si="128"/>
        <v>23.15</v>
      </c>
      <c r="F372" s="402">
        <f t="shared" si="129"/>
        <v>0</v>
      </c>
      <c r="G372" s="402">
        <f t="shared" si="135"/>
        <v>0</v>
      </c>
      <c r="H372" s="402"/>
      <c r="I372" s="402"/>
      <c r="J372" s="402"/>
      <c r="K372" s="402"/>
      <c r="L372" s="402"/>
      <c r="M372" s="402">
        <f t="shared" si="130"/>
        <v>0</v>
      </c>
      <c r="N372" s="402"/>
      <c r="O372" s="402"/>
      <c r="P372" s="402"/>
      <c r="Q372" s="402">
        <f t="shared" si="131"/>
        <v>23.15</v>
      </c>
      <c r="R372" s="402">
        <f t="shared" si="132"/>
        <v>20.1</v>
      </c>
      <c r="S372" s="402">
        <v>15.01</v>
      </c>
      <c r="T372" s="402"/>
      <c r="U372" s="402">
        <v>5.09</v>
      </c>
      <c r="V372" s="402"/>
      <c r="W372" s="402"/>
      <c r="X372" s="402"/>
      <c r="Y372" s="402">
        <f t="shared" si="133"/>
        <v>3.05</v>
      </c>
      <c r="Z372" s="402">
        <v>3.05</v>
      </c>
      <c r="AA372" s="402"/>
      <c r="AB372" s="402"/>
      <c r="AC372" s="402"/>
      <c r="AD372" s="402"/>
      <c r="AE372" s="402"/>
      <c r="AF372" s="402">
        <f t="shared" si="134"/>
        <v>0</v>
      </c>
      <c r="AG372" s="402"/>
      <c r="AH372" s="402"/>
      <c r="AI372" s="402"/>
      <c r="AJ372" s="402"/>
      <c r="AK372" s="402"/>
      <c r="AL372" s="402"/>
      <c r="AM372" s="402"/>
      <c r="AN372" s="350"/>
      <c r="AO372" s="205">
        <f t="shared" si="116"/>
        <v>0</v>
      </c>
    </row>
    <row r="373" ht="24" hidden="1" spans="1:42">
      <c r="A373" s="284" t="s">
        <v>665</v>
      </c>
      <c r="B373" s="284" t="s">
        <v>199</v>
      </c>
      <c r="C373" s="284" t="s">
        <v>672</v>
      </c>
      <c r="D373" s="284" t="s">
        <v>670</v>
      </c>
      <c r="E373" s="402">
        <f t="shared" si="128"/>
        <v>359.4</v>
      </c>
      <c r="F373" s="402">
        <f t="shared" si="129"/>
        <v>0</v>
      </c>
      <c r="G373" s="402">
        <f t="shared" si="135"/>
        <v>0</v>
      </c>
      <c r="H373" s="402"/>
      <c r="I373" s="402"/>
      <c r="J373" s="402"/>
      <c r="K373" s="402"/>
      <c r="L373" s="402"/>
      <c r="M373" s="402">
        <f t="shared" si="130"/>
        <v>0</v>
      </c>
      <c r="N373" s="402"/>
      <c r="O373" s="402"/>
      <c r="P373" s="402"/>
      <c r="Q373" s="402">
        <f t="shared" si="131"/>
        <v>290.71</v>
      </c>
      <c r="R373" s="402">
        <f t="shared" si="132"/>
        <v>145.63</v>
      </c>
      <c r="S373" s="402">
        <v>104.26</v>
      </c>
      <c r="T373" s="402"/>
      <c r="U373" s="402">
        <v>35.13</v>
      </c>
      <c r="V373" s="402">
        <v>6.24</v>
      </c>
      <c r="W373" s="402"/>
      <c r="X373" s="402"/>
      <c r="Y373" s="402">
        <f t="shared" si="133"/>
        <v>145.08</v>
      </c>
      <c r="Z373" s="402">
        <v>21.08</v>
      </c>
      <c r="AA373" s="402"/>
      <c r="AB373" s="402"/>
      <c r="AC373" s="402"/>
      <c r="AD373" s="402"/>
      <c r="AE373" s="404">
        <v>124</v>
      </c>
      <c r="AF373" s="402">
        <f t="shared" si="134"/>
        <v>68.69</v>
      </c>
      <c r="AG373" s="402">
        <v>25.68</v>
      </c>
      <c r="AH373" s="402">
        <v>12.84</v>
      </c>
      <c r="AI373" s="402">
        <v>9.63</v>
      </c>
      <c r="AJ373" s="402">
        <v>0.32</v>
      </c>
      <c r="AK373" s="402">
        <v>0.96</v>
      </c>
      <c r="AL373" s="402">
        <v>19.26</v>
      </c>
      <c r="AM373" s="402"/>
      <c r="AN373" s="350"/>
      <c r="AO373" s="205">
        <f t="shared" si="116"/>
        <v>124</v>
      </c>
      <c r="AP373">
        <v>12</v>
      </c>
    </row>
    <row r="374" ht="24" hidden="1" spans="1:42">
      <c r="A374" s="284" t="s">
        <v>665</v>
      </c>
      <c r="B374" s="284" t="s">
        <v>199</v>
      </c>
      <c r="C374" s="284" t="s">
        <v>673</v>
      </c>
      <c r="D374" s="284" t="s">
        <v>670</v>
      </c>
      <c r="E374" s="402">
        <f t="shared" si="128"/>
        <v>42.85</v>
      </c>
      <c r="F374" s="402">
        <f t="shared" si="129"/>
        <v>0</v>
      </c>
      <c r="G374" s="402">
        <f t="shared" si="135"/>
        <v>0</v>
      </c>
      <c r="H374" s="402"/>
      <c r="I374" s="402"/>
      <c r="J374" s="402"/>
      <c r="K374" s="402"/>
      <c r="L374" s="402"/>
      <c r="M374" s="402">
        <f t="shared" si="130"/>
        <v>0</v>
      </c>
      <c r="N374" s="402"/>
      <c r="O374" s="402"/>
      <c r="P374" s="402"/>
      <c r="Q374" s="402">
        <f t="shared" si="131"/>
        <v>34.5</v>
      </c>
      <c r="R374" s="402">
        <f t="shared" si="132"/>
        <v>16.92</v>
      </c>
      <c r="S374" s="402">
        <v>12.62</v>
      </c>
      <c r="T374" s="402"/>
      <c r="U374" s="402">
        <v>4.3</v>
      </c>
      <c r="V374" s="402"/>
      <c r="W374" s="402"/>
      <c r="X374" s="402"/>
      <c r="Y374" s="402">
        <f t="shared" si="133"/>
        <v>17.58</v>
      </c>
      <c r="Z374" s="402">
        <v>2.58</v>
      </c>
      <c r="AA374" s="402"/>
      <c r="AB374" s="402"/>
      <c r="AC374" s="402"/>
      <c r="AD374" s="402"/>
      <c r="AE374" s="404">
        <v>15</v>
      </c>
      <c r="AF374" s="402">
        <f t="shared" si="134"/>
        <v>8.35</v>
      </c>
      <c r="AG374" s="402">
        <v>3.12</v>
      </c>
      <c r="AH374" s="402">
        <v>1.56</v>
      </c>
      <c r="AI374" s="402">
        <v>1.17</v>
      </c>
      <c r="AJ374" s="402">
        <v>0.04</v>
      </c>
      <c r="AK374" s="402">
        <v>0.12</v>
      </c>
      <c r="AL374" s="402">
        <v>2.34</v>
      </c>
      <c r="AM374" s="402"/>
      <c r="AN374" s="350"/>
      <c r="AO374" s="205">
        <f t="shared" si="116"/>
        <v>15</v>
      </c>
      <c r="AP374">
        <v>3</v>
      </c>
    </row>
    <row r="375" ht="24" hidden="1" spans="1:42">
      <c r="A375" s="284" t="s">
        <v>665</v>
      </c>
      <c r="B375" s="284" t="s">
        <v>199</v>
      </c>
      <c r="C375" s="284" t="s">
        <v>674</v>
      </c>
      <c r="D375" s="284" t="s">
        <v>670</v>
      </c>
      <c r="E375" s="402">
        <f t="shared" si="128"/>
        <v>91.75</v>
      </c>
      <c r="F375" s="402">
        <f t="shared" si="129"/>
        <v>0</v>
      </c>
      <c r="G375" s="402">
        <f t="shared" si="135"/>
        <v>0</v>
      </c>
      <c r="H375" s="402"/>
      <c r="I375" s="402"/>
      <c r="J375" s="402"/>
      <c r="K375" s="402"/>
      <c r="L375" s="402"/>
      <c r="M375" s="402">
        <f t="shared" si="130"/>
        <v>0</v>
      </c>
      <c r="N375" s="402"/>
      <c r="O375" s="402"/>
      <c r="P375" s="402"/>
      <c r="Q375" s="402">
        <f t="shared" si="131"/>
        <v>72.44</v>
      </c>
      <c r="R375" s="402">
        <f t="shared" si="132"/>
        <v>36.53</v>
      </c>
      <c r="S375" s="402">
        <v>26.68</v>
      </c>
      <c r="T375" s="402"/>
      <c r="U375" s="402">
        <v>9.85</v>
      </c>
      <c r="V375" s="402"/>
      <c r="W375" s="402"/>
      <c r="X375" s="402"/>
      <c r="Y375" s="402">
        <f t="shared" si="133"/>
        <v>35.91</v>
      </c>
      <c r="Z375" s="402">
        <v>5.91</v>
      </c>
      <c r="AA375" s="402"/>
      <c r="AB375" s="402"/>
      <c r="AC375" s="402"/>
      <c r="AD375" s="402"/>
      <c r="AE375" s="404">
        <v>30</v>
      </c>
      <c r="AF375" s="402">
        <f t="shared" si="134"/>
        <v>19.31</v>
      </c>
      <c r="AG375" s="402">
        <v>6.79</v>
      </c>
      <c r="AH375" s="402">
        <v>3.4</v>
      </c>
      <c r="AI375" s="402">
        <v>2.55</v>
      </c>
      <c r="AJ375" s="402">
        <v>0.08</v>
      </c>
      <c r="AK375" s="402">
        <v>0.25</v>
      </c>
      <c r="AL375" s="402">
        <v>5.09</v>
      </c>
      <c r="AM375" s="402">
        <v>1.15</v>
      </c>
      <c r="AN375" s="350"/>
      <c r="AO375" s="205">
        <f t="shared" si="116"/>
        <v>30</v>
      </c>
      <c r="AP375">
        <v>3</v>
      </c>
    </row>
    <row r="376" ht="24" hidden="1" spans="1:42">
      <c r="A376" s="284" t="s">
        <v>665</v>
      </c>
      <c r="B376" s="284" t="s">
        <v>199</v>
      </c>
      <c r="C376" s="284" t="s">
        <v>675</v>
      </c>
      <c r="D376" s="284" t="s">
        <v>670</v>
      </c>
      <c r="E376" s="402">
        <f t="shared" si="128"/>
        <v>49.2</v>
      </c>
      <c r="F376" s="402">
        <f t="shared" si="129"/>
        <v>0</v>
      </c>
      <c r="G376" s="402">
        <f t="shared" si="135"/>
        <v>0</v>
      </c>
      <c r="H376" s="402"/>
      <c r="I376" s="402"/>
      <c r="J376" s="402"/>
      <c r="K376" s="402"/>
      <c r="L376" s="402"/>
      <c r="M376" s="402">
        <f t="shared" si="130"/>
        <v>0</v>
      </c>
      <c r="N376" s="402"/>
      <c r="O376" s="402"/>
      <c r="P376" s="402"/>
      <c r="Q376" s="402">
        <f t="shared" si="131"/>
        <v>38.95</v>
      </c>
      <c r="R376" s="402">
        <f t="shared" si="132"/>
        <v>20.79</v>
      </c>
      <c r="S376" s="402">
        <v>15.52</v>
      </c>
      <c r="T376" s="402"/>
      <c r="U376" s="402">
        <v>5.27</v>
      </c>
      <c r="V376" s="402"/>
      <c r="W376" s="402"/>
      <c r="X376" s="402"/>
      <c r="Y376" s="402">
        <f t="shared" si="133"/>
        <v>18.16</v>
      </c>
      <c r="Z376" s="402">
        <v>3.16</v>
      </c>
      <c r="AA376" s="402"/>
      <c r="AB376" s="402"/>
      <c r="AC376" s="402"/>
      <c r="AD376" s="402"/>
      <c r="AE376" s="404">
        <v>15</v>
      </c>
      <c r="AF376" s="402">
        <f t="shared" si="134"/>
        <v>10.25</v>
      </c>
      <c r="AG376" s="402">
        <v>3.83</v>
      </c>
      <c r="AH376" s="402">
        <v>1.92</v>
      </c>
      <c r="AI376" s="402">
        <v>1.44</v>
      </c>
      <c r="AJ376" s="402">
        <v>0.05</v>
      </c>
      <c r="AK376" s="402">
        <v>0.14</v>
      </c>
      <c r="AL376" s="402">
        <v>2.87</v>
      </c>
      <c r="AM376" s="402"/>
      <c r="AN376" s="350"/>
      <c r="AO376" s="205">
        <f t="shared" si="116"/>
        <v>15</v>
      </c>
      <c r="AP376">
        <v>1.5</v>
      </c>
    </row>
    <row r="377" ht="24" hidden="1" spans="1:42">
      <c r="A377" s="284" t="s">
        <v>665</v>
      </c>
      <c r="B377" s="284" t="s">
        <v>199</v>
      </c>
      <c r="C377" s="284" t="s">
        <v>676</v>
      </c>
      <c r="D377" s="284" t="s">
        <v>670</v>
      </c>
      <c r="E377" s="402">
        <f t="shared" si="128"/>
        <v>81.91</v>
      </c>
      <c r="F377" s="402">
        <f t="shared" si="129"/>
        <v>0</v>
      </c>
      <c r="G377" s="402">
        <f t="shared" si="135"/>
        <v>0</v>
      </c>
      <c r="H377" s="402"/>
      <c r="I377" s="402"/>
      <c r="J377" s="402"/>
      <c r="K377" s="402"/>
      <c r="L377" s="402"/>
      <c r="M377" s="402">
        <f t="shared" si="130"/>
        <v>0</v>
      </c>
      <c r="N377" s="402"/>
      <c r="O377" s="402"/>
      <c r="P377" s="402"/>
      <c r="Q377" s="402">
        <f t="shared" si="131"/>
        <v>64.85</v>
      </c>
      <c r="R377" s="402">
        <f t="shared" si="132"/>
        <v>34.79</v>
      </c>
      <c r="S377" s="402">
        <v>25.74</v>
      </c>
      <c r="T377" s="402"/>
      <c r="U377" s="402">
        <v>8.43</v>
      </c>
      <c r="V377" s="402"/>
      <c r="W377" s="402"/>
      <c r="X377" s="402">
        <v>0.62</v>
      </c>
      <c r="Y377" s="402">
        <f t="shared" si="133"/>
        <v>30.06</v>
      </c>
      <c r="Z377" s="402">
        <v>5.06</v>
      </c>
      <c r="AA377" s="402"/>
      <c r="AB377" s="402"/>
      <c r="AC377" s="402"/>
      <c r="AD377" s="402"/>
      <c r="AE377" s="404">
        <v>25</v>
      </c>
      <c r="AF377" s="402">
        <f t="shared" si="134"/>
        <v>17.06</v>
      </c>
      <c r="AG377" s="402">
        <v>6.38</v>
      </c>
      <c r="AH377" s="402">
        <v>3.19</v>
      </c>
      <c r="AI377" s="402">
        <v>2.39</v>
      </c>
      <c r="AJ377" s="402">
        <v>0.08</v>
      </c>
      <c r="AK377" s="402">
        <v>0.24</v>
      </c>
      <c r="AL377" s="402">
        <v>4.78</v>
      </c>
      <c r="AM377" s="402"/>
      <c r="AN377" s="350"/>
      <c r="AO377" s="205">
        <f t="shared" si="116"/>
        <v>25</v>
      </c>
      <c r="AP377">
        <v>2.5</v>
      </c>
    </row>
    <row r="378" ht="24" hidden="1" spans="1:41">
      <c r="A378" s="284" t="s">
        <v>665</v>
      </c>
      <c r="B378" s="284" t="s">
        <v>199</v>
      </c>
      <c r="C378" s="284" t="s">
        <v>677</v>
      </c>
      <c r="D378" s="284" t="s">
        <v>670</v>
      </c>
      <c r="E378" s="402">
        <f t="shared" si="128"/>
        <v>41.02</v>
      </c>
      <c r="F378" s="402">
        <f t="shared" si="129"/>
        <v>0</v>
      </c>
      <c r="G378" s="402">
        <f t="shared" si="135"/>
        <v>0</v>
      </c>
      <c r="H378" s="402"/>
      <c r="I378" s="402"/>
      <c r="J378" s="402"/>
      <c r="K378" s="402"/>
      <c r="L378" s="402"/>
      <c r="M378" s="402">
        <f t="shared" si="130"/>
        <v>0</v>
      </c>
      <c r="N378" s="402"/>
      <c r="O378" s="402"/>
      <c r="P378" s="402"/>
      <c r="Q378" s="402">
        <f t="shared" si="131"/>
        <v>33.22</v>
      </c>
      <c r="R378" s="402">
        <f t="shared" si="132"/>
        <v>15.62</v>
      </c>
      <c r="S378" s="402">
        <v>11.29</v>
      </c>
      <c r="T378" s="402"/>
      <c r="U378" s="402">
        <v>4.33</v>
      </c>
      <c r="V378" s="402"/>
      <c r="W378" s="402"/>
      <c r="X378" s="402"/>
      <c r="Y378" s="402">
        <f t="shared" si="133"/>
        <v>17.6</v>
      </c>
      <c r="Z378" s="402">
        <v>2.6</v>
      </c>
      <c r="AA378" s="402"/>
      <c r="AB378" s="402"/>
      <c r="AC378" s="402"/>
      <c r="AD378" s="402"/>
      <c r="AE378" s="404">
        <v>15</v>
      </c>
      <c r="AF378" s="402">
        <f t="shared" si="134"/>
        <v>7.8</v>
      </c>
      <c r="AG378" s="402">
        <v>2.91</v>
      </c>
      <c r="AH378" s="402">
        <v>1.46</v>
      </c>
      <c r="AI378" s="402">
        <v>1.09</v>
      </c>
      <c r="AJ378" s="402">
        <v>0.04</v>
      </c>
      <c r="AK378" s="402">
        <v>0.11</v>
      </c>
      <c r="AL378" s="402">
        <v>2.19</v>
      </c>
      <c r="AM378" s="402"/>
      <c r="AN378" s="350"/>
      <c r="AO378" s="205">
        <f t="shared" si="116"/>
        <v>15</v>
      </c>
    </row>
    <row r="379" ht="24" hidden="1" spans="1:42">
      <c r="A379" s="284" t="s">
        <v>665</v>
      </c>
      <c r="B379" s="284" t="s">
        <v>199</v>
      </c>
      <c r="C379" s="284" t="s">
        <v>678</v>
      </c>
      <c r="D379" s="284" t="s">
        <v>670</v>
      </c>
      <c r="E379" s="402">
        <f t="shared" si="128"/>
        <v>42.89</v>
      </c>
      <c r="F379" s="402">
        <f t="shared" si="129"/>
        <v>0</v>
      </c>
      <c r="G379" s="402">
        <f t="shared" si="135"/>
        <v>0</v>
      </c>
      <c r="H379" s="402"/>
      <c r="I379" s="402"/>
      <c r="J379" s="402"/>
      <c r="K379" s="402"/>
      <c r="L379" s="402"/>
      <c r="M379" s="402">
        <f t="shared" si="130"/>
        <v>0</v>
      </c>
      <c r="N379" s="402"/>
      <c r="O379" s="402"/>
      <c r="P379" s="402"/>
      <c r="Q379" s="402">
        <f t="shared" si="131"/>
        <v>34.53</v>
      </c>
      <c r="R379" s="402">
        <f t="shared" si="132"/>
        <v>17.2</v>
      </c>
      <c r="S379" s="402">
        <v>13.31</v>
      </c>
      <c r="T379" s="402"/>
      <c r="U379" s="402">
        <v>3.89</v>
      </c>
      <c r="V379" s="402"/>
      <c r="W379" s="402"/>
      <c r="X379" s="402"/>
      <c r="Y379" s="402">
        <f t="shared" si="133"/>
        <v>17.33</v>
      </c>
      <c r="Z379" s="402">
        <v>2.33</v>
      </c>
      <c r="AA379" s="402"/>
      <c r="AB379" s="402"/>
      <c r="AC379" s="402"/>
      <c r="AD379" s="402"/>
      <c r="AE379" s="404">
        <v>15</v>
      </c>
      <c r="AF379" s="402">
        <f t="shared" si="134"/>
        <v>8.36</v>
      </c>
      <c r="AG379" s="402">
        <v>3.13</v>
      </c>
      <c r="AH379" s="402">
        <v>1.56</v>
      </c>
      <c r="AI379" s="402">
        <v>1.17</v>
      </c>
      <c r="AJ379" s="402">
        <v>0.04</v>
      </c>
      <c r="AK379" s="402">
        <v>0.12</v>
      </c>
      <c r="AL379" s="402">
        <v>2.34</v>
      </c>
      <c r="AM379" s="402"/>
      <c r="AN379" s="350"/>
      <c r="AO379" s="205">
        <f t="shared" si="116"/>
        <v>15</v>
      </c>
      <c r="AP379">
        <v>1.5</v>
      </c>
    </row>
    <row r="380" ht="24" hidden="1" spans="1:42">
      <c r="A380" s="284" t="s">
        <v>665</v>
      </c>
      <c r="B380" s="284" t="s">
        <v>199</v>
      </c>
      <c r="C380" s="284" t="s">
        <v>679</v>
      </c>
      <c r="D380" s="284" t="s">
        <v>670</v>
      </c>
      <c r="E380" s="402">
        <f t="shared" si="128"/>
        <v>1024.43</v>
      </c>
      <c r="F380" s="402">
        <f t="shared" si="129"/>
        <v>0</v>
      </c>
      <c r="G380" s="402">
        <f t="shared" si="135"/>
        <v>0</v>
      </c>
      <c r="H380" s="402"/>
      <c r="I380" s="402"/>
      <c r="J380" s="402"/>
      <c r="K380" s="402"/>
      <c r="L380" s="402"/>
      <c r="M380" s="402">
        <f t="shared" si="130"/>
        <v>0</v>
      </c>
      <c r="N380" s="402"/>
      <c r="O380" s="402"/>
      <c r="P380" s="402"/>
      <c r="Q380" s="402">
        <f t="shared" si="131"/>
        <v>819.63</v>
      </c>
      <c r="R380" s="402">
        <f t="shared" si="132"/>
        <v>430.43</v>
      </c>
      <c r="S380" s="402">
        <v>312.6</v>
      </c>
      <c r="T380" s="402"/>
      <c r="U380" s="402">
        <v>103.67</v>
      </c>
      <c r="V380" s="402">
        <v>14.16</v>
      </c>
      <c r="W380" s="402"/>
      <c r="X380" s="402"/>
      <c r="Y380" s="402">
        <f t="shared" si="133"/>
        <v>389.2</v>
      </c>
      <c r="Z380" s="402">
        <v>62.2</v>
      </c>
      <c r="AA380" s="402"/>
      <c r="AB380" s="402"/>
      <c r="AC380" s="402"/>
      <c r="AD380" s="402"/>
      <c r="AE380" s="402">
        <v>327</v>
      </c>
      <c r="AF380" s="402">
        <f t="shared" si="134"/>
        <v>204.8</v>
      </c>
      <c r="AG380" s="402">
        <v>76.56</v>
      </c>
      <c r="AH380" s="402">
        <v>38.28</v>
      </c>
      <c r="AI380" s="402">
        <v>28.71</v>
      </c>
      <c r="AJ380" s="402">
        <v>0.96</v>
      </c>
      <c r="AK380" s="402">
        <v>2.87</v>
      </c>
      <c r="AL380" s="402">
        <v>57.42</v>
      </c>
      <c r="AM380" s="402"/>
      <c r="AN380" s="350"/>
      <c r="AO380" s="205">
        <f t="shared" si="116"/>
        <v>327</v>
      </c>
      <c r="AP380">
        <v>37.29</v>
      </c>
    </row>
    <row r="381" ht="24" hidden="1" spans="1:41">
      <c r="A381" s="284" t="s">
        <v>665</v>
      </c>
      <c r="B381" s="284" t="s">
        <v>199</v>
      </c>
      <c r="C381" s="284" t="s">
        <v>680</v>
      </c>
      <c r="D381" s="284" t="s">
        <v>681</v>
      </c>
      <c r="E381" s="402">
        <f t="shared" si="128"/>
        <v>90.15</v>
      </c>
      <c r="F381" s="402">
        <f t="shared" si="129"/>
        <v>0</v>
      </c>
      <c r="G381" s="402">
        <f t="shared" si="135"/>
        <v>0</v>
      </c>
      <c r="H381" s="402"/>
      <c r="I381" s="402"/>
      <c r="J381" s="402"/>
      <c r="K381" s="402"/>
      <c r="L381" s="402"/>
      <c r="M381" s="402">
        <f t="shared" si="130"/>
        <v>0</v>
      </c>
      <c r="N381" s="402"/>
      <c r="O381" s="402"/>
      <c r="P381" s="402"/>
      <c r="Q381" s="402">
        <f t="shared" si="131"/>
        <v>90.15</v>
      </c>
      <c r="R381" s="402">
        <f t="shared" si="132"/>
        <v>90.15</v>
      </c>
      <c r="S381" s="402">
        <v>68.29</v>
      </c>
      <c r="T381" s="402"/>
      <c r="U381" s="402">
        <v>21.86</v>
      </c>
      <c r="V381" s="402"/>
      <c r="W381" s="402"/>
      <c r="X381" s="402"/>
      <c r="Y381" s="402">
        <f t="shared" si="133"/>
        <v>0</v>
      </c>
      <c r="Z381" s="404">
        <v>0</v>
      </c>
      <c r="AA381" s="402"/>
      <c r="AB381" s="402"/>
      <c r="AC381" s="402"/>
      <c r="AD381" s="402"/>
      <c r="AE381" s="402"/>
      <c r="AF381" s="402">
        <f t="shared" si="134"/>
        <v>0</v>
      </c>
      <c r="AG381" s="402"/>
      <c r="AH381" s="402"/>
      <c r="AI381" s="402"/>
      <c r="AJ381" s="402"/>
      <c r="AK381" s="402"/>
      <c r="AL381" s="402"/>
      <c r="AM381" s="402"/>
      <c r="AN381" s="350"/>
      <c r="AO381" s="205">
        <f t="shared" si="116"/>
        <v>0</v>
      </c>
    </row>
    <row r="382" ht="24" hidden="1" spans="1:42">
      <c r="A382" s="284" t="s">
        <v>640</v>
      </c>
      <c r="B382" s="284" t="s">
        <v>196</v>
      </c>
      <c r="C382" s="284" t="s">
        <v>682</v>
      </c>
      <c r="D382" s="284" t="s">
        <v>683</v>
      </c>
      <c r="E382" s="402">
        <f t="shared" si="128"/>
        <v>103.84</v>
      </c>
      <c r="F382" s="402">
        <f t="shared" si="129"/>
        <v>82.18</v>
      </c>
      <c r="G382" s="402">
        <f t="shared" si="135"/>
        <v>52.18</v>
      </c>
      <c r="H382" s="402">
        <v>30.26</v>
      </c>
      <c r="I382" s="402">
        <v>19.4</v>
      </c>
      <c r="J382" s="402">
        <v>2.52</v>
      </c>
      <c r="K382" s="402"/>
      <c r="L382" s="402"/>
      <c r="M382" s="402">
        <f t="shared" si="130"/>
        <v>30</v>
      </c>
      <c r="N382" s="402"/>
      <c r="O382" s="402"/>
      <c r="P382" s="402">
        <v>30</v>
      </c>
      <c r="Q382" s="402">
        <f t="shared" si="131"/>
        <v>0</v>
      </c>
      <c r="R382" s="402">
        <f t="shared" si="132"/>
        <v>0</v>
      </c>
      <c r="S382" s="402"/>
      <c r="T382" s="402"/>
      <c r="U382" s="402"/>
      <c r="V382" s="402"/>
      <c r="W382" s="402"/>
      <c r="X382" s="402"/>
      <c r="Y382" s="402">
        <f t="shared" si="133"/>
        <v>0</v>
      </c>
      <c r="Z382" s="402"/>
      <c r="AA382" s="402"/>
      <c r="AB382" s="402"/>
      <c r="AC382" s="402"/>
      <c r="AD382" s="402"/>
      <c r="AE382" s="402"/>
      <c r="AF382" s="402">
        <f t="shared" si="134"/>
        <v>21.66</v>
      </c>
      <c r="AG382" s="402">
        <v>8.35</v>
      </c>
      <c r="AH382" s="402">
        <v>3.97</v>
      </c>
      <c r="AI382" s="402">
        <v>2.98</v>
      </c>
      <c r="AJ382" s="402">
        <v>0.1</v>
      </c>
      <c r="AK382" s="402">
        <v>0.3</v>
      </c>
      <c r="AL382" s="402">
        <v>5.96</v>
      </c>
      <c r="AM382" s="402"/>
      <c r="AN382" s="350"/>
      <c r="AO382" s="205">
        <f t="shared" si="116"/>
        <v>30</v>
      </c>
      <c r="AP382">
        <v>10.365</v>
      </c>
    </row>
    <row r="383" ht="24" hidden="1" spans="1:42">
      <c r="A383" s="284" t="s">
        <v>640</v>
      </c>
      <c r="B383" s="284" t="s">
        <v>199</v>
      </c>
      <c r="C383" s="284" t="s">
        <v>684</v>
      </c>
      <c r="D383" s="284" t="s">
        <v>685</v>
      </c>
      <c r="E383" s="402">
        <f t="shared" si="128"/>
        <v>131.95</v>
      </c>
      <c r="F383" s="402">
        <f t="shared" si="129"/>
        <v>0</v>
      </c>
      <c r="G383" s="402">
        <f t="shared" si="135"/>
        <v>0</v>
      </c>
      <c r="H383" s="402"/>
      <c r="I383" s="402"/>
      <c r="J383" s="402"/>
      <c r="K383" s="402"/>
      <c r="L383" s="402"/>
      <c r="M383" s="402">
        <f t="shared" si="130"/>
        <v>0</v>
      </c>
      <c r="N383" s="402"/>
      <c r="O383" s="402"/>
      <c r="P383" s="402"/>
      <c r="Q383" s="402">
        <f t="shared" si="131"/>
        <v>105.89</v>
      </c>
      <c r="R383" s="402">
        <f t="shared" si="132"/>
        <v>52.33</v>
      </c>
      <c r="S383" s="402">
        <v>38.07</v>
      </c>
      <c r="T383" s="402"/>
      <c r="U383" s="402">
        <v>14.26</v>
      </c>
      <c r="V383" s="402"/>
      <c r="W383" s="402"/>
      <c r="X383" s="402"/>
      <c r="Y383" s="402">
        <f t="shared" si="133"/>
        <v>53.56</v>
      </c>
      <c r="Z383" s="402">
        <v>8.56</v>
      </c>
      <c r="AA383" s="402"/>
      <c r="AB383" s="402"/>
      <c r="AC383" s="402"/>
      <c r="AD383" s="402"/>
      <c r="AE383" s="402">
        <v>45</v>
      </c>
      <c r="AF383" s="402">
        <f t="shared" si="134"/>
        <v>26.06</v>
      </c>
      <c r="AG383" s="402">
        <v>9.74</v>
      </c>
      <c r="AH383" s="402">
        <v>4.87</v>
      </c>
      <c r="AI383" s="402">
        <v>3.65</v>
      </c>
      <c r="AJ383" s="402">
        <v>0.12</v>
      </c>
      <c r="AK383" s="402">
        <v>0.37</v>
      </c>
      <c r="AL383" s="402">
        <v>7.31</v>
      </c>
      <c r="AM383" s="402"/>
      <c r="AN383" s="350"/>
      <c r="AO383" s="205">
        <f t="shared" si="116"/>
        <v>45</v>
      </c>
      <c r="AP383">
        <v>4.67</v>
      </c>
    </row>
    <row r="384" ht="24" hidden="1" spans="1:42">
      <c r="A384" s="284" t="s">
        <v>640</v>
      </c>
      <c r="B384" s="284" t="s">
        <v>199</v>
      </c>
      <c r="C384" s="284" t="s">
        <v>686</v>
      </c>
      <c r="D384" s="284" t="s">
        <v>685</v>
      </c>
      <c r="E384" s="402">
        <f t="shared" si="128"/>
        <v>39.19</v>
      </c>
      <c r="F384" s="402">
        <f t="shared" si="129"/>
        <v>0</v>
      </c>
      <c r="G384" s="402">
        <f t="shared" si="135"/>
        <v>0</v>
      </c>
      <c r="H384" s="402"/>
      <c r="I384" s="402"/>
      <c r="J384" s="402"/>
      <c r="K384" s="402"/>
      <c r="L384" s="402"/>
      <c r="M384" s="402">
        <f t="shared" si="130"/>
        <v>0</v>
      </c>
      <c r="N384" s="402"/>
      <c r="O384" s="402"/>
      <c r="P384" s="402"/>
      <c r="Q384" s="402">
        <f t="shared" si="131"/>
        <v>31.94</v>
      </c>
      <c r="R384" s="402">
        <f t="shared" si="132"/>
        <v>14.3</v>
      </c>
      <c r="S384" s="402">
        <v>9.89</v>
      </c>
      <c r="T384" s="402"/>
      <c r="U384" s="402">
        <v>4.41</v>
      </c>
      <c r="V384" s="402"/>
      <c r="W384" s="402"/>
      <c r="X384" s="402"/>
      <c r="Y384" s="402">
        <f t="shared" si="133"/>
        <v>17.64</v>
      </c>
      <c r="Z384" s="402">
        <v>2.64</v>
      </c>
      <c r="AA384" s="402"/>
      <c r="AB384" s="402"/>
      <c r="AC384" s="402"/>
      <c r="AD384" s="402"/>
      <c r="AE384" s="402">
        <v>15</v>
      </c>
      <c r="AF384" s="402">
        <f t="shared" si="134"/>
        <v>7.25</v>
      </c>
      <c r="AG384" s="402">
        <v>2.71</v>
      </c>
      <c r="AH384" s="402">
        <v>1.36</v>
      </c>
      <c r="AI384" s="402">
        <v>1.02</v>
      </c>
      <c r="AJ384" s="402">
        <v>0.03</v>
      </c>
      <c r="AK384" s="402">
        <v>0.1</v>
      </c>
      <c r="AL384" s="402">
        <v>2.03</v>
      </c>
      <c r="AM384" s="402"/>
      <c r="AN384" s="350"/>
      <c r="AO384" s="205">
        <f t="shared" si="116"/>
        <v>15</v>
      </c>
      <c r="AP384">
        <v>1.84</v>
      </c>
    </row>
    <row r="385" ht="24" hidden="1" spans="1:42">
      <c r="A385" s="284" t="s">
        <v>640</v>
      </c>
      <c r="B385" s="284" t="s">
        <v>199</v>
      </c>
      <c r="C385" s="284" t="s">
        <v>687</v>
      </c>
      <c r="D385" s="284" t="s">
        <v>685</v>
      </c>
      <c r="E385" s="402">
        <f t="shared" si="128"/>
        <v>315.18</v>
      </c>
      <c r="F385" s="402">
        <f t="shared" si="129"/>
        <v>0</v>
      </c>
      <c r="G385" s="402">
        <f t="shared" si="135"/>
        <v>0</v>
      </c>
      <c r="H385" s="402"/>
      <c r="I385" s="402"/>
      <c r="J385" s="402"/>
      <c r="K385" s="402"/>
      <c r="L385" s="402"/>
      <c r="M385" s="402">
        <f t="shared" si="130"/>
        <v>0</v>
      </c>
      <c r="N385" s="402"/>
      <c r="O385" s="402"/>
      <c r="P385" s="402"/>
      <c r="Q385" s="402">
        <f t="shared" si="131"/>
        <v>254.88</v>
      </c>
      <c r="R385" s="402">
        <f t="shared" si="132"/>
        <v>120.11</v>
      </c>
      <c r="S385" s="402">
        <v>85.5</v>
      </c>
      <c r="T385" s="402"/>
      <c r="U385" s="402">
        <v>34.61</v>
      </c>
      <c r="V385" s="402"/>
      <c r="W385" s="402"/>
      <c r="X385" s="402"/>
      <c r="Y385" s="402">
        <f t="shared" si="133"/>
        <v>134.77</v>
      </c>
      <c r="Z385" s="402">
        <v>20.77</v>
      </c>
      <c r="AA385" s="402"/>
      <c r="AB385" s="402"/>
      <c r="AC385" s="402"/>
      <c r="AD385" s="402"/>
      <c r="AE385" s="402">
        <v>114</v>
      </c>
      <c r="AF385" s="402">
        <f t="shared" si="134"/>
        <v>60.3</v>
      </c>
      <c r="AG385" s="402">
        <v>22.54</v>
      </c>
      <c r="AH385" s="402">
        <v>11.27</v>
      </c>
      <c r="AI385" s="402">
        <v>8.45</v>
      </c>
      <c r="AJ385" s="402">
        <v>0.28</v>
      </c>
      <c r="AK385" s="402">
        <v>0.85</v>
      </c>
      <c r="AL385" s="402">
        <v>16.91</v>
      </c>
      <c r="AM385" s="402"/>
      <c r="AN385" s="350"/>
      <c r="AO385" s="205">
        <f t="shared" si="116"/>
        <v>114</v>
      </c>
      <c r="AP385">
        <v>13.21</v>
      </c>
    </row>
    <row r="386" ht="24" hidden="1" spans="1:42">
      <c r="A386" s="284" t="s">
        <v>640</v>
      </c>
      <c r="B386" s="284" t="s">
        <v>199</v>
      </c>
      <c r="C386" s="284" t="s">
        <v>688</v>
      </c>
      <c r="D386" s="284" t="s">
        <v>685</v>
      </c>
      <c r="E386" s="402">
        <f t="shared" si="128"/>
        <v>142.69</v>
      </c>
      <c r="F386" s="402">
        <f t="shared" si="129"/>
        <v>0</v>
      </c>
      <c r="G386" s="402">
        <f t="shared" si="135"/>
        <v>0</v>
      </c>
      <c r="H386" s="402"/>
      <c r="I386" s="402"/>
      <c r="J386" s="402"/>
      <c r="K386" s="402"/>
      <c r="L386" s="402"/>
      <c r="M386" s="402">
        <f t="shared" si="130"/>
        <v>0</v>
      </c>
      <c r="N386" s="402"/>
      <c r="O386" s="402"/>
      <c r="P386" s="402"/>
      <c r="Q386" s="402">
        <f t="shared" si="131"/>
        <v>116.11</v>
      </c>
      <c r="R386" s="402">
        <f t="shared" si="132"/>
        <v>52.97</v>
      </c>
      <c r="S386" s="402">
        <v>37.74</v>
      </c>
      <c r="T386" s="402"/>
      <c r="U386" s="402">
        <v>15.23</v>
      </c>
      <c r="V386" s="402"/>
      <c r="W386" s="402"/>
      <c r="X386" s="402"/>
      <c r="Y386" s="402">
        <f t="shared" si="133"/>
        <v>63.14</v>
      </c>
      <c r="Z386" s="402">
        <v>9.14</v>
      </c>
      <c r="AA386" s="402"/>
      <c r="AB386" s="402"/>
      <c r="AC386" s="402"/>
      <c r="AD386" s="402"/>
      <c r="AE386" s="402">
        <v>54</v>
      </c>
      <c r="AF386" s="402">
        <f t="shared" si="134"/>
        <v>26.58</v>
      </c>
      <c r="AG386" s="402">
        <v>9.94</v>
      </c>
      <c r="AH386" s="402">
        <v>4.97</v>
      </c>
      <c r="AI386" s="402">
        <v>3.73</v>
      </c>
      <c r="AJ386" s="402">
        <v>0.12</v>
      </c>
      <c r="AK386" s="402">
        <v>0.37</v>
      </c>
      <c r="AL386" s="402">
        <v>7.45</v>
      </c>
      <c r="AM386" s="402"/>
      <c r="AN386" s="350"/>
      <c r="AO386" s="205">
        <f t="shared" si="116"/>
        <v>54</v>
      </c>
      <c r="AP386">
        <v>5.69</v>
      </c>
    </row>
    <row r="387" ht="24" hidden="1" spans="1:42">
      <c r="A387" s="284" t="s">
        <v>640</v>
      </c>
      <c r="B387" s="284" t="s">
        <v>199</v>
      </c>
      <c r="C387" s="284" t="s">
        <v>689</v>
      </c>
      <c r="D387" s="284" t="s">
        <v>685</v>
      </c>
      <c r="E387" s="402">
        <f t="shared" si="128"/>
        <v>82.69</v>
      </c>
      <c r="F387" s="402">
        <f t="shared" si="129"/>
        <v>0</v>
      </c>
      <c r="G387" s="402">
        <f t="shared" si="135"/>
        <v>0</v>
      </c>
      <c r="H387" s="402"/>
      <c r="I387" s="402"/>
      <c r="J387" s="402"/>
      <c r="K387" s="402"/>
      <c r="L387" s="402"/>
      <c r="M387" s="402">
        <f t="shared" si="130"/>
        <v>0</v>
      </c>
      <c r="N387" s="402"/>
      <c r="O387" s="402"/>
      <c r="P387" s="402"/>
      <c r="Q387" s="402">
        <f t="shared" si="131"/>
        <v>68.4</v>
      </c>
      <c r="R387" s="402">
        <f t="shared" si="132"/>
        <v>28.09</v>
      </c>
      <c r="S387" s="402">
        <v>19.24</v>
      </c>
      <c r="T387" s="402"/>
      <c r="U387" s="402">
        <v>8.85</v>
      </c>
      <c r="V387" s="402"/>
      <c r="W387" s="402"/>
      <c r="X387" s="402"/>
      <c r="Y387" s="402">
        <f t="shared" si="133"/>
        <v>40.31</v>
      </c>
      <c r="Z387" s="402">
        <v>5.31</v>
      </c>
      <c r="AA387" s="402"/>
      <c r="AB387" s="402"/>
      <c r="AC387" s="402"/>
      <c r="AD387" s="402"/>
      <c r="AE387" s="402">
        <v>35</v>
      </c>
      <c r="AF387" s="402">
        <f t="shared" si="134"/>
        <v>14.29</v>
      </c>
      <c r="AG387" s="402">
        <v>5.34</v>
      </c>
      <c r="AH387" s="402">
        <v>2.67</v>
      </c>
      <c r="AI387" s="402">
        <v>2</v>
      </c>
      <c r="AJ387" s="402">
        <v>0.07</v>
      </c>
      <c r="AK387" s="402">
        <v>0.2</v>
      </c>
      <c r="AL387" s="402">
        <v>4.01</v>
      </c>
      <c r="AM387" s="402"/>
      <c r="AN387" s="350"/>
      <c r="AO387" s="205">
        <f t="shared" si="116"/>
        <v>35</v>
      </c>
      <c r="AP387">
        <v>3.5</v>
      </c>
    </row>
    <row r="388" ht="36" hidden="1" spans="1:42">
      <c r="A388" s="284" t="s">
        <v>640</v>
      </c>
      <c r="B388" s="284" t="s">
        <v>518</v>
      </c>
      <c r="C388" s="284" t="s">
        <v>690</v>
      </c>
      <c r="D388" s="284" t="s">
        <v>691</v>
      </c>
      <c r="E388" s="402">
        <f t="shared" si="128"/>
        <v>69.11</v>
      </c>
      <c r="F388" s="402">
        <f t="shared" si="129"/>
        <v>0</v>
      </c>
      <c r="G388" s="402">
        <f t="shared" si="135"/>
        <v>0</v>
      </c>
      <c r="H388" s="402"/>
      <c r="I388" s="402"/>
      <c r="J388" s="402"/>
      <c r="K388" s="402"/>
      <c r="L388" s="402"/>
      <c r="M388" s="402">
        <f t="shared" si="130"/>
        <v>0</v>
      </c>
      <c r="N388" s="402"/>
      <c r="O388" s="402"/>
      <c r="P388" s="402"/>
      <c r="Q388" s="402">
        <f t="shared" si="131"/>
        <v>55.89</v>
      </c>
      <c r="R388" s="402">
        <f t="shared" si="132"/>
        <v>26.78</v>
      </c>
      <c r="S388" s="402">
        <v>19.92</v>
      </c>
      <c r="T388" s="402"/>
      <c r="U388" s="402">
        <v>6.86</v>
      </c>
      <c r="V388" s="402"/>
      <c r="W388" s="402"/>
      <c r="X388" s="402"/>
      <c r="Y388" s="402">
        <f t="shared" si="133"/>
        <v>29.11</v>
      </c>
      <c r="Z388" s="402">
        <v>4.11</v>
      </c>
      <c r="AA388" s="402"/>
      <c r="AB388" s="402"/>
      <c r="AC388" s="402"/>
      <c r="AD388" s="402"/>
      <c r="AE388" s="402">
        <v>25</v>
      </c>
      <c r="AF388" s="402">
        <f t="shared" si="134"/>
        <v>13.22</v>
      </c>
      <c r="AG388" s="402">
        <v>4.94</v>
      </c>
      <c r="AH388" s="402">
        <v>2.47</v>
      </c>
      <c r="AI388" s="402">
        <v>1.85</v>
      </c>
      <c r="AJ388" s="402">
        <v>0.06</v>
      </c>
      <c r="AK388" s="402">
        <v>0.19</v>
      </c>
      <c r="AL388" s="402">
        <v>3.71</v>
      </c>
      <c r="AM388" s="402"/>
      <c r="AN388" s="350"/>
      <c r="AO388" s="205">
        <f t="shared" si="116"/>
        <v>25</v>
      </c>
      <c r="AP388">
        <v>5.56</v>
      </c>
    </row>
    <row r="389" ht="36" hidden="1" spans="1:42">
      <c r="A389" s="284" t="s">
        <v>640</v>
      </c>
      <c r="B389" s="284" t="s">
        <v>518</v>
      </c>
      <c r="C389" s="284" t="s">
        <v>692</v>
      </c>
      <c r="D389" s="284" t="s">
        <v>691</v>
      </c>
      <c r="E389" s="402">
        <f t="shared" si="128"/>
        <v>16.07</v>
      </c>
      <c r="F389" s="402">
        <f t="shared" si="129"/>
        <v>0</v>
      </c>
      <c r="G389" s="402">
        <f t="shared" si="135"/>
        <v>0</v>
      </c>
      <c r="H389" s="402"/>
      <c r="I389" s="402"/>
      <c r="J389" s="402"/>
      <c r="K389" s="402"/>
      <c r="L389" s="402"/>
      <c r="M389" s="402">
        <f t="shared" si="130"/>
        <v>0</v>
      </c>
      <c r="N389" s="402"/>
      <c r="O389" s="402"/>
      <c r="P389" s="402"/>
      <c r="Q389" s="402">
        <f t="shared" si="131"/>
        <v>16.07</v>
      </c>
      <c r="R389" s="402">
        <f t="shared" si="132"/>
        <v>0</v>
      </c>
      <c r="S389" s="402"/>
      <c r="T389" s="402"/>
      <c r="U389" s="402"/>
      <c r="V389" s="402"/>
      <c r="W389" s="402"/>
      <c r="X389" s="402"/>
      <c r="Y389" s="402">
        <f t="shared" si="133"/>
        <v>16.07</v>
      </c>
      <c r="Z389" s="402"/>
      <c r="AA389" s="402">
        <v>16.07</v>
      </c>
      <c r="AB389" s="402"/>
      <c r="AC389" s="402"/>
      <c r="AD389" s="402"/>
      <c r="AE389" s="402"/>
      <c r="AF389" s="402">
        <f t="shared" si="134"/>
        <v>0</v>
      </c>
      <c r="AG389" s="402"/>
      <c r="AH389" s="402"/>
      <c r="AI389" s="402"/>
      <c r="AJ389" s="402"/>
      <c r="AK389" s="402"/>
      <c r="AL389" s="402"/>
      <c r="AM389" s="402"/>
      <c r="AN389" s="350"/>
      <c r="AO389" s="205">
        <f t="shared" si="116"/>
        <v>0</v>
      </c>
      <c r="AP389">
        <v>0.9</v>
      </c>
    </row>
    <row r="390" s="311" customFormat="1" ht="21" customHeight="1" spans="1:44">
      <c r="A390" s="328"/>
      <c r="B390" s="328"/>
      <c r="C390" s="328" t="s">
        <v>142</v>
      </c>
      <c r="D390" s="329">
        <v>214</v>
      </c>
      <c r="E390" s="401">
        <f t="shared" ref="E390:P390" si="136">SUM(E391:E398)</f>
        <v>1077.23</v>
      </c>
      <c r="F390" s="401">
        <f t="shared" si="136"/>
        <v>261.22</v>
      </c>
      <c r="G390" s="401">
        <f t="shared" si="136"/>
        <v>153.22</v>
      </c>
      <c r="H390" s="401">
        <f t="shared" si="136"/>
        <v>86.13</v>
      </c>
      <c r="I390" s="401">
        <f t="shared" si="136"/>
        <v>59.91</v>
      </c>
      <c r="J390" s="401">
        <f t="shared" si="136"/>
        <v>7.18</v>
      </c>
      <c r="K390" s="401">
        <f t="shared" si="136"/>
        <v>0</v>
      </c>
      <c r="L390" s="401">
        <f t="shared" si="136"/>
        <v>0</v>
      </c>
      <c r="M390" s="401">
        <f t="shared" si="136"/>
        <v>108</v>
      </c>
      <c r="N390" s="401">
        <f t="shared" si="136"/>
        <v>0</v>
      </c>
      <c r="O390" s="401">
        <f t="shared" si="136"/>
        <v>0</v>
      </c>
      <c r="P390" s="401">
        <f t="shared" si="136"/>
        <v>108</v>
      </c>
      <c r="Q390" s="401">
        <f t="shared" ref="Q390:AE390" si="137">SUM(Q391:Q398)</f>
        <v>608.75</v>
      </c>
      <c r="R390" s="401">
        <f t="shared" si="137"/>
        <v>272.55</v>
      </c>
      <c r="S390" s="401">
        <f t="shared" si="137"/>
        <v>196.17</v>
      </c>
      <c r="T390" s="401">
        <f t="shared" si="137"/>
        <v>22.12</v>
      </c>
      <c r="U390" s="401">
        <f t="shared" si="137"/>
        <v>54.26</v>
      </c>
      <c r="V390" s="401">
        <f t="shared" si="137"/>
        <v>0</v>
      </c>
      <c r="W390" s="401">
        <f t="shared" si="137"/>
        <v>0</v>
      </c>
      <c r="X390" s="401">
        <f t="shared" si="137"/>
        <v>0</v>
      </c>
      <c r="Y390" s="401">
        <f t="shared" si="137"/>
        <v>336.2</v>
      </c>
      <c r="Z390" s="401">
        <f t="shared" si="137"/>
        <v>45.49</v>
      </c>
      <c r="AA390" s="401">
        <f t="shared" si="137"/>
        <v>0</v>
      </c>
      <c r="AB390" s="401">
        <f t="shared" si="137"/>
        <v>29.71</v>
      </c>
      <c r="AC390" s="401">
        <f t="shared" si="137"/>
        <v>0</v>
      </c>
      <c r="AD390" s="401">
        <f t="shared" si="137"/>
        <v>0</v>
      </c>
      <c r="AE390" s="401">
        <f t="shared" si="137"/>
        <v>261</v>
      </c>
      <c r="AF390" s="401">
        <f t="shared" ref="AF390:AM390" si="138">SUM(AF391:AF398)</f>
        <v>207.26</v>
      </c>
      <c r="AG390" s="401">
        <f t="shared" si="138"/>
        <v>75.28</v>
      </c>
      <c r="AH390" s="401">
        <f t="shared" si="138"/>
        <v>37.06</v>
      </c>
      <c r="AI390" s="401">
        <f t="shared" si="138"/>
        <v>27.8</v>
      </c>
      <c r="AJ390" s="401">
        <f t="shared" si="138"/>
        <v>0.93</v>
      </c>
      <c r="AK390" s="401">
        <f t="shared" si="138"/>
        <v>2.78</v>
      </c>
      <c r="AL390" s="401">
        <f t="shared" si="138"/>
        <v>55.59</v>
      </c>
      <c r="AM390" s="401">
        <f t="shared" si="138"/>
        <v>7.82</v>
      </c>
      <c r="AN390" s="362"/>
      <c r="AO390" s="407">
        <f t="shared" si="116"/>
        <v>369</v>
      </c>
      <c r="AP390" s="373"/>
      <c r="AR390"/>
    </row>
    <row r="391" ht="24" hidden="1" spans="1:42">
      <c r="A391" s="284" t="s">
        <v>290</v>
      </c>
      <c r="B391" s="284" t="s">
        <v>196</v>
      </c>
      <c r="C391" s="284" t="s">
        <v>693</v>
      </c>
      <c r="D391" s="284" t="s">
        <v>694</v>
      </c>
      <c r="E391" s="402">
        <f t="shared" ref="E391:E398" si="139">F391+Q391+AF391</f>
        <v>168.79</v>
      </c>
      <c r="F391" s="402">
        <f t="shared" ref="F391:F398" si="140">G391+M391</f>
        <v>135.11</v>
      </c>
      <c r="G391" s="402">
        <f t="shared" ref="G391:G398" si="141">SUM(H391:L391)</f>
        <v>81.11</v>
      </c>
      <c r="H391" s="402">
        <v>46.15</v>
      </c>
      <c r="I391" s="402">
        <v>31.11</v>
      </c>
      <c r="J391" s="402">
        <v>3.85</v>
      </c>
      <c r="K391" s="402"/>
      <c r="L391" s="402"/>
      <c r="M391" s="402">
        <f t="shared" ref="M391:M398" si="142">SUM(N391:P391)</f>
        <v>54</v>
      </c>
      <c r="N391" s="402"/>
      <c r="O391" s="402"/>
      <c r="P391" s="404">
        <v>54</v>
      </c>
      <c r="Q391" s="402">
        <f t="shared" ref="Q391:Q398" si="143">R391+Y391</f>
        <v>0</v>
      </c>
      <c r="R391" s="402">
        <f t="shared" ref="R391:R398" si="144">SUM(S391:X391)</f>
        <v>0</v>
      </c>
      <c r="S391" s="402"/>
      <c r="T391" s="402"/>
      <c r="U391" s="402"/>
      <c r="V391" s="402"/>
      <c r="W391" s="402"/>
      <c r="X391" s="402"/>
      <c r="Y391" s="402">
        <f t="shared" ref="Y391:Y398" si="145">SUM(Z391:AE391)</f>
        <v>0</v>
      </c>
      <c r="Z391" s="402"/>
      <c r="AA391" s="402"/>
      <c r="AB391" s="402"/>
      <c r="AC391" s="402"/>
      <c r="AD391" s="402"/>
      <c r="AE391" s="402"/>
      <c r="AF391" s="402">
        <f t="shared" ref="AF391:AF398" si="146">SUM(AG391:AM391)</f>
        <v>33.68</v>
      </c>
      <c r="AG391" s="402">
        <v>12.98</v>
      </c>
      <c r="AH391" s="402">
        <v>6.18</v>
      </c>
      <c r="AI391" s="402">
        <v>4.64</v>
      </c>
      <c r="AJ391" s="402">
        <v>0.15</v>
      </c>
      <c r="AK391" s="402">
        <v>0.46</v>
      </c>
      <c r="AL391" s="402">
        <v>9.27</v>
      </c>
      <c r="AM391" s="402"/>
      <c r="AN391" s="350"/>
      <c r="AO391" s="205">
        <f t="shared" si="116"/>
        <v>54</v>
      </c>
      <c r="AP391">
        <v>15.2548</v>
      </c>
    </row>
    <row r="392" ht="24" hidden="1" spans="1:42">
      <c r="A392" s="284" t="s">
        <v>290</v>
      </c>
      <c r="B392" s="284" t="s">
        <v>196</v>
      </c>
      <c r="C392" s="284" t="s">
        <v>695</v>
      </c>
      <c r="D392" s="284" t="s">
        <v>694</v>
      </c>
      <c r="E392" s="402">
        <f t="shared" si="139"/>
        <v>156.08</v>
      </c>
      <c r="F392" s="402">
        <f t="shared" si="140"/>
        <v>126.11</v>
      </c>
      <c r="G392" s="402">
        <f t="shared" si="141"/>
        <v>72.11</v>
      </c>
      <c r="H392" s="402">
        <v>39.98</v>
      </c>
      <c r="I392" s="402">
        <v>28.8</v>
      </c>
      <c r="J392" s="402">
        <v>3.33</v>
      </c>
      <c r="K392" s="402"/>
      <c r="L392" s="402"/>
      <c r="M392" s="402">
        <f t="shared" si="142"/>
        <v>54</v>
      </c>
      <c r="N392" s="402"/>
      <c r="O392" s="402"/>
      <c r="P392" s="402">
        <v>54</v>
      </c>
      <c r="Q392" s="402">
        <f t="shared" si="143"/>
        <v>0</v>
      </c>
      <c r="R392" s="402">
        <f t="shared" si="144"/>
        <v>0</v>
      </c>
      <c r="S392" s="402"/>
      <c r="T392" s="402"/>
      <c r="U392" s="402"/>
      <c r="V392" s="402"/>
      <c r="W392" s="402"/>
      <c r="X392" s="402"/>
      <c r="Y392" s="402">
        <f t="shared" si="145"/>
        <v>0</v>
      </c>
      <c r="Z392" s="402"/>
      <c r="AA392" s="402"/>
      <c r="AB392" s="402"/>
      <c r="AC392" s="402"/>
      <c r="AD392" s="402"/>
      <c r="AE392" s="402"/>
      <c r="AF392" s="402">
        <f t="shared" si="146"/>
        <v>29.97</v>
      </c>
      <c r="AG392" s="402">
        <v>11.54</v>
      </c>
      <c r="AH392" s="402">
        <v>5.5</v>
      </c>
      <c r="AI392" s="402">
        <v>4.13</v>
      </c>
      <c r="AJ392" s="402">
        <v>0.14</v>
      </c>
      <c r="AK392" s="402">
        <v>0.41</v>
      </c>
      <c r="AL392" s="402">
        <v>8.25</v>
      </c>
      <c r="AM392" s="402"/>
      <c r="AN392" s="350"/>
      <c r="AO392" s="205">
        <f t="shared" si="116"/>
        <v>54</v>
      </c>
      <c r="AP392">
        <v>5.8524</v>
      </c>
    </row>
    <row r="393" ht="36" hidden="1" spans="1:42">
      <c r="A393" s="284" t="s">
        <v>290</v>
      </c>
      <c r="B393" s="284" t="s">
        <v>199</v>
      </c>
      <c r="C393" s="284" t="s">
        <v>696</v>
      </c>
      <c r="D393" s="284" t="s">
        <v>697</v>
      </c>
      <c r="E393" s="402">
        <f t="shared" si="139"/>
        <v>221.39</v>
      </c>
      <c r="F393" s="402">
        <f t="shared" si="140"/>
        <v>0</v>
      </c>
      <c r="G393" s="402">
        <f t="shared" si="141"/>
        <v>0</v>
      </c>
      <c r="H393" s="402"/>
      <c r="I393" s="402"/>
      <c r="J393" s="402"/>
      <c r="K393" s="402"/>
      <c r="L393" s="402"/>
      <c r="M393" s="402">
        <f t="shared" si="142"/>
        <v>0</v>
      </c>
      <c r="N393" s="402"/>
      <c r="O393" s="402"/>
      <c r="P393" s="402"/>
      <c r="Q393" s="402">
        <f t="shared" si="143"/>
        <v>171.73</v>
      </c>
      <c r="R393" s="402">
        <f t="shared" si="144"/>
        <v>83.76</v>
      </c>
      <c r="S393" s="402">
        <v>60.48</v>
      </c>
      <c r="T393" s="402"/>
      <c r="U393" s="402">
        <v>23.28</v>
      </c>
      <c r="V393" s="402"/>
      <c r="W393" s="402"/>
      <c r="X393" s="402"/>
      <c r="Y393" s="402">
        <f t="shared" si="145"/>
        <v>87.97</v>
      </c>
      <c r="Z393" s="402">
        <v>13.97</v>
      </c>
      <c r="AA393" s="402"/>
      <c r="AB393" s="402"/>
      <c r="AC393" s="402"/>
      <c r="AD393" s="402"/>
      <c r="AE393" s="402">
        <v>74</v>
      </c>
      <c r="AF393" s="402">
        <f t="shared" si="146"/>
        <v>49.66</v>
      </c>
      <c r="AG393" s="402">
        <v>15.64</v>
      </c>
      <c r="AH393" s="402">
        <v>7.82</v>
      </c>
      <c r="AI393" s="402">
        <v>5.86</v>
      </c>
      <c r="AJ393" s="402">
        <v>0.2</v>
      </c>
      <c r="AK393" s="402">
        <v>0.59</v>
      </c>
      <c r="AL393" s="402">
        <v>11.73</v>
      </c>
      <c r="AM393" s="402">
        <v>7.82</v>
      </c>
      <c r="AN393" s="350"/>
      <c r="AO393" s="205">
        <f t="shared" si="116"/>
        <v>74</v>
      </c>
      <c r="AP393">
        <v>8.9951</v>
      </c>
    </row>
    <row r="394" ht="36" hidden="1" spans="1:42">
      <c r="A394" s="284" t="s">
        <v>290</v>
      </c>
      <c r="B394" s="284" t="s">
        <v>199</v>
      </c>
      <c r="C394" s="284" t="s">
        <v>698</v>
      </c>
      <c r="D394" s="284" t="s">
        <v>697</v>
      </c>
      <c r="E394" s="402">
        <f t="shared" si="139"/>
        <v>133.16</v>
      </c>
      <c r="F394" s="402">
        <f t="shared" si="140"/>
        <v>0</v>
      </c>
      <c r="G394" s="402">
        <f t="shared" si="141"/>
        <v>0</v>
      </c>
      <c r="H394" s="402"/>
      <c r="I394" s="402"/>
      <c r="J394" s="402"/>
      <c r="K394" s="402"/>
      <c r="L394" s="402"/>
      <c r="M394" s="402">
        <f t="shared" si="142"/>
        <v>0</v>
      </c>
      <c r="N394" s="402"/>
      <c r="O394" s="402"/>
      <c r="P394" s="402"/>
      <c r="Q394" s="402">
        <f t="shared" si="143"/>
        <v>106.74</v>
      </c>
      <c r="R394" s="402">
        <f t="shared" si="144"/>
        <v>53.59</v>
      </c>
      <c r="S394" s="402">
        <v>40.01</v>
      </c>
      <c r="T394" s="402"/>
      <c r="U394" s="402">
        <v>13.58</v>
      </c>
      <c r="V394" s="402"/>
      <c r="W394" s="402"/>
      <c r="X394" s="402"/>
      <c r="Y394" s="402">
        <f t="shared" si="145"/>
        <v>53.15</v>
      </c>
      <c r="Z394" s="402">
        <v>8.15</v>
      </c>
      <c r="AA394" s="402"/>
      <c r="AB394" s="402"/>
      <c r="AC394" s="402"/>
      <c r="AD394" s="402"/>
      <c r="AE394" s="402">
        <v>45</v>
      </c>
      <c r="AF394" s="402">
        <f t="shared" si="146"/>
        <v>26.42</v>
      </c>
      <c r="AG394" s="402">
        <v>9.88</v>
      </c>
      <c r="AH394" s="402">
        <v>4.94</v>
      </c>
      <c r="AI394" s="402">
        <v>3.7</v>
      </c>
      <c r="AJ394" s="402">
        <v>0.12</v>
      </c>
      <c r="AK394" s="402">
        <v>0.37</v>
      </c>
      <c r="AL394" s="402">
        <v>7.41</v>
      </c>
      <c r="AM394" s="402"/>
      <c r="AN394" s="350"/>
      <c r="AO394" s="205">
        <f t="shared" ref="AO394:AO424" si="147">P394+AE394</f>
        <v>45</v>
      </c>
      <c r="AP394">
        <v>4.5</v>
      </c>
    </row>
    <row r="395" ht="36" hidden="1" spans="1:42">
      <c r="A395" s="284" t="s">
        <v>290</v>
      </c>
      <c r="B395" s="284" t="s">
        <v>199</v>
      </c>
      <c r="C395" s="284" t="s">
        <v>699</v>
      </c>
      <c r="D395" s="284" t="s">
        <v>697</v>
      </c>
      <c r="E395" s="402">
        <f t="shared" si="139"/>
        <v>37.35</v>
      </c>
      <c r="F395" s="402">
        <f t="shared" si="140"/>
        <v>0</v>
      </c>
      <c r="G395" s="402">
        <f t="shared" si="141"/>
        <v>0</v>
      </c>
      <c r="H395" s="402"/>
      <c r="I395" s="402"/>
      <c r="J395" s="402"/>
      <c r="K395" s="402"/>
      <c r="L395" s="402"/>
      <c r="M395" s="402">
        <f t="shared" si="142"/>
        <v>0</v>
      </c>
      <c r="N395" s="402"/>
      <c r="O395" s="402"/>
      <c r="P395" s="402"/>
      <c r="Q395" s="402">
        <f t="shared" si="143"/>
        <v>30.66</v>
      </c>
      <c r="R395" s="402">
        <f t="shared" si="144"/>
        <v>13.06</v>
      </c>
      <c r="S395" s="402">
        <v>8.73</v>
      </c>
      <c r="T395" s="402"/>
      <c r="U395" s="402">
        <v>4.33</v>
      </c>
      <c r="V395" s="402"/>
      <c r="W395" s="402"/>
      <c r="X395" s="402"/>
      <c r="Y395" s="402">
        <f t="shared" si="145"/>
        <v>17.6</v>
      </c>
      <c r="Z395" s="402">
        <v>2.6</v>
      </c>
      <c r="AA395" s="402"/>
      <c r="AB395" s="402"/>
      <c r="AC395" s="402"/>
      <c r="AD395" s="402"/>
      <c r="AE395" s="402">
        <v>15</v>
      </c>
      <c r="AF395" s="402">
        <f t="shared" si="146"/>
        <v>6.69</v>
      </c>
      <c r="AG395" s="402">
        <v>2.5</v>
      </c>
      <c r="AH395" s="402">
        <v>1.25</v>
      </c>
      <c r="AI395" s="402">
        <v>0.94</v>
      </c>
      <c r="AJ395" s="402">
        <v>0.03</v>
      </c>
      <c r="AK395" s="402">
        <v>0.09</v>
      </c>
      <c r="AL395" s="402">
        <v>1.88</v>
      </c>
      <c r="AM395" s="402"/>
      <c r="AN395" s="350"/>
      <c r="AO395" s="205">
        <f t="shared" si="147"/>
        <v>15</v>
      </c>
      <c r="AP395">
        <v>1.5</v>
      </c>
    </row>
    <row r="396" ht="36" hidden="1" spans="1:42">
      <c r="A396" s="284" t="s">
        <v>290</v>
      </c>
      <c r="B396" s="284" t="s">
        <v>199</v>
      </c>
      <c r="C396" s="284" t="s">
        <v>700</v>
      </c>
      <c r="D396" s="284" t="s">
        <v>701</v>
      </c>
      <c r="E396" s="402">
        <f t="shared" si="139"/>
        <v>98.76</v>
      </c>
      <c r="F396" s="402">
        <f t="shared" si="140"/>
        <v>0</v>
      </c>
      <c r="G396" s="402">
        <f t="shared" si="141"/>
        <v>0</v>
      </c>
      <c r="H396" s="402"/>
      <c r="I396" s="402"/>
      <c r="J396" s="402"/>
      <c r="K396" s="402"/>
      <c r="L396" s="402"/>
      <c r="M396" s="402">
        <f t="shared" si="142"/>
        <v>0</v>
      </c>
      <c r="N396" s="402"/>
      <c r="O396" s="402"/>
      <c r="P396" s="402"/>
      <c r="Q396" s="402">
        <f t="shared" si="143"/>
        <v>81.69</v>
      </c>
      <c r="R396" s="402">
        <f t="shared" si="144"/>
        <v>33.83</v>
      </c>
      <c r="S396" s="402">
        <v>23.71</v>
      </c>
      <c r="T396" s="402"/>
      <c r="U396" s="402">
        <v>10.12</v>
      </c>
      <c r="V396" s="402"/>
      <c r="W396" s="402"/>
      <c r="X396" s="402"/>
      <c r="Y396" s="402">
        <f t="shared" si="145"/>
        <v>47.86</v>
      </c>
      <c r="Z396" s="404">
        <v>6.86</v>
      </c>
      <c r="AA396" s="402"/>
      <c r="AB396" s="402"/>
      <c r="AC396" s="402"/>
      <c r="AD396" s="402"/>
      <c r="AE396" s="404">
        <v>41</v>
      </c>
      <c r="AF396" s="402">
        <f t="shared" si="146"/>
        <v>17.07</v>
      </c>
      <c r="AG396" s="402">
        <v>6.38</v>
      </c>
      <c r="AH396" s="402">
        <v>3.19</v>
      </c>
      <c r="AI396" s="402">
        <v>2.39</v>
      </c>
      <c r="AJ396" s="402">
        <v>0.08</v>
      </c>
      <c r="AK396" s="402">
        <v>0.24</v>
      </c>
      <c r="AL396" s="402">
        <v>4.79</v>
      </c>
      <c r="AM396" s="402"/>
      <c r="AN396" s="350"/>
      <c r="AO396" s="205">
        <f t="shared" si="147"/>
        <v>41</v>
      </c>
      <c r="AP396">
        <v>3.5167</v>
      </c>
    </row>
    <row r="397" ht="36" hidden="1" spans="1:42">
      <c r="A397" s="284" t="s">
        <v>195</v>
      </c>
      <c r="B397" s="284" t="s">
        <v>199</v>
      </c>
      <c r="C397" s="284" t="s">
        <v>702</v>
      </c>
      <c r="D397" s="284" t="s">
        <v>703</v>
      </c>
      <c r="E397" s="402">
        <f t="shared" si="139"/>
        <v>30.02</v>
      </c>
      <c r="F397" s="402">
        <f t="shared" si="140"/>
        <v>0</v>
      </c>
      <c r="G397" s="402">
        <f t="shared" si="141"/>
        <v>0</v>
      </c>
      <c r="H397" s="402"/>
      <c r="I397" s="402"/>
      <c r="J397" s="402"/>
      <c r="K397" s="402"/>
      <c r="L397" s="402"/>
      <c r="M397" s="402">
        <f t="shared" si="142"/>
        <v>0</v>
      </c>
      <c r="N397" s="402"/>
      <c r="O397" s="402"/>
      <c r="P397" s="402"/>
      <c r="Q397" s="402">
        <f t="shared" si="143"/>
        <v>24.61</v>
      </c>
      <c r="R397" s="402">
        <f t="shared" si="144"/>
        <v>10.84</v>
      </c>
      <c r="S397" s="402">
        <v>7.89</v>
      </c>
      <c r="T397" s="402"/>
      <c r="U397" s="402">
        <v>2.95</v>
      </c>
      <c r="V397" s="402"/>
      <c r="W397" s="402"/>
      <c r="X397" s="402"/>
      <c r="Y397" s="402">
        <f t="shared" si="145"/>
        <v>13.77</v>
      </c>
      <c r="Z397" s="402">
        <v>1.77</v>
      </c>
      <c r="AA397" s="402"/>
      <c r="AB397" s="402"/>
      <c r="AC397" s="402"/>
      <c r="AD397" s="402"/>
      <c r="AE397" s="402">
        <v>12</v>
      </c>
      <c r="AF397" s="402">
        <f t="shared" si="146"/>
        <v>5.41</v>
      </c>
      <c r="AG397" s="402">
        <v>2.02</v>
      </c>
      <c r="AH397" s="402">
        <v>1.01</v>
      </c>
      <c r="AI397" s="402">
        <v>0.76</v>
      </c>
      <c r="AJ397" s="402">
        <v>0.03</v>
      </c>
      <c r="AK397" s="402">
        <v>0.08</v>
      </c>
      <c r="AL397" s="402">
        <v>1.51</v>
      </c>
      <c r="AM397" s="402"/>
      <c r="AN397" s="350"/>
      <c r="AO397" s="205">
        <f t="shared" si="147"/>
        <v>12</v>
      </c>
      <c r="AP397">
        <v>1</v>
      </c>
    </row>
    <row r="398" ht="36" hidden="1" spans="1:42">
      <c r="A398" s="284" t="s">
        <v>290</v>
      </c>
      <c r="B398" s="284" t="s">
        <v>199</v>
      </c>
      <c r="C398" s="284" t="s">
        <v>704</v>
      </c>
      <c r="D398" s="284" t="s">
        <v>703</v>
      </c>
      <c r="E398" s="402">
        <f t="shared" si="139"/>
        <v>231.68</v>
      </c>
      <c r="F398" s="402">
        <f t="shared" si="140"/>
        <v>0</v>
      </c>
      <c r="G398" s="402">
        <f t="shared" si="141"/>
        <v>0</v>
      </c>
      <c r="H398" s="402"/>
      <c r="I398" s="402"/>
      <c r="J398" s="402"/>
      <c r="K398" s="402"/>
      <c r="L398" s="402"/>
      <c r="M398" s="402">
        <f t="shared" si="142"/>
        <v>0</v>
      </c>
      <c r="N398" s="402"/>
      <c r="O398" s="402"/>
      <c r="P398" s="402"/>
      <c r="Q398" s="402">
        <f t="shared" si="143"/>
        <v>193.32</v>
      </c>
      <c r="R398" s="402">
        <f t="shared" si="144"/>
        <v>77.47</v>
      </c>
      <c r="S398" s="402">
        <v>55.35</v>
      </c>
      <c r="T398" s="402">
        <v>22.12</v>
      </c>
      <c r="U398" s="402"/>
      <c r="V398" s="402"/>
      <c r="W398" s="402"/>
      <c r="X398" s="402"/>
      <c r="Y398" s="402">
        <f t="shared" si="145"/>
        <v>115.85</v>
      </c>
      <c r="Z398" s="402">
        <v>12.14</v>
      </c>
      <c r="AA398" s="402"/>
      <c r="AB398" s="402">
        <v>29.71</v>
      </c>
      <c r="AC398" s="402"/>
      <c r="AD398" s="402"/>
      <c r="AE398" s="404">
        <v>74</v>
      </c>
      <c r="AF398" s="402">
        <f t="shared" si="146"/>
        <v>38.36</v>
      </c>
      <c r="AG398" s="402">
        <v>14.34</v>
      </c>
      <c r="AH398" s="402">
        <v>7.17</v>
      </c>
      <c r="AI398" s="402">
        <v>5.38</v>
      </c>
      <c r="AJ398" s="402">
        <v>0.18</v>
      </c>
      <c r="AK398" s="402">
        <v>0.54</v>
      </c>
      <c r="AL398" s="402">
        <v>10.75</v>
      </c>
      <c r="AM398" s="402"/>
      <c r="AN398" s="350"/>
      <c r="AO398" s="205">
        <f t="shared" si="147"/>
        <v>74</v>
      </c>
      <c r="AP398">
        <v>8.01</v>
      </c>
    </row>
    <row r="399" s="311" customFormat="1" ht="21" customHeight="1" spans="1:44">
      <c r="A399" s="328"/>
      <c r="B399" s="328"/>
      <c r="C399" s="328" t="s">
        <v>144</v>
      </c>
      <c r="D399" s="329">
        <v>216</v>
      </c>
      <c r="E399" s="401">
        <f t="shared" ref="E399:P399" si="148">SUM(E400:E401)</f>
        <v>249.106</v>
      </c>
      <c r="F399" s="401">
        <f t="shared" si="148"/>
        <v>175.04</v>
      </c>
      <c r="G399" s="401">
        <f t="shared" si="148"/>
        <v>99.04</v>
      </c>
      <c r="H399" s="401">
        <f t="shared" si="148"/>
        <v>57.06</v>
      </c>
      <c r="I399" s="401">
        <f t="shared" si="148"/>
        <v>37.47</v>
      </c>
      <c r="J399" s="401">
        <f t="shared" si="148"/>
        <v>4.51</v>
      </c>
      <c r="K399" s="401">
        <f t="shared" si="148"/>
        <v>0</v>
      </c>
      <c r="L399" s="401">
        <f t="shared" si="148"/>
        <v>0</v>
      </c>
      <c r="M399" s="401">
        <f t="shared" si="148"/>
        <v>76</v>
      </c>
      <c r="N399" s="401">
        <f t="shared" si="148"/>
        <v>0</v>
      </c>
      <c r="O399" s="401">
        <f t="shared" si="148"/>
        <v>0</v>
      </c>
      <c r="P399" s="401">
        <f t="shared" si="148"/>
        <v>76</v>
      </c>
      <c r="Q399" s="401">
        <f t="shared" ref="Q399:AE399" si="149">SUM(Q400:Q401)</f>
        <v>26.466</v>
      </c>
      <c r="R399" s="401">
        <f t="shared" si="149"/>
        <v>14.466</v>
      </c>
      <c r="S399" s="401">
        <f t="shared" si="149"/>
        <v>9.57</v>
      </c>
      <c r="T399" s="401">
        <f t="shared" si="149"/>
        <v>3.06</v>
      </c>
      <c r="U399" s="401">
        <f t="shared" si="149"/>
        <v>1.836</v>
      </c>
      <c r="V399" s="401">
        <f t="shared" si="149"/>
        <v>0</v>
      </c>
      <c r="W399" s="401">
        <f t="shared" si="149"/>
        <v>0</v>
      </c>
      <c r="X399" s="401">
        <f t="shared" si="149"/>
        <v>0</v>
      </c>
      <c r="Y399" s="401">
        <f t="shared" si="149"/>
        <v>12</v>
      </c>
      <c r="Z399" s="401">
        <f t="shared" si="149"/>
        <v>0</v>
      </c>
      <c r="AA399" s="401">
        <f t="shared" si="149"/>
        <v>0</v>
      </c>
      <c r="AB399" s="401">
        <f t="shared" si="149"/>
        <v>0</v>
      </c>
      <c r="AC399" s="401">
        <f t="shared" si="149"/>
        <v>0</v>
      </c>
      <c r="AD399" s="401">
        <f t="shared" si="149"/>
        <v>0</v>
      </c>
      <c r="AE399" s="401">
        <f t="shared" si="149"/>
        <v>12</v>
      </c>
      <c r="AF399" s="401">
        <f t="shared" ref="AF399:AM399" si="150">SUM(AF400:AF401)</f>
        <v>47.6</v>
      </c>
      <c r="AG399" s="401">
        <f t="shared" si="150"/>
        <v>18.16</v>
      </c>
      <c r="AH399" s="401">
        <f t="shared" si="150"/>
        <v>8.72</v>
      </c>
      <c r="AI399" s="401">
        <f t="shared" si="150"/>
        <v>6.54</v>
      </c>
      <c r="AJ399" s="401">
        <f t="shared" si="150"/>
        <v>0.44</v>
      </c>
      <c r="AK399" s="401">
        <f t="shared" si="150"/>
        <v>0.66</v>
      </c>
      <c r="AL399" s="401">
        <f t="shared" si="150"/>
        <v>13.08</v>
      </c>
      <c r="AM399" s="401">
        <f t="shared" si="150"/>
        <v>0</v>
      </c>
      <c r="AN399" s="362"/>
      <c r="AO399" s="407">
        <f t="shared" si="147"/>
        <v>88</v>
      </c>
      <c r="AP399" s="373"/>
      <c r="AR399"/>
    </row>
    <row r="400" ht="24" hidden="1" spans="1:42">
      <c r="A400" s="284" t="s">
        <v>290</v>
      </c>
      <c r="B400" s="284" t="s">
        <v>196</v>
      </c>
      <c r="C400" s="284" t="s">
        <v>705</v>
      </c>
      <c r="D400" s="284" t="s">
        <v>706</v>
      </c>
      <c r="E400" s="402">
        <f>F400+Q400+AF400</f>
        <v>216.41</v>
      </c>
      <c r="F400" s="402">
        <f>G400+M400</f>
        <v>175.04</v>
      </c>
      <c r="G400" s="402">
        <f>SUM(H400:L400)</f>
        <v>99.04</v>
      </c>
      <c r="H400" s="402">
        <v>57.06</v>
      </c>
      <c r="I400" s="402">
        <v>37.47</v>
      </c>
      <c r="J400" s="402">
        <v>4.51</v>
      </c>
      <c r="K400" s="402"/>
      <c r="L400" s="402"/>
      <c r="M400" s="402">
        <f>SUM(N400:P400)</f>
        <v>76</v>
      </c>
      <c r="N400" s="402"/>
      <c r="O400" s="402"/>
      <c r="P400" s="404">
        <v>76</v>
      </c>
      <c r="Q400" s="402">
        <f>R400+Y400</f>
        <v>0</v>
      </c>
      <c r="R400" s="402">
        <f>SUM(S400:X400)</f>
        <v>0</v>
      </c>
      <c r="S400" s="402"/>
      <c r="T400" s="402"/>
      <c r="U400" s="402"/>
      <c r="V400" s="402"/>
      <c r="W400" s="402"/>
      <c r="X400" s="402"/>
      <c r="Y400" s="402">
        <f>SUM(Z400:AE400)</f>
        <v>0</v>
      </c>
      <c r="Z400" s="402"/>
      <c r="AA400" s="402"/>
      <c r="AB400" s="402"/>
      <c r="AC400" s="402"/>
      <c r="AD400" s="402"/>
      <c r="AE400" s="402"/>
      <c r="AF400" s="402">
        <f>SUM(AG400:AM400)</f>
        <v>41.37</v>
      </c>
      <c r="AG400" s="402">
        <v>15.85</v>
      </c>
      <c r="AH400" s="402">
        <v>7.56</v>
      </c>
      <c r="AI400" s="402">
        <v>5.67</v>
      </c>
      <c r="AJ400" s="402">
        <v>0.38</v>
      </c>
      <c r="AK400" s="402">
        <v>0.57</v>
      </c>
      <c r="AL400" s="402">
        <v>11.34</v>
      </c>
      <c r="AM400" s="402"/>
      <c r="AN400" s="350"/>
      <c r="AO400" s="205">
        <f t="shared" si="147"/>
        <v>76</v>
      </c>
      <c r="AP400">
        <v>14.8448</v>
      </c>
    </row>
    <row r="401" ht="24" hidden="1" spans="1:42">
      <c r="A401" s="284" t="s">
        <v>290</v>
      </c>
      <c r="B401" s="284" t="s">
        <v>199</v>
      </c>
      <c r="C401" s="284" t="s">
        <v>707</v>
      </c>
      <c r="D401" s="284" t="s">
        <v>708</v>
      </c>
      <c r="E401" s="402">
        <f>F401+Q401+AF401</f>
        <v>32.696</v>
      </c>
      <c r="F401" s="402">
        <f>G401+M401</f>
        <v>0</v>
      </c>
      <c r="G401" s="402">
        <f>SUM(H401:L401)</f>
        <v>0</v>
      </c>
      <c r="H401" s="402"/>
      <c r="I401" s="402"/>
      <c r="J401" s="402"/>
      <c r="K401" s="402"/>
      <c r="L401" s="402"/>
      <c r="M401" s="402">
        <f>SUM(N401:P401)</f>
        <v>0</v>
      </c>
      <c r="N401" s="402"/>
      <c r="O401" s="402"/>
      <c r="P401" s="402"/>
      <c r="Q401" s="402">
        <f>R401+Y401</f>
        <v>26.466</v>
      </c>
      <c r="R401" s="402">
        <f>SUM(S401:X401)</f>
        <v>14.466</v>
      </c>
      <c r="S401" s="402">
        <v>9.57</v>
      </c>
      <c r="T401" s="402">
        <v>3.06</v>
      </c>
      <c r="U401" s="402">
        <v>1.836</v>
      </c>
      <c r="V401" s="402"/>
      <c r="W401" s="402"/>
      <c r="X401" s="402"/>
      <c r="Y401" s="402">
        <f>SUM(Z401:AE401)</f>
        <v>12</v>
      </c>
      <c r="Z401" s="402"/>
      <c r="AA401" s="402"/>
      <c r="AB401" s="402"/>
      <c r="AC401" s="402"/>
      <c r="AD401" s="402"/>
      <c r="AE401" s="404">
        <v>12</v>
      </c>
      <c r="AF401" s="402">
        <f>SUM(AG401:AM401)</f>
        <v>6.23</v>
      </c>
      <c r="AG401" s="402">
        <v>2.31</v>
      </c>
      <c r="AH401" s="402">
        <v>1.16</v>
      </c>
      <c r="AI401" s="402">
        <v>0.87</v>
      </c>
      <c r="AJ401" s="402">
        <v>0.06</v>
      </c>
      <c r="AK401" s="402">
        <v>0.09</v>
      </c>
      <c r="AL401" s="402">
        <v>1.74</v>
      </c>
      <c r="AM401" s="402"/>
      <c r="AN401" s="350"/>
      <c r="AO401" s="205">
        <f t="shared" si="147"/>
        <v>12</v>
      </c>
      <c r="AP401">
        <v>1</v>
      </c>
    </row>
    <row r="402" s="311" customFormat="1" ht="21" customHeight="1" spans="1:44">
      <c r="A402" s="328"/>
      <c r="B402" s="328"/>
      <c r="C402" s="328" t="s">
        <v>146</v>
      </c>
      <c r="D402" s="329">
        <v>220</v>
      </c>
      <c r="E402" s="401">
        <f t="shared" ref="E402:P402" si="151">SUM(E403:E413)</f>
        <v>1912.9647</v>
      </c>
      <c r="F402" s="401">
        <f t="shared" si="151"/>
        <v>861.6139</v>
      </c>
      <c r="G402" s="401">
        <f t="shared" si="151"/>
        <v>412.7039</v>
      </c>
      <c r="H402" s="401">
        <f t="shared" si="151"/>
        <v>222.07</v>
      </c>
      <c r="I402" s="401">
        <f t="shared" si="151"/>
        <v>167.93</v>
      </c>
      <c r="J402" s="401">
        <f t="shared" si="151"/>
        <v>18.5039</v>
      </c>
      <c r="K402" s="401">
        <f t="shared" si="151"/>
        <v>4.2</v>
      </c>
      <c r="L402" s="401">
        <f t="shared" si="151"/>
        <v>0</v>
      </c>
      <c r="M402" s="401">
        <f t="shared" si="151"/>
        <v>448.91</v>
      </c>
      <c r="N402" s="401">
        <f t="shared" si="151"/>
        <v>99.26</v>
      </c>
      <c r="O402" s="401">
        <f t="shared" si="151"/>
        <v>4.15</v>
      </c>
      <c r="P402" s="401">
        <f t="shared" si="151"/>
        <v>345.5</v>
      </c>
      <c r="Q402" s="401">
        <f t="shared" ref="Q402:AE402" si="152">SUM(Q403:Q413)</f>
        <v>699.72</v>
      </c>
      <c r="R402" s="401">
        <f t="shared" si="152"/>
        <v>339.7</v>
      </c>
      <c r="S402" s="401">
        <f t="shared" si="152"/>
        <v>231.34</v>
      </c>
      <c r="T402" s="401">
        <f t="shared" si="152"/>
        <v>13.21</v>
      </c>
      <c r="U402" s="401">
        <f t="shared" si="152"/>
        <v>94.99</v>
      </c>
      <c r="V402" s="401">
        <f t="shared" si="152"/>
        <v>0.16</v>
      </c>
      <c r="W402" s="401">
        <f t="shared" si="152"/>
        <v>0</v>
      </c>
      <c r="X402" s="401">
        <f t="shared" si="152"/>
        <v>0</v>
      </c>
      <c r="Y402" s="401">
        <f t="shared" si="152"/>
        <v>360.02</v>
      </c>
      <c r="Z402" s="401">
        <f t="shared" si="152"/>
        <v>75.11</v>
      </c>
      <c r="AA402" s="401">
        <f t="shared" si="152"/>
        <v>0</v>
      </c>
      <c r="AB402" s="401">
        <f t="shared" si="152"/>
        <v>81.71</v>
      </c>
      <c r="AC402" s="401">
        <f t="shared" si="152"/>
        <v>0</v>
      </c>
      <c r="AD402" s="401">
        <f t="shared" si="152"/>
        <v>9.7</v>
      </c>
      <c r="AE402" s="401">
        <f t="shared" si="152"/>
        <v>193.5</v>
      </c>
      <c r="AF402" s="401">
        <f t="shared" ref="AF402:AM402" si="153">SUM(AF403:AF413)</f>
        <v>351.6308</v>
      </c>
      <c r="AG402" s="401">
        <f t="shared" si="153"/>
        <v>139.22</v>
      </c>
      <c r="AH402" s="401">
        <f t="shared" si="153"/>
        <v>61.96</v>
      </c>
      <c r="AI402" s="401">
        <f t="shared" si="153"/>
        <v>46.49</v>
      </c>
      <c r="AJ402" s="401">
        <f t="shared" si="153"/>
        <v>1.55</v>
      </c>
      <c r="AK402" s="401">
        <f t="shared" si="153"/>
        <v>5.82</v>
      </c>
      <c r="AL402" s="401">
        <f t="shared" si="153"/>
        <v>92.95</v>
      </c>
      <c r="AM402" s="401">
        <f t="shared" si="153"/>
        <v>3.6408</v>
      </c>
      <c r="AN402" s="362"/>
      <c r="AO402" s="407">
        <f t="shared" si="147"/>
        <v>539</v>
      </c>
      <c r="AP402" s="373"/>
      <c r="AR402"/>
    </row>
    <row r="403" ht="24" hidden="1" spans="1:42">
      <c r="A403" s="284" t="s">
        <v>665</v>
      </c>
      <c r="B403" s="284" t="s">
        <v>196</v>
      </c>
      <c r="C403" s="284" t="s">
        <v>709</v>
      </c>
      <c r="D403" s="284" t="s">
        <v>710</v>
      </c>
      <c r="E403" s="402">
        <f t="shared" ref="E403:E413" si="154">F403+Q403+AF403</f>
        <v>632.74</v>
      </c>
      <c r="F403" s="402">
        <f t="shared" ref="F403:F413" si="155">G403+M403</f>
        <v>578.33</v>
      </c>
      <c r="G403" s="402">
        <f t="shared" ref="G403:G413" si="156">SUM(H403:L403)</f>
        <v>131.07</v>
      </c>
      <c r="H403" s="402">
        <v>75.56</v>
      </c>
      <c r="I403" s="402">
        <v>49.21</v>
      </c>
      <c r="J403" s="402">
        <v>6.3</v>
      </c>
      <c r="K403" s="402"/>
      <c r="L403" s="402"/>
      <c r="M403" s="402">
        <f t="shared" ref="M403:M413" si="157">SUM(N403:P403)</f>
        <v>447.26</v>
      </c>
      <c r="N403" s="402">
        <v>99.26</v>
      </c>
      <c r="O403" s="412">
        <v>2.5</v>
      </c>
      <c r="P403" s="404">
        <f>348-2.5</f>
        <v>345.5</v>
      </c>
      <c r="Q403" s="402">
        <f t="shared" ref="Q403:Q413" si="158">R403+Y403</f>
        <v>0</v>
      </c>
      <c r="R403" s="402">
        <f t="shared" ref="R403:R413" si="159">SUM(S403:X403)</f>
        <v>0</v>
      </c>
      <c r="S403" s="402"/>
      <c r="T403" s="402"/>
      <c r="U403" s="402"/>
      <c r="V403" s="402"/>
      <c r="W403" s="402"/>
      <c r="X403" s="402"/>
      <c r="Y403" s="402">
        <f t="shared" ref="Y403:Y413" si="160">SUM(Z403:AE403)</f>
        <v>0</v>
      </c>
      <c r="Z403" s="402"/>
      <c r="AA403" s="402"/>
      <c r="AB403" s="402"/>
      <c r="AC403" s="402"/>
      <c r="AD403" s="402"/>
      <c r="AE403" s="402"/>
      <c r="AF403" s="402">
        <f t="shared" ref="AF403:AF413" si="161">SUM(AG403:AM403)</f>
        <v>54.41</v>
      </c>
      <c r="AG403" s="402">
        <v>20.97</v>
      </c>
      <c r="AH403" s="402">
        <v>9.98</v>
      </c>
      <c r="AI403" s="402">
        <v>7.49</v>
      </c>
      <c r="AJ403" s="402">
        <v>0.25</v>
      </c>
      <c r="AK403" s="402">
        <v>0.75</v>
      </c>
      <c r="AL403" s="402">
        <v>14.97</v>
      </c>
      <c r="AM403" s="402"/>
      <c r="AN403" s="350"/>
      <c r="AO403" s="205">
        <f t="shared" si="147"/>
        <v>345.5</v>
      </c>
      <c r="AP403">
        <v>52.8255</v>
      </c>
    </row>
    <row r="404" ht="24" hidden="1" spans="1:41">
      <c r="A404" s="284" t="s">
        <v>665</v>
      </c>
      <c r="B404" s="284" t="s">
        <v>196</v>
      </c>
      <c r="C404" s="284" t="s">
        <v>711</v>
      </c>
      <c r="D404" s="284" t="s">
        <v>710</v>
      </c>
      <c r="E404" s="402">
        <f t="shared" si="154"/>
        <v>88.45</v>
      </c>
      <c r="F404" s="402">
        <f t="shared" si="155"/>
        <v>62.49</v>
      </c>
      <c r="G404" s="402">
        <f t="shared" si="156"/>
        <v>62.49</v>
      </c>
      <c r="H404" s="402">
        <v>35.22</v>
      </c>
      <c r="I404" s="402">
        <v>24.34</v>
      </c>
      <c r="J404" s="402">
        <v>2.93</v>
      </c>
      <c r="K404" s="402"/>
      <c r="L404" s="402"/>
      <c r="M404" s="402">
        <f t="shared" si="157"/>
        <v>0</v>
      </c>
      <c r="N404" s="402"/>
      <c r="O404" s="402"/>
      <c r="P404" s="402"/>
      <c r="Q404" s="402">
        <f t="shared" si="158"/>
        <v>0</v>
      </c>
      <c r="R404" s="402">
        <f t="shared" si="159"/>
        <v>0</v>
      </c>
      <c r="S404" s="402"/>
      <c r="T404" s="402"/>
      <c r="U404" s="402"/>
      <c r="V404" s="402"/>
      <c r="W404" s="402"/>
      <c r="X404" s="402"/>
      <c r="Y404" s="402">
        <f t="shared" si="160"/>
        <v>0</v>
      </c>
      <c r="Z404" s="402"/>
      <c r="AA404" s="402"/>
      <c r="AB404" s="402"/>
      <c r="AC404" s="402"/>
      <c r="AD404" s="402"/>
      <c r="AE404" s="402"/>
      <c r="AF404" s="402">
        <f t="shared" si="161"/>
        <v>25.96</v>
      </c>
      <c r="AG404" s="402">
        <v>10</v>
      </c>
      <c r="AH404" s="402">
        <v>4.76</v>
      </c>
      <c r="AI404" s="402">
        <v>3.57</v>
      </c>
      <c r="AJ404" s="402">
        <v>0.12</v>
      </c>
      <c r="AK404" s="402">
        <v>0.36</v>
      </c>
      <c r="AL404" s="402">
        <v>7.15</v>
      </c>
      <c r="AM404" s="402"/>
      <c r="AN404" s="350"/>
      <c r="AO404" s="205">
        <f t="shared" si="147"/>
        <v>0</v>
      </c>
    </row>
    <row r="405" ht="24" hidden="1" spans="1:41">
      <c r="A405" s="284" t="s">
        <v>665</v>
      </c>
      <c r="B405" s="284" t="s">
        <v>196</v>
      </c>
      <c r="C405" s="284" t="s">
        <v>712</v>
      </c>
      <c r="D405" s="284" t="s">
        <v>710</v>
      </c>
      <c r="E405" s="402">
        <f t="shared" si="154"/>
        <v>292.8239</v>
      </c>
      <c r="F405" s="402">
        <f t="shared" si="155"/>
        <v>207.2439</v>
      </c>
      <c r="G405" s="402">
        <f t="shared" si="156"/>
        <v>207.2439</v>
      </c>
      <c r="H405" s="402">
        <v>111.29</v>
      </c>
      <c r="I405" s="402">
        <v>82.48</v>
      </c>
      <c r="J405" s="402">
        <v>9.2739</v>
      </c>
      <c r="K405" s="402">
        <v>4.2</v>
      </c>
      <c r="L405" s="402"/>
      <c r="M405" s="402">
        <f t="shared" si="157"/>
        <v>0</v>
      </c>
      <c r="N405" s="402"/>
      <c r="O405" s="402"/>
      <c r="P405" s="402"/>
      <c r="Q405" s="402">
        <f t="shared" si="158"/>
        <v>0</v>
      </c>
      <c r="R405" s="402">
        <f t="shared" si="159"/>
        <v>0</v>
      </c>
      <c r="S405" s="402"/>
      <c r="T405" s="402"/>
      <c r="U405" s="402"/>
      <c r="V405" s="402"/>
      <c r="W405" s="402"/>
      <c r="X405" s="402"/>
      <c r="Y405" s="402">
        <f t="shared" si="160"/>
        <v>0</v>
      </c>
      <c r="Z405" s="402"/>
      <c r="AA405" s="402"/>
      <c r="AB405" s="402"/>
      <c r="AC405" s="402"/>
      <c r="AD405" s="402"/>
      <c r="AE405" s="402"/>
      <c r="AF405" s="402">
        <f t="shared" si="161"/>
        <v>85.58</v>
      </c>
      <c r="AG405" s="402">
        <v>32.49</v>
      </c>
      <c r="AH405" s="402">
        <v>15.5</v>
      </c>
      <c r="AI405" s="402">
        <v>11.63</v>
      </c>
      <c r="AJ405" s="402">
        <v>0.39</v>
      </c>
      <c r="AK405" s="402">
        <v>2.32</v>
      </c>
      <c r="AL405" s="402">
        <v>23.25</v>
      </c>
      <c r="AM405" s="402"/>
      <c r="AN405" s="350"/>
      <c r="AO405" s="205">
        <f t="shared" si="147"/>
        <v>0</v>
      </c>
    </row>
    <row r="406" ht="24" hidden="1" spans="1:41">
      <c r="A406" s="284" t="s">
        <v>665</v>
      </c>
      <c r="B406" s="284" t="s">
        <v>199</v>
      </c>
      <c r="C406" s="284" t="s">
        <v>713</v>
      </c>
      <c r="D406" s="284" t="s">
        <v>714</v>
      </c>
      <c r="E406" s="402">
        <f t="shared" si="154"/>
        <v>33</v>
      </c>
      <c r="F406" s="402">
        <f t="shared" si="155"/>
        <v>0</v>
      </c>
      <c r="G406" s="402">
        <f t="shared" si="156"/>
        <v>0</v>
      </c>
      <c r="H406" s="402"/>
      <c r="I406" s="402"/>
      <c r="J406" s="402"/>
      <c r="K406" s="402"/>
      <c r="L406" s="402"/>
      <c r="M406" s="402">
        <f t="shared" si="157"/>
        <v>0</v>
      </c>
      <c r="N406" s="402"/>
      <c r="O406" s="402"/>
      <c r="P406" s="402"/>
      <c r="Q406" s="402">
        <f t="shared" si="158"/>
        <v>23.1</v>
      </c>
      <c r="R406" s="402">
        <f t="shared" si="159"/>
        <v>19.59</v>
      </c>
      <c r="S406" s="402">
        <v>13.75</v>
      </c>
      <c r="T406" s="402"/>
      <c r="U406" s="402">
        <v>5.84</v>
      </c>
      <c r="V406" s="402"/>
      <c r="W406" s="402"/>
      <c r="X406" s="402"/>
      <c r="Y406" s="402">
        <f t="shared" si="160"/>
        <v>3.51</v>
      </c>
      <c r="Z406" s="402">
        <v>3.51</v>
      </c>
      <c r="AA406" s="402"/>
      <c r="AB406" s="402"/>
      <c r="AC406" s="402"/>
      <c r="AD406" s="402"/>
      <c r="AE406" s="402"/>
      <c r="AF406" s="402">
        <f t="shared" si="161"/>
        <v>9.9</v>
      </c>
      <c r="AG406" s="402">
        <v>3.7</v>
      </c>
      <c r="AH406" s="402">
        <v>1.85</v>
      </c>
      <c r="AI406" s="402">
        <v>1.39</v>
      </c>
      <c r="AJ406" s="402">
        <v>0.05</v>
      </c>
      <c r="AK406" s="402">
        <v>0.14</v>
      </c>
      <c r="AL406" s="402">
        <v>2.77</v>
      </c>
      <c r="AM406" s="402"/>
      <c r="AN406" s="350"/>
      <c r="AO406" s="205">
        <f t="shared" si="147"/>
        <v>0</v>
      </c>
    </row>
    <row r="407" ht="24" hidden="1" spans="1:42">
      <c r="A407" s="284" t="s">
        <v>665</v>
      </c>
      <c r="B407" s="284" t="s">
        <v>199</v>
      </c>
      <c r="C407" s="284" t="s">
        <v>715</v>
      </c>
      <c r="D407" s="284" t="s">
        <v>714</v>
      </c>
      <c r="E407" s="402">
        <f t="shared" si="154"/>
        <v>135.9</v>
      </c>
      <c r="F407" s="402">
        <f t="shared" si="155"/>
        <v>0</v>
      </c>
      <c r="G407" s="402">
        <f t="shared" si="156"/>
        <v>0</v>
      </c>
      <c r="H407" s="402"/>
      <c r="I407" s="402"/>
      <c r="J407" s="402"/>
      <c r="K407" s="402"/>
      <c r="L407" s="402"/>
      <c r="M407" s="402">
        <f t="shared" si="157"/>
        <v>0</v>
      </c>
      <c r="N407" s="402"/>
      <c r="O407" s="402"/>
      <c r="P407" s="402"/>
      <c r="Q407" s="402">
        <f t="shared" si="158"/>
        <v>110.16</v>
      </c>
      <c r="R407" s="402">
        <f t="shared" si="159"/>
        <v>51.48</v>
      </c>
      <c r="S407" s="402">
        <v>37.02</v>
      </c>
      <c r="T407" s="402"/>
      <c r="U407" s="402">
        <v>14.46</v>
      </c>
      <c r="V407" s="402"/>
      <c r="W407" s="402"/>
      <c r="X407" s="402"/>
      <c r="Y407" s="402">
        <f t="shared" si="160"/>
        <v>58.68</v>
      </c>
      <c r="Z407" s="402">
        <v>8.68</v>
      </c>
      <c r="AA407" s="402"/>
      <c r="AB407" s="402"/>
      <c r="AC407" s="402"/>
      <c r="AD407" s="409">
        <v>0.5</v>
      </c>
      <c r="AE407" s="402">
        <f>50-0.5</f>
        <v>49.5</v>
      </c>
      <c r="AF407" s="402">
        <f t="shared" si="161"/>
        <v>25.74</v>
      </c>
      <c r="AG407" s="402">
        <v>9.62</v>
      </c>
      <c r="AH407" s="402">
        <v>4.81</v>
      </c>
      <c r="AI407" s="402">
        <v>3.61</v>
      </c>
      <c r="AJ407" s="402">
        <v>0.12</v>
      </c>
      <c r="AK407" s="402">
        <v>0.36</v>
      </c>
      <c r="AL407" s="402">
        <v>7.22</v>
      </c>
      <c r="AM407" s="402"/>
      <c r="AN407" s="350"/>
      <c r="AO407" s="205">
        <f t="shared" si="147"/>
        <v>49.5</v>
      </c>
      <c r="AP407">
        <v>5.135</v>
      </c>
    </row>
    <row r="408" ht="24" hidden="1" spans="1:42">
      <c r="A408" s="284" t="s">
        <v>665</v>
      </c>
      <c r="B408" s="284" t="s">
        <v>199</v>
      </c>
      <c r="C408" s="284" t="s">
        <v>716</v>
      </c>
      <c r="D408" s="284" t="s">
        <v>714</v>
      </c>
      <c r="E408" s="402">
        <f t="shared" si="154"/>
        <v>109.5</v>
      </c>
      <c r="F408" s="402">
        <f t="shared" si="155"/>
        <v>0</v>
      </c>
      <c r="G408" s="402">
        <f t="shared" si="156"/>
        <v>0</v>
      </c>
      <c r="H408" s="402"/>
      <c r="I408" s="402"/>
      <c r="J408" s="402"/>
      <c r="K408" s="402"/>
      <c r="L408" s="402"/>
      <c r="M408" s="402">
        <f t="shared" si="157"/>
        <v>0</v>
      </c>
      <c r="N408" s="402"/>
      <c r="O408" s="402"/>
      <c r="P408" s="402"/>
      <c r="Q408" s="402">
        <f t="shared" si="158"/>
        <v>104.61</v>
      </c>
      <c r="R408" s="402">
        <f t="shared" si="159"/>
        <v>9.86</v>
      </c>
      <c r="S408" s="402">
        <v>6.86</v>
      </c>
      <c r="T408" s="402"/>
      <c r="U408" s="402">
        <v>2.84</v>
      </c>
      <c r="V408" s="402">
        <v>0.16</v>
      </c>
      <c r="W408" s="402"/>
      <c r="X408" s="402"/>
      <c r="Y408" s="402">
        <f t="shared" si="160"/>
        <v>94.75</v>
      </c>
      <c r="Z408" s="404">
        <v>20.47</v>
      </c>
      <c r="AA408" s="402"/>
      <c r="AB408" s="402">
        <v>74.28</v>
      </c>
      <c r="AC408" s="402"/>
      <c r="AD408" s="402"/>
      <c r="AE408" s="404"/>
      <c r="AF408" s="402">
        <f t="shared" si="161"/>
        <v>4.89</v>
      </c>
      <c r="AG408" s="402">
        <v>1.83</v>
      </c>
      <c r="AH408" s="402">
        <v>0.91</v>
      </c>
      <c r="AI408" s="402">
        <v>0.69</v>
      </c>
      <c r="AJ408" s="402">
        <v>0.02</v>
      </c>
      <c r="AK408" s="402">
        <v>0.07</v>
      </c>
      <c r="AL408" s="402">
        <v>1.37</v>
      </c>
      <c r="AM408" s="402"/>
      <c r="AN408" s="350"/>
      <c r="AO408" s="205">
        <f t="shared" si="147"/>
        <v>0</v>
      </c>
      <c r="AP408">
        <v>12.5</v>
      </c>
    </row>
    <row r="409" ht="24" hidden="1" spans="1:42">
      <c r="A409" s="284" t="s">
        <v>665</v>
      </c>
      <c r="B409" s="284" t="s">
        <v>199</v>
      </c>
      <c r="C409" s="284" t="s">
        <v>717</v>
      </c>
      <c r="D409" s="284" t="s">
        <v>714</v>
      </c>
      <c r="E409" s="402">
        <f t="shared" si="154"/>
        <v>95.77</v>
      </c>
      <c r="F409" s="402">
        <f t="shared" si="155"/>
        <v>0</v>
      </c>
      <c r="G409" s="402">
        <f t="shared" si="156"/>
        <v>0</v>
      </c>
      <c r="H409" s="402"/>
      <c r="I409" s="402"/>
      <c r="J409" s="402"/>
      <c r="K409" s="402"/>
      <c r="L409" s="402"/>
      <c r="M409" s="402">
        <f t="shared" si="157"/>
        <v>0</v>
      </c>
      <c r="N409" s="402"/>
      <c r="O409" s="402"/>
      <c r="P409" s="402"/>
      <c r="Q409" s="402">
        <f t="shared" si="158"/>
        <v>78.28</v>
      </c>
      <c r="R409" s="402">
        <f t="shared" si="159"/>
        <v>35.55</v>
      </c>
      <c r="S409" s="402">
        <v>13.5</v>
      </c>
      <c r="T409" s="402">
        <v>13.21</v>
      </c>
      <c r="U409" s="402">
        <v>8.84</v>
      </c>
      <c r="V409" s="402"/>
      <c r="W409" s="402"/>
      <c r="X409" s="402"/>
      <c r="Y409" s="402">
        <f t="shared" si="160"/>
        <v>42.73</v>
      </c>
      <c r="Z409" s="404">
        <v>5.3</v>
      </c>
      <c r="AA409" s="402"/>
      <c r="AB409" s="402">
        <v>7.43</v>
      </c>
      <c r="AC409" s="402"/>
      <c r="AD409" s="402"/>
      <c r="AE409" s="402">
        <v>30</v>
      </c>
      <c r="AF409" s="402">
        <f t="shared" si="161"/>
        <v>17.49</v>
      </c>
      <c r="AG409" s="402">
        <v>6.54</v>
      </c>
      <c r="AH409" s="402">
        <v>3.27</v>
      </c>
      <c r="AI409" s="402">
        <v>2.45</v>
      </c>
      <c r="AJ409" s="402">
        <v>0.08</v>
      </c>
      <c r="AK409" s="402">
        <v>0.25</v>
      </c>
      <c r="AL409" s="402">
        <v>4.9</v>
      </c>
      <c r="AM409" s="402"/>
      <c r="AN409" s="350"/>
      <c r="AO409" s="205">
        <f t="shared" si="147"/>
        <v>30</v>
      </c>
      <c r="AP409">
        <v>3</v>
      </c>
    </row>
    <row r="410" ht="24" hidden="1" spans="1:41">
      <c r="A410" s="284" t="s">
        <v>665</v>
      </c>
      <c r="B410" s="284" t="s">
        <v>199</v>
      </c>
      <c r="C410" s="284" t="s">
        <v>718</v>
      </c>
      <c r="D410" s="284" t="s">
        <v>714</v>
      </c>
      <c r="E410" s="402">
        <f t="shared" si="154"/>
        <v>60.136944</v>
      </c>
      <c r="F410" s="402">
        <f t="shared" si="155"/>
        <v>0</v>
      </c>
      <c r="G410" s="402">
        <f t="shared" si="156"/>
        <v>0</v>
      </c>
      <c r="H410" s="402"/>
      <c r="I410" s="402"/>
      <c r="J410" s="402"/>
      <c r="K410" s="402"/>
      <c r="L410" s="402"/>
      <c r="M410" s="402">
        <f t="shared" si="157"/>
        <v>0</v>
      </c>
      <c r="N410" s="402"/>
      <c r="O410" s="402"/>
      <c r="P410" s="402"/>
      <c r="Q410" s="402">
        <f t="shared" si="158"/>
        <v>41.71</v>
      </c>
      <c r="R410" s="402">
        <f t="shared" si="159"/>
        <v>35.81</v>
      </c>
      <c r="S410" s="402">
        <v>25.98</v>
      </c>
      <c r="T410" s="402"/>
      <c r="U410" s="402">
        <v>9.83</v>
      </c>
      <c r="V410" s="402"/>
      <c r="W410" s="402"/>
      <c r="X410" s="402"/>
      <c r="Y410" s="402">
        <f t="shared" si="160"/>
        <v>5.9</v>
      </c>
      <c r="Z410" s="404">
        <v>5.9</v>
      </c>
      <c r="AA410" s="402"/>
      <c r="AB410" s="402"/>
      <c r="AC410" s="402"/>
      <c r="AD410" s="402"/>
      <c r="AE410" s="402"/>
      <c r="AF410" s="402">
        <f t="shared" si="161"/>
        <v>18.426944</v>
      </c>
      <c r="AG410" s="402">
        <v>6.67</v>
      </c>
      <c r="AH410" s="402">
        <v>3.34</v>
      </c>
      <c r="AI410" s="402">
        <v>2.5</v>
      </c>
      <c r="AJ410" s="402">
        <v>0.08</v>
      </c>
      <c r="AK410" s="402">
        <v>0.25</v>
      </c>
      <c r="AL410" s="402">
        <v>5</v>
      </c>
      <c r="AM410" s="402">
        <v>0.586944</v>
      </c>
      <c r="AN410" s="350"/>
      <c r="AO410" s="205">
        <f t="shared" si="147"/>
        <v>0</v>
      </c>
    </row>
    <row r="411" ht="24" hidden="1" spans="1:41">
      <c r="A411" s="284" t="s">
        <v>665</v>
      </c>
      <c r="B411" s="284" t="s">
        <v>199</v>
      </c>
      <c r="C411" s="284" t="s">
        <v>719</v>
      </c>
      <c r="D411" s="284" t="s">
        <v>714</v>
      </c>
      <c r="E411" s="402">
        <f t="shared" si="154"/>
        <v>101.843856</v>
      </c>
      <c r="F411" s="402">
        <f t="shared" si="155"/>
        <v>0</v>
      </c>
      <c r="G411" s="402">
        <f t="shared" si="156"/>
        <v>0</v>
      </c>
      <c r="H411" s="402"/>
      <c r="I411" s="402"/>
      <c r="J411" s="402"/>
      <c r="K411" s="402"/>
      <c r="L411" s="402"/>
      <c r="M411" s="402">
        <f t="shared" si="157"/>
        <v>0</v>
      </c>
      <c r="N411" s="402"/>
      <c r="O411" s="402"/>
      <c r="P411" s="402"/>
      <c r="Q411" s="402">
        <f t="shared" si="158"/>
        <v>68.98</v>
      </c>
      <c r="R411" s="402">
        <f t="shared" si="159"/>
        <v>59.14</v>
      </c>
      <c r="S411" s="402">
        <v>41.64</v>
      </c>
      <c r="T411" s="402"/>
      <c r="U411" s="402">
        <v>17.5</v>
      </c>
      <c r="V411" s="402"/>
      <c r="W411" s="402"/>
      <c r="X411" s="402"/>
      <c r="Y411" s="402">
        <f t="shared" si="160"/>
        <v>9.84</v>
      </c>
      <c r="Z411" s="404">
        <v>9.84</v>
      </c>
      <c r="AA411" s="402"/>
      <c r="AB411" s="402"/>
      <c r="AC411" s="402"/>
      <c r="AD411" s="402"/>
      <c r="AE411" s="402"/>
      <c r="AF411" s="402">
        <f t="shared" si="161"/>
        <v>32.863856</v>
      </c>
      <c r="AG411" s="402">
        <v>11.14</v>
      </c>
      <c r="AH411" s="402">
        <v>5.57</v>
      </c>
      <c r="AI411" s="402">
        <v>4.18</v>
      </c>
      <c r="AJ411" s="402">
        <v>0.14</v>
      </c>
      <c r="AK411" s="402">
        <v>0.42</v>
      </c>
      <c r="AL411" s="402">
        <v>8.36</v>
      </c>
      <c r="AM411" s="402">
        <v>3.053856</v>
      </c>
      <c r="AN411" s="350"/>
      <c r="AO411" s="205">
        <f t="shared" si="147"/>
        <v>0</v>
      </c>
    </row>
    <row r="412" ht="36" hidden="1" spans="1:42">
      <c r="A412" s="284" t="s">
        <v>665</v>
      </c>
      <c r="B412" s="284" t="s">
        <v>199</v>
      </c>
      <c r="C412" s="284" t="s">
        <v>720</v>
      </c>
      <c r="D412" s="284" t="s">
        <v>721</v>
      </c>
      <c r="E412" s="402">
        <f t="shared" si="154"/>
        <v>336.94</v>
      </c>
      <c r="F412" s="402">
        <f t="shared" si="155"/>
        <v>0</v>
      </c>
      <c r="G412" s="402">
        <f t="shared" si="156"/>
        <v>0</v>
      </c>
      <c r="H412" s="402"/>
      <c r="I412" s="402"/>
      <c r="J412" s="402"/>
      <c r="K412" s="402"/>
      <c r="L412" s="402"/>
      <c r="M412" s="402">
        <f t="shared" si="157"/>
        <v>0</v>
      </c>
      <c r="N412" s="402"/>
      <c r="O412" s="412"/>
      <c r="P412" s="402"/>
      <c r="Q412" s="402">
        <f t="shared" si="158"/>
        <v>272.88</v>
      </c>
      <c r="R412" s="402">
        <f t="shared" si="159"/>
        <v>128.27</v>
      </c>
      <c r="S412" s="402">
        <v>92.59</v>
      </c>
      <c r="T412" s="402"/>
      <c r="U412" s="402">
        <v>35.68</v>
      </c>
      <c r="V412" s="402"/>
      <c r="W412" s="402"/>
      <c r="X412" s="402"/>
      <c r="Y412" s="402">
        <f t="shared" si="160"/>
        <v>144.61</v>
      </c>
      <c r="Z412" s="404">
        <v>21.41</v>
      </c>
      <c r="AA412" s="402"/>
      <c r="AB412" s="402"/>
      <c r="AC412" s="402"/>
      <c r="AD412" s="409">
        <v>9.2</v>
      </c>
      <c r="AE412" s="402">
        <v>114</v>
      </c>
      <c r="AF412" s="402">
        <f t="shared" si="161"/>
        <v>64.06</v>
      </c>
      <c r="AG412" s="402">
        <v>23.95</v>
      </c>
      <c r="AH412" s="402">
        <v>11.97</v>
      </c>
      <c r="AI412" s="402">
        <v>8.98</v>
      </c>
      <c r="AJ412" s="402">
        <v>0.3</v>
      </c>
      <c r="AK412" s="402">
        <v>0.9</v>
      </c>
      <c r="AL412" s="402">
        <v>17.96</v>
      </c>
      <c r="AM412" s="402"/>
      <c r="AN412" s="350"/>
      <c r="AO412" s="205">
        <f t="shared" si="147"/>
        <v>114</v>
      </c>
      <c r="AP412">
        <v>12.18</v>
      </c>
    </row>
    <row r="413" ht="36" hidden="1" spans="1:41">
      <c r="A413" s="284" t="s">
        <v>640</v>
      </c>
      <c r="B413" s="284" t="s">
        <v>196</v>
      </c>
      <c r="C413" s="284" t="s">
        <v>722</v>
      </c>
      <c r="D413" s="284" t="s">
        <v>723</v>
      </c>
      <c r="E413" s="402">
        <f t="shared" si="154"/>
        <v>25.86</v>
      </c>
      <c r="F413" s="402">
        <f t="shared" si="155"/>
        <v>13.55</v>
      </c>
      <c r="G413" s="402">
        <f t="shared" si="156"/>
        <v>11.9</v>
      </c>
      <c r="H413" s="402"/>
      <c r="I413" s="402">
        <v>11.9</v>
      </c>
      <c r="J413" s="402"/>
      <c r="K413" s="402"/>
      <c r="L413" s="402"/>
      <c r="M413" s="402">
        <f t="shared" si="157"/>
        <v>1.65</v>
      </c>
      <c r="N413" s="402"/>
      <c r="O413" s="402">
        <v>1.65</v>
      </c>
      <c r="P413" s="402"/>
      <c r="Q413" s="402">
        <f t="shared" si="158"/>
        <v>0</v>
      </c>
      <c r="R413" s="402">
        <f t="shared" si="159"/>
        <v>0</v>
      </c>
      <c r="S413" s="402"/>
      <c r="T413" s="402"/>
      <c r="U413" s="402"/>
      <c r="V413" s="402"/>
      <c r="W413" s="402"/>
      <c r="X413" s="402"/>
      <c r="Y413" s="402">
        <f t="shared" si="160"/>
        <v>0</v>
      </c>
      <c r="Z413" s="404">
        <v>0</v>
      </c>
      <c r="AA413" s="402"/>
      <c r="AB413" s="402"/>
      <c r="AC413" s="402"/>
      <c r="AD413" s="402"/>
      <c r="AE413" s="402"/>
      <c r="AF413" s="402">
        <f t="shared" si="161"/>
        <v>12.31</v>
      </c>
      <c r="AG413" s="402">
        <v>12.31</v>
      </c>
      <c r="AH413" s="402"/>
      <c r="AI413" s="402"/>
      <c r="AJ413" s="402"/>
      <c r="AK413" s="402"/>
      <c r="AL413" s="402"/>
      <c r="AM413" s="402"/>
      <c r="AN413" s="350"/>
      <c r="AO413" s="205">
        <f t="shared" si="147"/>
        <v>0</v>
      </c>
    </row>
    <row r="414" s="311" customFormat="1" ht="21" customHeight="1" spans="1:44">
      <c r="A414" s="328"/>
      <c r="B414" s="328"/>
      <c r="C414" s="328" t="s">
        <v>148</v>
      </c>
      <c r="D414" s="329">
        <v>224</v>
      </c>
      <c r="E414" s="401">
        <f t="shared" ref="E414:P414" si="162">SUM(E415:E424)</f>
        <v>1079.478</v>
      </c>
      <c r="F414" s="401">
        <f t="shared" si="162"/>
        <v>617.44</v>
      </c>
      <c r="G414" s="401">
        <f t="shared" si="162"/>
        <v>148.21</v>
      </c>
      <c r="H414" s="401">
        <f t="shared" si="162"/>
        <v>81.89</v>
      </c>
      <c r="I414" s="401">
        <f t="shared" si="162"/>
        <v>56.02</v>
      </c>
      <c r="J414" s="401">
        <f t="shared" si="162"/>
        <v>6.82</v>
      </c>
      <c r="K414" s="401">
        <f t="shared" si="162"/>
        <v>0</v>
      </c>
      <c r="L414" s="401">
        <f t="shared" si="162"/>
        <v>3.48</v>
      </c>
      <c r="M414" s="401">
        <f t="shared" si="162"/>
        <v>469.23</v>
      </c>
      <c r="N414" s="401">
        <f t="shared" si="162"/>
        <v>27.23</v>
      </c>
      <c r="O414" s="401">
        <f t="shared" si="162"/>
        <v>337.5</v>
      </c>
      <c r="P414" s="401">
        <f t="shared" si="162"/>
        <v>104.5</v>
      </c>
      <c r="Q414" s="401">
        <f t="shared" ref="Q414:AE414" si="163">SUM(Q415:Q424)</f>
        <v>327.318</v>
      </c>
      <c r="R414" s="401">
        <f t="shared" si="163"/>
        <v>149.57</v>
      </c>
      <c r="S414" s="401">
        <f t="shared" si="163"/>
        <v>108.31</v>
      </c>
      <c r="T414" s="401">
        <f t="shared" si="163"/>
        <v>0</v>
      </c>
      <c r="U414" s="401">
        <f t="shared" si="163"/>
        <v>41.26</v>
      </c>
      <c r="V414" s="401">
        <f t="shared" si="163"/>
        <v>0</v>
      </c>
      <c r="W414" s="401">
        <f t="shared" si="163"/>
        <v>0</v>
      </c>
      <c r="X414" s="401">
        <f t="shared" si="163"/>
        <v>0</v>
      </c>
      <c r="Y414" s="401">
        <f t="shared" si="163"/>
        <v>177.748</v>
      </c>
      <c r="Z414" s="401">
        <f t="shared" si="163"/>
        <v>24.75</v>
      </c>
      <c r="AA414" s="401">
        <f t="shared" si="163"/>
        <v>0</v>
      </c>
      <c r="AB414" s="401">
        <f t="shared" si="163"/>
        <v>0</v>
      </c>
      <c r="AC414" s="401">
        <f t="shared" si="163"/>
        <v>0</v>
      </c>
      <c r="AD414" s="401">
        <f t="shared" si="163"/>
        <v>2.998</v>
      </c>
      <c r="AE414" s="401">
        <f t="shared" si="163"/>
        <v>150</v>
      </c>
      <c r="AF414" s="401">
        <f t="shared" ref="AF414:AM414" si="164">SUM(AF415:AF424)</f>
        <v>134.72</v>
      </c>
      <c r="AG414" s="401">
        <f t="shared" si="164"/>
        <v>51.04</v>
      </c>
      <c r="AH414" s="401">
        <f t="shared" si="164"/>
        <v>24.98</v>
      </c>
      <c r="AI414" s="401">
        <f t="shared" si="164"/>
        <v>18.75</v>
      </c>
      <c r="AJ414" s="401">
        <f t="shared" si="164"/>
        <v>0.63</v>
      </c>
      <c r="AK414" s="401">
        <f t="shared" si="164"/>
        <v>1.87</v>
      </c>
      <c r="AL414" s="401">
        <f t="shared" si="164"/>
        <v>37.45</v>
      </c>
      <c r="AM414" s="401">
        <f t="shared" si="164"/>
        <v>0</v>
      </c>
      <c r="AN414" s="362"/>
      <c r="AO414" s="407">
        <f t="shared" si="147"/>
        <v>254.5</v>
      </c>
      <c r="AP414" s="373"/>
      <c r="AR414"/>
    </row>
    <row r="415" ht="24" hidden="1" spans="1:42">
      <c r="A415" s="284" t="s">
        <v>290</v>
      </c>
      <c r="B415" s="284" t="s">
        <v>196</v>
      </c>
      <c r="C415" s="284" t="s">
        <v>724</v>
      </c>
      <c r="D415" s="284" t="s">
        <v>725</v>
      </c>
      <c r="E415" s="402">
        <f t="shared" ref="E415:E424" si="165">F415+Q415+AF415</f>
        <v>178.78</v>
      </c>
      <c r="F415" s="402">
        <f t="shared" ref="F415:F424" si="166">G415+M415</f>
        <v>149.29</v>
      </c>
      <c r="G415" s="402">
        <f>SUM(H415:L415)</f>
        <v>72.56</v>
      </c>
      <c r="H415" s="402">
        <v>40.69</v>
      </c>
      <c r="I415" s="402">
        <v>26.92</v>
      </c>
      <c r="J415" s="402">
        <v>3.39</v>
      </c>
      <c r="K415" s="402"/>
      <c r="L415" s="402">
        <v>1.56</v>
      </c>
      <c r="M415" s="402">
        <f t="shared" ref="M415:M424" si="167">SUM(N415:P415)</f>
        <v>76.73</v>
      </c>
      <c r="N415" s="402">
        <v>27.23</v>
      </c>
      <c r="O415" s="402"/>
      <c r="P415" s="402">
        <v>49.5</v>
      </c>
      <c r="Q415" s="402">
        <f t="shared" ref="Q415:Q424" si="168">R415+Y415</f>
        <v>0</v>
      </c>
      <c r="R415" s="402">
        <f t="shared" ref="R415:R424" si="169">SUM(S415:X415)</f>
        <v>0</v>
      </c>
      <c r="S415" s="402"/>
      <c r="T415" s="402"/>
      <c r="U415" s="402"/>
      <c r="V415" s="402"/>
      <c r="W415" s="402"/>
      <c r="X415" s="402"/>
      <c r="Y415" s="402">
        <f t="shared" ref="Y415:Y424" si="170">SUM(Z415:AE415)</f>
        <v>0</v>
      </c>
      <c r="Z415" s="402"/>
      <c r="AA415" s="402"/>
      <c r="AB415" s="402"/>
      <c r="AC415" s="402"/>
      <c r="AD415" s="402"/>
      <c r="AE415" s="402"/>
      <c r="AF415" s="402">
        <f t="shared" ref="AF415:AF424" si="171">SUM(AG415:AM415)</f>
        <v>29.49</v>
      </c>
      <c r="AG415" s="402">
        <v>11.36</v>
      </c>
      <c r="AH415" s="402">
        <v>5.41</v>
      </c>
      <c r="AI415" s="402">
        <v>4.06</v>
      </c>
      <c r="AJ415" s="402">
        <v>0.14</v>
      </c>
      <c r="AK415" s="402">
        <v>0.41</v>
      </c>
      <c r="AL415" s="402">
        <v>8.11</v>
      </c>
      <c r="AM415" s="402"/>
      <c r="AN415" s="350"/>
      <c r="AO415" s="205">
        <f t="shared" si="147"/>
        <v>49.5</v>
      </c>
      <c r="AP415">
        <v>5.4384</v>
      </c>
    </row>
    <row r="416" ht="24" hidden="1" spans="1:42">
      <c r="A416" s="284" t="s">
        <v>290</v>
      </c>
      <c r="B416" s="284" t="s">
        <v>196</v>
      </c>
      <c r="C416" s="284" t="s">
        <v>726</v>
      </c>
      <c r="D416" s="284" t="s">
        <v>725</v>
      </c>
      <c r="E416" s="402">
        <f t="shared" si="165"/>
        <v>43.4</v>
      </c>
      <c r="F416" s="402">
        <f t="shared" si="166"/>
        <v>35.07</v>
      </c>
      <c r="G416" s="402">
        <f>SUM(H416:L416)</f>
        <v>20.07</v>
      </c>
      <c r="H416" s="402">
        <v>11.43</v>
      </c>
      <c r="I416" s="402">
        <v>7.69</v>
      </c>
      <c r="J416" s="402">
        <v>0.95</v>
      </c>
      <c r="K416" s="402"/>
      <c r="L416" s="402"/>
      <c r="M416" s="402">
        <f t="shared" si="167"/>
        <v>15</v>
      </c>
      <c r="N416" s="402"/>
      <c r="O416" s="402"/>
      <c r="P416" s="402">
        <v>15</v>
      </c>
      <c r="Q416" s="402">
        <f t="shared" si="168"/>
        <v>0</v>
      </c>
      <c r="R416" s="402">
        <f t="shared" si="169"/>
        <v>0</v>
      </c>
      <c r="S416" s="402"/>
      <c r="T416" s="402"/>
      <c r="U416" s="402"/>
      <c r="V416" s="402"/>
      <c r="W416" s="402"/>
      <c r="X416" s="402"/>
      <c r="Y416" s="402">
        <f t="shared" si="170"/>
        <v>0</v>
      </c>
      <c r="Z416" s="402"/>
      <c r="AA416" s="402"/>
      <c r="AB416" s="402"/>
      <c r="AC416" s="402"/>
      <c r="AD416" s="402"/>
      <c r="AE416" s="402"/>
      <c r="AF416" s="402">
        <f t="shared" si="171"/>
        <v>8.33</v>
      </c>
      <c r="AG416" s="402">
        <v>3.21</v>
      </c>
      <c r="AH416" s="402">
        <v>1.53</v>
      </c>
      <c r="AI416" s="402">
        <v>1.15</v>
      </c>
      <c r="AJ416" s="402">
        <v>0.04</v>
      </c>
      <c r="AK416" s="402">
        <v>0.11</v>
      </c>
      <c r="AL416" s="402">
        <v>2.29</v>
      </c>
      <c r="AM416" s="402"/>
      <c r="AN416" s="350"/>
      <c r="AO416" s="205">
        <f t="shared" si="147"/>
        <v>15</v>
      </c>
      <c r="AP416">
        <v>1.554</v>
      </c>
    </row>
    <row r="417" ht="24" hidden="1" spans="1:42">
      <c r="A417" s="284" t="s">
        <v>290</v>
      </c>
      <c r="B417" s="284" t="s">
        <v>196</v>
      </c>
      <c r="C417" s="284" t="s">
        <v>727</v>
      </c>
      <c r="D417" s="284" t="s">
        <v>725</v>
      </c>
      <c r="E417" s="402">
        <f t="shared" si="165"/>
        <v>76.31</v>
      </c>
      <c r="F417" s="402">
        <f t="shared" si="166"/>
        <v>61.81</v>
      </c>
      <c r="G417" s="402">
        <f>SUM(H417:L417)</f>
        <v>36.81</v>
      </c>
      <c r="H417" s="402">
        <v>19.56</v>
      </c>
      <c r="I417" s="402">
        <v>13.7</v>
      </c>
      <c r="J417" s="402">
        <v>1.63</v>
      </c>
      <c r="K417" s="402"/>
      <c r="L417" s="402">
        <v>1.92</v>
      </c>
      <c r="M417" s="402">
        <f t="shared" si="167"/>
        <v>25</v>
      </c>
      <c r="N417" s="402"/>
      <c r="O417" s="402"/>
      <c r="P417" s="402">
        <v>25</v>
      </c>
      <c r="Q417" s="402">
        <f t="shared" si="168"/>
        <v>0</v>
      </c>
      <c r="R417" s="402">
        <f t="shared" si="169"/>
        <v>0</v>
      </c>
      <c r="S417" s="402"/>
      <c r="T417" s="402"/>
      <c r="U417" s="402"/>
      <c r="V417" s="402"/>
      <c r="W417" s="402"/>
      <c r="X417" s="402"/>
      <c r="Y417" s="402">
        <f t="shared" si="170"/>
        <v>0</v>
      </c>
      <c r="Z417" s="402"/>
      <c r="AA417" s="402"/>
      <c r="AB417" s="402"/>
      <c r="AC417" s="402"/>
      <c r="AD417" s="402"/>
      <c r="AE417" s="402"/>
      <c r="AF417" s="402">
        <f t="shared" si="171"/>
        <v>14.5</v>
      </c>
      <c r="AG417" s="402">
        <v>5.58</v>
      </c>
      <c r="AH417" s="402">
        <v>2.66</v>
      </c>
      <c r="AI417" s="402">
        <v>2</v>
      </c>
      <c r="AJ417" s="402">
        <v>0.07</v>
      </c>
      <c r="AK417" s="402">
        <v>0.2</v>
      </c>
      <c r="AL417" s="402">
        <v>3.99</v>
      </c>
      <c r="AM417" s="402"/>
      <c r="AN417" s="350"/>
      <c r="AO417" s="205">
        <f t="shared" si="147"/>
        <v>25</v>
      </c>
      <c r="AP417">
        <v>2.776</v>
      </c>
    </row>
    <row r="418" ht="24" hidden="1" spans="1:42">
      <c r="A418" s="284" t="s">
        <v>290</v>
      </c>
      <c r="B418" s="284" t="s">
        <v>196</v>
      </c>
      <c r="C418" s="284" t="s">
        <v>728</v>
      </c>
      <c r="D418" s="284" t="s">
        <v>725</v>
      </c>
      <c r="E418" s="402">
        <f t="shared" si="165"/>
        <v>41.58</v>
      </c>
      <c r="F418" s="402">
        <f t="shared" si="166"/>
        <v>33.77</v>
      </c>
      <c r="G418" s="402">
        <f>SUM(H418:L418)</f>
        <v>18.77</v>
      </c>
      <c r="H418" s="402">
        <v>10.21</v>
      </c>
      <c r="I418" s="402">
        <v>7.71</v>
      </c>
      <c r="J418" s="402">
        <v>0.85</v>
      </c>
      <c r="K418" s="402"/>
      <c r="L418" s="402"/>
      <c r="M418" s="402">
        <f t="shared" si="167"/>
        <v>15</v>
      </c>
      <c r="N418" s="402"/>
      <c r="O418" s="402"/>
      <c r="P418" s="402">
        <v>15</v>
      </c>
      <c r="Q418" s="402">
        <f t="shared" si="168"/>
        <v>0</v>
      </c>
      <c r="R418" s="402">
        <f t="shared" si="169"/>
        <v>0</v>
      </c>
      <c r="S418" s="402"/>
      <c r="T418" s="402"/>
      <c r="U418" s="402"/>
      <c r="V418" s="402"/>
      <c r="W418" s="402"/>
      <c r="X418" s="402"/>
      <c r="Y418" s="402">
        <f t="shared" si="170"/>
        <v>0</v>
      </c>
      <c r="Z418" s="402"/>
      <c r="AA418" s="402"/>
      <c r="AB418" s="402"/>
      <c r="AC418" s="402"/>
      <c r="AD418" s="402"/>
      <c r="AE418" s="402"/>
      <c r="AF418" s="402">
        <f t="shared" si="171"/>
        <v>7.81</v>
      </c>
      <c r="AG418" s="402">
        <v>3</v>
      </c>
      <c r="AH418" s="402">
        <v>1.43</v>
      </c>
      <c r="AI418" s="402">
        <v>1.08</v>
      </c>
      <c r="AJ418" s="402">
        <v>0.04</v>
      </c>
      <c r="AK418" s="402">
        <v>0.11</v>
      </c>
      <c r="AL418" s="402">
        <v>2.15</v>
      </c>
      <c r="AM418" s="402"/>
      <c r="AN418" s="350"/>
      <c r="AO418" s="205">
        <f t="shared" si="147"/>
        <v>15</v>
      </c>
      <c r="AP418">
        <v>1.868</v>
      </c>
    </row>
    <row r="419" ht="24" hidden="1" spans="1:42">
      <c r="A419" s="284" t="s">
        <v>290</v>
      </c>
      <c r="B419" s="284" t="s">
        <v>199</v>
      </c>
      <c r="C419" s="284" t="s">
        <v>729</v>
      </c>
      <c r="D419" s="284" t="s">
        <v>730</v>
      </c>
      <c r="E419" s="402">
        <f t="shared" si="165"/>
        <v>40.28</v>
      </c>
      <c r="F419" s="402">
        <f t="shared" si="166"/>
        <v>0</v>
      </c>
      <c r="G419" s="402">
        <f>SUM(H419:L419)</f>
        <v>0</v>
      </c>
      <c r="H419" s="402"/>
      <c r="I419" s="402"/>
      <c r="J419" s="402"/>
      <c r="K419" s="402"/>
      <c r="L419" s="402"/>
      <c r="M419" s="402">
        <f t="shared" si="167"/>
        <v>0</v>
      </c>
      <c r="N419" s="402"/>
      <c r="O419" s="402"/>
      <c r="P419" s="402"/>
      <c r="Q419" s="402">
        <f t="shared" si="168"/>
        <v>32.7</v>
      </c>
      <c r="R419" s="402">
        <f t="shared" si="169"/>
        <v>15.25</v>
      </c>
      <c r="S419" s="402">
        <v>11.17</v>
      </c>
      <c r="T419" s="402"/>
      <c r="U419" s="402">
        <v>4.08</v>
      </c>
      <c r="V419" s="402"/>
      <c r="W419" s="402"/>
      <c r="X419" s="402"/>
      <c r="Y419" s="402">
        <f t="shared" si="170"/>
        <v>17.45</v>
      </c>
      <c r="Z419" s="402">
        <v>2.45</v>
      </c>
      <c r="AA419" s="402"/>
      <c r="AB419" s="402"/>
      <c r="AC419" s="402"/>
      <c r="AD419" s="402"/>
      <c r="AE419" s="402">
        <v>15</v>
      </c>
      <c r="AF419" s="402">
        <f t="shared" si="171"/>
        <v>7.58</v>
      </c>
      <c r="AG419" s="402">
        <v>2.83</v>
      </c>
      <c r="AH419" s="402">
        <v>1.42</v>
      </c>
      <c r="AI419" s="402">
        <v>1.06</v>
      </c>
      <c r="AJ419" s="402">
        <v>0.04</v>
      </c>
      <c r="AK419" s="402">
        <v>0.11</v>
      </c>
      <c r="AL419" s="402">
        <v>2.12</v>
      </c>
      <c r="AM419" s="402"/>
      <c r="AN419" s="350"/>
      <c r="AO419" s="205">
        <f t="shared" si="147"/>
        <v>15</v>
      </c>
      <c r="AP419">
        <v>1.5</v>
      </c>
    </row>
    <row r="420" ht="24" hidden="1" spans="1:42">
      <c r="A420" s="284" t="s">
        <v>290</v>
      </c>
      <c r="B420" s="284" t="s">
        <v>199</v>
      </c>
      <c r="C420" s="284" t="s">
        <v>731</v>
      </c>
      <c r="D420" s="284" t="s">
        <v>730</v>
      </c>
      <c r="E420" s="402">
        <f t="shared" si="165"/>
        <v>107.8</v>
      </c>
      <c r="F420" s="402">
        <f t="shared" si="166"/>
        <v>0</v>
      </c>
      <c r="G420" s="402">
        <f t="shared" ref="G420:G424" si="172">SUM(H420:L420)</f>
        <v>0</v>
      </c>
      <c r="H420" s="402"/>
      <c r="I420" s="402"/>
      <c r="J420" s="402"/>
      <c r="K420" s="402"/>
      <c r="L420" s="402"/>
      <c r="M420" s="402">
        <f t="shared" si="167"/>
        <v>0</v>
      </c>
      <c r="N420" s="402"/>
      <c r="O420" s="402"/>
      <c r="P420" s="402"/>
      <c r="Q420" s="402">
        <f t="shared" si="168"/>
        <v>87.83</v>
      </c>
      <c r="R420" s="402">
        <f t="shared" si="169"/>
        <v>40.03</v>
      </c>
      <c r="S420" s="402">
        <v>28.94</v>
      </c>
      <c r="T420" s="402"/>
      <c r="U420" s="402">
        <v>11.09</v>
      </c>
      <c r="V420" s="402"/>
      <c r="W420" s="402"/>
      <c r="X420" s="402"/>
      <c r="Y420" s="402">
        <f t="shared" si="170"/>
        <v>47.8</v>
      </c>
      <c r="Z420" s="402">
        <v>6.65</v>
      </c>
      <c r="AA420" s="402"/>
      <c r="AB420" s="402"/>
      <c r="AC420" s="402"/>
      <c r="AD420" s="402">
        <v>1.15</v>
      </c>
      <c r="AE420" s="402">
        <v>40</v>
      </c>
      <c r="AF420" s="402">
        <f t="shared" si="171"/>
        <v>19.97</v>
      </c>
      <c r="AG420" s="402">
        <v>7.47</v>
      </c>
      <c r="AH420" s="402">
        <v>3.73</v>
      </c>
      <c r="AI420" s="402">
        <v>2.8</v>
      </c>
      <c r="AJ420" s="402">
        <v>0.09</v>
      </c>
      <c r="AK420" s="402">
        <v>0.28</v>
      </c>
      <c r="AL420" s="402">
        <v>5.6</v>
      </c>
      <c r="AM420" s="402"/>
      <c r="AN420" s="350"/>
      <c r="AO420" s="205">
        <f t="shared" si="147"/>
        <v>40</v>
      </c>
      <c r="AP420">
        <v>4</v>
      </c>
    </row>
    <row r="421" ht="24" hidden="1" spans="1:42">
      <c r="A421" s="284" t="s">
        <v>290</v>
      </c>
      <c r="B421" s="284" t="s">
        <v>199</v>
      </c>
      <c r="C421" s="284" t="s">
        <v>732</v>
      </c>
      <c r="D421" s="284" t="s">
        <v>730</v>
      </c>
      <c r="E421" s="402">
        <f t="shared" si="165"/>
        <v>39.92</v>
      </c>
      <c r="F421" s="402">
        <f t="shared" si="166"/>
        <v>0</v>
      </c>
      <c r="G421" s="402">
        <f t="shared" si="172"/>
        <v>0</v>
      </c>
      <c r="H421" s="402"/>
      <c r="I421" s="402"/>
      <c r="J421" s="402"/>
      <c r="K421" s="402"/>
      <c r="L421" s="402"/>
      <c r="M421" s="402">
        <f t="shared" si="167"/>
        <v>0</v>
      </c>
      <c r="N421" s="402"/>
      <c r="O421" s="402"/>
      <c r="P421" s="402"/>
      <c r="Q421" s="402">
        <f t="shared" si="168"/>
        <v>32.46</v>
      </c>
      <c r="R421" s="402">
        <f t="shared" si="169"/>
        <v>14.92</v>
      </c>
      <c r="S421" s="402">
        <v>10.69</v>
      </c>
      <c r="T421" s="402"/>
      <c r="U421" s="402">
        <v>4.23</v>
      </c>
      <c r="V421" s="402"/>
      <c r="W421" s="402"/>
      <c r="X421" s="402"/>
      <c r="Y421" s="402">
        <f t="shared" si="170"/>
        <v>17.54</v>
      </c>
      <c r="Z421" s="402">
        <v>2.54</v>
      </c>
      <c r="AA421" s="402"/>
      <c r="AB421" s="402"/>
      <c r="AC421" s="402"/>
      <c r="AD421" s="402"/>
      <c r="AE421" s="402">
        <v>15</v>
      </c>
      <c r="AF421" s="402">
        <f t="shared" si="171"/>
        <v>7.46</v>
      </c>
      <c r="AG421" s="402">
        <v>2.79</v>
      </c>
      <c r="AH421" s="402">
        <v>1.4</v>
      </c>
      <c r="AI421" s="402">
        <v>1.05</v>
      </c>
      <c r="AJ421" s="402">
        <v>0.03</v>
      </c>
      <c r="AK421" s="402">
        <v>0.1</v>
      </c>
      <c r="AL421" s="402">
        <v>2.09</v>
      </c>
      <c r="AM421" s="402"/>
      <c r="AN421" s="350"/>
      <c r="AO421" s="205">
        <f t="shared" si="147"/>
        <v>15</v>
      </c>
      <c r="AP421">
        <v>1.5</v>
      </c>
    </row>
    <row r="422" ht="24" hidden="1" spans="1:42">
      <c r="A422" s="284" t="s">
        <v>290</v>
      </c>
      <c r="B422" s="284" t="s">
        <v>199</v>
      </c>
      <c r="C422" s="284" t="s">
        <v>733</v>
      </c>
      <c r="D422" s="284" t="s">
        <v>730</v>
      </c>
      <c r="E422" s="402">
        <f t="shared" si="165"/>
        <v>96.538</v>
      </c>
      <c r="F422" s="402">
        <f t="shared" si="166"/>
        <v>0</v>
      </c>
      <c r="G422" s="402">
        <f t="shared" si="172"/>
        <v>0</v>
      </c>
      <c r="H422" s="402"/>
      <c r="I422" s="402"/>
      <c r="J422" s="402"/>
      <c r="K422" s="402"/>
      <c r="L422" s="402"/>
      <c r="M422" s="402">
        <f t="shared" si="167"/>
        <v>0</v>
      </c>
      <c r="N422" s="402"/>
      <c r="O422" s="402"/>
      <c r="P422" s="402"/>
      <c r="Q422" s="402">
        <f t="shared" si="168"/>
        <v>78.648</v>
      </c>
      <c r="R422" s="402">
        <f t="shared" si="169"/>
        <v>35.87</v>
      </c>
      <c r="S422" s="402">
        <v>25.98</v>
      </c>
      <c r="T422" s="402"/>
      <c r="U422" s="402">
        <v>9.89</v>
      </c>
      <c r="V422" s="402"/>
      <c r="W422" s="402"/>
      <c r="X422" s="402"/>
      <c r="Y422" s="402">
        <f t="shared" si="170"/>
        <v>42.778</v>
      </c>
      <c r="Z422" s="402">
        <v>5.93</v>
      </c>
      <c r="AA422" s="402"/>
      <c r="AB422" s="402"/>
      <c r="AC422" s="402"/>
      <c r="AD422" s="402">
        <v>1.848</v>
      </c>
      <c r="AE422" s="402">
        <v>35</v>
      </c>
      <c r="AF422" s="402">
        <f t="shared" si="171"/>
        <v>17.89</v>
      </c>
      <c r="AG422" s="402">
        <v>6.69</v>
      </c>
      <c r="AH422" s="402">
        <v>3.34</v>
      </c>
      <c r="AI422" s="402">
        <v>2.51</v>
      </c>
      <c r="AJ422" s="402">
        <v>0.08</v>
      </c>
      <c r="AK422" s="402">
        <v>0.25</v>
      </c>
      <c r="AL422" s="402">
        <v>5.02</v>
      </c>
      <c r="AM422" s="402"/>
      <c r="AN422" s="350"/>
      <c r="AO422" s="205">
        <f t="shared" si="147"/>
        <v>35</v>
      </c>
      <c r="AP422">
        <v>3.5</v>
      </c>
    </row>
    <row r="423" ht="36" hidden="1" spans="1:41">
      <c r="A423" s="284" t="s">
        <v>195</v>
      </c>
      <c r="B423" s="284" t="s">
        <v>196</v>
      </c>
      <c r="C423" s="284" t="s">
        <v>734</v>
      </c>
      <c r="D423" s="284" t="s">
        <v>735</v>
      </c>
      <c r="E423" s="402">
        <f t="shared" si="165"/>
        <v>337.5</v>
      </c>
      <c r="F423" s="402">
        <f t="shared" si="166"/>
        <v>337.5</v>
      </c>
      <c r="G423" s="402">
        <f t="shared" si="172"/>
        <v>0</v>
      </c>
      <c r="H423" s="402"/>
      <c r="I423" s="402"/>
      <c r="J423" s="402"/>
      <c r="K423" s="402"/>
      <c r="L423" s="402"/>
      <c r="M423" s="402">
        <f t="shared" si="167"/>
        <v>337.5</v>
      </c>
      <c r="N423" s="402"/>
      <c r="O423" s="402">
        <v>337.5</v>
      </c>
      <c r="P423" s="402"/>
      <c r="Q423" s="402">
        <f t="shared" si="168"/>
        <v>0</v>
      </c>
      <c r="R423" s="402">
        <f t="shared" si="169"/>
        <v>0</v>
      </c>
      <c r="S423" s="402"/>
      <c r="T423" s="402"/>
      <c r="U423" s="402"/>
      <c r="V423" s="402"/>
      <c r="W423" s="402"/>
      <c r="X423" s="402"/>
      <c r="Y423" s="402">
        <f t="shared" si="170"/>
        <v>0</v>
      </c>
      <c r="Z423" s="402"/>
      <c r="AA423" s="402"/>
      <c r="AB423" s="402"/>
      <c r="AC423" s="402"/>
      <c r="AD423" s="402"/>
      <c r="AE423" s="402"/>
      <c r="AF423" s="402">
        <f t="shared" si="171"/>
        <v>0</v>
      </c>
      <c r="AG423" s="402"/>
      <c r="AH423" s="402"/>
      <c r="AI423" s="402"/>
      <c r="AJ423" s="402"/>
      <c r="AK423" s="402"/>
      <c r="AL423" s="402"/>
      <c r="AM423" s="402"/>
      <c r="AN423" s="350"/>
      <c r="AO423" s="205">
        <f t="shared" si="147"/>
        <v>0</v>
      </c>
    </row>
    <row r="424" ht="24" hidden="1" spans="1:42">
      <c r="A424" s="284" t="s">
        <v>208</v>
      </c>
      <c r="B424" s="284" t="s">
        <v>199</v>
      </c>
      <c r="C424" s="284" t="s">
        <v>736</v>
      </c>
      <c r="D424" s="284" t="s">
        <v>737</v>
      </c>
      <c r="E424" s="402">
        <f t="shared" si="165"/>
        <v>117.37</v>
      </c>
      <c r="F424" s="402">
        <f t="shared" si="166"/>
        <v>0</v>
      </c>
      <c r="G424" s="402">
        <f t="shared" si="172"/>
        <v>0</v>
      </c>
      <c r="H424" s="402"/>
      <c r="I424" s="402"/>
      <c r="J424" s="402"/>
      <c r="K424" s="402"/>
      <c r="L424" s="402"/>
      <c r="M424" s="402">
        <f t="shared" si="167"/>
        <v>0</v>
      </c>
      <c r="N424" s="402"/>
      <c r="O424" s="402"/>
      <c r="P424" s="402"/>
      <c r="Q424" s="402">
        <f t="shared" si="168"/>
        <v>95.68</v>
      </c>
      <c r="R424" s="402">
        <f t="shared" si="169"/>
        <v>43.5</v>
      </c>
      <c r="S424" s="402">
        <v>31.53</v>
      </c>
      <c r="T424" s="402"/>
      <c r="U424" s="402">
        <v>11.97</v>
      </c>
      <c r="V424" s="402"/>
      <c r="W424" s="402"/>
      <c r="X424" s="402"/>
      <c r="Y424" s="402">
        <f t="shared" si="170"/>
        <v>52.18</v>
      </c>
      <c r="Z424" s="402">
        <v>7.18</v>
      </c>
      <c r="AA424" s="402"/>
      <c r="AB424" s="402"/>
      <c r="AC424" s="402"/>
      <c r="AD424" s="402"/>
      <c r="AE424" s="404">
        <v>45</v>
      </c>
      <c r="AF424" s="402">
        <f t="shared" si="171"/>
        <v>21.69</v>
      </c>
      <c r="AG424" s="402">
        <v>8.11</v>
      </c>
      <c r="AH424" s="402">
        <v>4.06</v>
      </c>
      <c r="AI424" s="402">
        <v>3.04</v>
      </c>
      <c r="AJ424" s="402">
        <v>0.1</v>
      </c>
      <c r="AK424" s="402">
        <v>0.3</v>
      </c>
      <c r="AL424" s="402">
        <v>6.08</v>
      </c>
      <c r="AM424" s="402"/>
      <c r="AN424" s="350"/>
      <c r="AO424" s="205">
        <f t="shared" si="147"/>
        <v>45</v>
      </c>
      <c r="AP424">
        <v>3.5</v>
      </c>
    </row>
  </sheetData>
  <autoFilter ref="A8:AR424">
    <filterColumn colId="2">
      <colorFilter dxfId="0"/>
    </filterColumn>
    <extLst/>
  </autoFilter>
  <sortState ref="A17:AQ93">
    <sortCondition ref="C17:C93"/>
  </sortState>
  <mergeCells count="24">
    <mergeCell ref="E5:AM5"/>
    <mergeCell ref="F6:P6"/>
    <mergeCell ref="Q6:AE6"/>
    <mergeCell ref="AF6:AM6"/>
    <mergeCell ref="G7:L7"/>
    <mergeCell ref="M7:P7"/>
    <mergeCell ref="R7:X7"/>
    <mergeCell ref="Y7:AE7"/>
    <mergeCell ref="A5:A8"/>
    <mergeCell ref="B5:B8"/>
    <mergeCell ref="C5:C8"/>
    <mergeCell ref="D5:D8"/>
    <mergeCell ref="E6:E8"/>
    <mergeCell ref="F7:F8"/>
    <mergeCell ref="Q7:Q8"/>
    <mergeCell ref="AF7:AF8"/>
    <mergeCell ref="AG7:AG8"/>
    <mergeCell ref="AH7:AH8"/>
    <mergeCell ref="AI7:AI8"/>
    <mergeCell ref="AJ7:AJ8"/>
    <mergeCell ref="AK7:AK8"/>
    <mergeCell ref="AL7:AL8"/>
    <mergeCell ref="AM7:AM8"/>
    <mergeCell ref="AN5:AN8"/>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24"/>
  <sheetViews>
    <sheetView workbookViewId="0">
      <selection activeCell="G25" sqref="G25"/>
    </sheetView>
  </sheetViews>
  <sheetFormatPr defaultColWidth="9" defaultRowHeight="13.5"/>
  <cols>
    <col min="2" max="2" width="25.3666666666667" customWidth="1"/>
    <col min="3" max="3" width="11.8666666666667" customWidth="1"/>
    <col min="4" max="6" width="12.8666666666667" customWidth="1"/>
    <col min="7" max="16" width="10.8666666666667" customWidth="1"/>
  </cols>
  <sheetData>
    <row r="3" ht="19" customHeight="1" spans="1:15">
      <c r="A3" s="387" t="s">
        <v>163</v>
      </c>
      <c r="B3" s="387" t="s">
        <v>164</v>
      </c>
      <c r="C3" s="387" t="s">
        <v>165</v>
      </c>
      <c r="D3" s="388" t="s">
        <v>155</v>
      </c>
      <c r="E3" s="388"/>
      <c r="F3" s="388"/>
      <c r="G3" s="389" t="s">
        <v>738</v>
      </c>
      <c r="H3" s="389"/>
      <c r="I3" s="389"/>
      <c r="J3" s="389" t="s">
        <v>739</v>
      </c>
      <c r="K3" s="389"/>
      <c r="L3" s="389"/>
      <c r="M3" s="389" t="s">
        <v>740</v>
      </c>
      <c r="N3" s="389"/>
      <c r="O3" s="389"/>
    </row>
    <row r="4" ht="19" customHeight="1" spans="1:15">
      <c r="A4" s="390"/>
      <c r="B4" s="390"/>
      <c r="C4" s="390"/>
      <c r="D4" s="31" t="s">
        <v>741</v>
      </c>
      <c r="E4" s="31" t="s">
        <v>742</v>
      </c>
      <c r="F4" s="387" t="s">
        <v>743</v>
      </c>
      <c r="G4" s="29" t="s">
        <v>741</v>
      </c>
      <c r="H4" s="29" t="s">
        <v>742</v>
      </c>
      <c r="I4" s="399" t="s">
        <v>743</v>
      </c>
      <c r="J4" s="29" t="s">
        <v>741</v>
      </c>
      <c r="K4" s="29" t="s">
        <v>742</v>
      </c>
      <c r="L4" s="399" t="s">
        <v>743</v>
      </c>
      <c r="M4" s="29" t="s">
        <v>741</v>
      </c>
      <c r="N4" s="29" t="s">
        <v>742</v>
      </c>
      <c r="O4" s="399" t="s">
        <v>743</v>
      </c>
    </row>
    <row r="5" ht="19" customHeight="1" spans="1:15">
      <c r="A5" s="391"/>
      <c r="B5" s="391"/>
      <c r="C5" s="391"/>
      <c r="D5" s="31"/>
      <c r="E5" s="31"/>
      <c r="F5" s="391"/>
      <c r="G5" s="29"/>
      <c r="H5" s="29"/>
      <c r="I5" s="400"/>
      <c r="J5" s="29"/>
      <c r="K5" s="29"/>
      <c r="L5" s="400"/>
      <c r="M5" s="29"/>
      <c r="N5" s="29"/>
      <c r="O5" s="400"/>
    </row>
    <row r="6" ht="22" customHeight="1" spans="1:15">
      <c r="A6" s="392"/>
      <c r="B6" s="393" t="s">
        <v>124</v>
      </c>
      <c r="C6" s="393"/>
      <c r="D6" s="394">
        <f>SUM(D7:D19)</f>
        <v>115509.589176</v>
      </c>
      <c r="E6" s="394">
        <f>SUM(E7:E19)</f>
        <v>10796.38116696</v>
      </c>
      <c r="F6" s="394">
        <f>SUM(F7:F19)</f>
        <v>126305.97034296</v>
      </c>
      <c r="G6" s="394">
        <f t="shared" ref="G6:O6" si="0">SUM(G7:G19)</f>
        <v>23565.369248</v>
      </c>
      <c r="H6" s="394">
        <f t="shared" si="0"/>
        <v>1197.27181</v>
      </c>
      <c r="I6" s="394">
        <f t="shared" si="0"/>
        <v>24762.641058</v>
      </c>
      <c r="J6" s="394">
        <f t="shared" si="0"/>
        <v>66691.109428</v>
      </c>
      <c r="K6" s="394">
        <f t="shared" si="0"/>
        <v>7647.65832</v>
      </c>
      <c r="L6" s="394">
        <f t="shared" si="0"/>
        <v>74338.767748</v>
      </c>
      <c r="M6" s="394">
        <f t="shared" si="0"/>
        <v>25253.1105</v>
      </c>
      <c r="N6" s="394">
        <f t="shared" si="0"/>
        <v>1951.45103696</v>
      </c>
      <c r="O6" s="394">
        <f t="shared" si="0"/>
        <v>27204.56153696</v>
      </c>
    </row>
    <row r="7" ht="22" customHeight="1" spans="1:15">
      <c r="A7" s="31" t="s">
        <v>744</v>
      </c>
      <c r="B7" s="395" t="s">
        <v>132</v>
      </c>
      <c r="C7" s="331">
        <v>201</v>
      </c>
      <c r="D7" s="396">
        <f>G7+J7+M7</f>
        <v>24934.537548</v>
      </c>
      <c r="E7" s="396">
        <f>H7+K7+N7</f>
        <v>1045.7240972</v>
      </c>
      <c r="F7" s="394">
        <f>I7+L7+O7</f>
        <v>25980.2616452</v>
      </c>
      <c r="G7" s="397">
        <f>'工资福利（公务员、参公人员）'!E7</f>
        <v>11306.915348</v>
      </c>
      <c r="H7" s="397">
        <f>'工资福利（公务员、参公人员）'!P7</f>
        <v>152.9451</v>
      </c>
      <c r="I7" s="397">
        <f>G7+H7</f>
        <v>11459.860448</v>
      </c>
      <c r="J7" s="397">
        <f>'工资福利（事业）'!E7</f>
        <v>8797.5522</v>
      </c>
      <c r="K7" s="397">
        <f>'工资福利（事业）'!T7</f>
        <v>418.9258</v>
      </c>
      <c r="L7" s="397">
        <f>J7+K7</f>
        <v>9216.478</v>
      </c>
      <c r="M7" s="397">
        <f>'社会保障性支出（五险二金）'!E7</f>
        <v>4830.07</v>
      </c>
      <c r="N7" s="397">
        <f>'社会保障性支出（五险二金）'!M7</f>
        <v>473.8531972</v>
      </c>
      <c r="O7" s="397">
        <f t="shared" ref="O7:O19" si="1">M7+N7</f>
        <v>5303.9231972</v>
      </c>
    </row>
    <row r="8" ht="22" customHeight="1" spans="1:15">
      <c r="A8" s="398" t="s">
        <v>745</v>
      </c>
      <c r="B8" s="398" t="s">
        <v>133</v>
      </c>
      <c r="C8" s="398">
        <v>204</v>
      </c>
      <c r="D8" s="396">
        <f t="shared" ref="D8:D19" si="2">G8+J8+M8</f>
        <v>8215.71</v>
      </c>
      <c r="E8" s="396">
        <f t="shared" ref="E8:E19" si="3">H8+K8+N8</f>
        <v>615.87244</v>
      </c>
      <c r="F8" s="394">
        <f t="shared" ref="F8:F19" si="4">I8+L8+O8</f>
        <v>8831.58244</v>
      </c>
      <c r="G8" s="397">
        <f>'工资福利（公务员、参公人员）'!E187</f>
        <v>6275.3</v>
      </c>
      <c r="H8" s="397">
        <f>'工资福利（公务员、参公人员）'!P187</f>
        <v>608.4805</v>
      </c>
      <c r="I8" s="397">
        <f t="shared" ref="I8:I19" si="5">G8+H8</f>
        <v>6883.7805</v>
      </c>
      <c r="J8" s="397">
        <f>'工资福利（事业）'!E187</f>
        <v>435.15</v>
      </c>
      <c r="K8" s="397">
        <f>'工资福利（事业）'!T187</f>
        <v>-98.8583</v>
      </c>
      <c r="L8" s="397">
        <f t="shared" ref="L8:L19" si="6">J8+K8</f>
        <v>336.2917</v>
      </c>
      <c r="M8" s="397">
        <f>'社会保障性支出（五险二金）'!E187</f>
        <v>1505.26</v>
      </c>
      <c r="N8" s="397">
        <f>'社会保障性支出（五险二金）'!M187</f>
        <v>106.25024</v>
      </c>
      <c r="O8" s="397">
        <f t="shared" si="1"/>
        <v>1611.51024</v>
      </c>
    </row>
    <row r="9" ht="22" customHeight="1" spans="1:15">
      <c r="A9" s="398" t="s">
        <v>746</v>
      </c>
      <c r="B9" s="398" t="s">
        <v>134</v>
      </c>
      <c r="C9" s="398">
        <v>205</v>
      </c>
      <c r="D9" s="396">
        <f t="shared" si="2"/>
        <v>56478.43</v>
      </c>
      <c r="E9" s="396">
        <f t="shared" si="3"/>
        <v>7984.4795</v>
      </c>
      <c r="F9" s="394">
        <f t="shared" si="4"/>
        <v>64462.9095</v>
      </c>
      <c r="G9" s="397">
        <f>'工资福利（公务员、参公人员）'!E198</f>
        <v>235.72</v>
      </c>
      <c r="H9" s="397">
        <f>'工资福利（公务员、参公人员）'!P198</f>
        <v>105.9761</v>
      </c>
      <c r="I9" s="397">
        <f t="shared" si="5"/>
        <v>341.6961</v>
      </c>
      <c r="J9" s="397">
        <f>'工资福利（事业）'!E198</f>
        <v>43685.54</v>
      </c>
      <c r="K9" s="397">
        <f>'工资福利（事业）'!T198</f>
        <v>6938.6708</v>
      </c>
      <c r="L9" s="397">
        <f t="shared" si="6"/>
        <v>50624.2108</v>
      </c>
      <c r="M9" s="397">
        <f>'社会保障性支出（五险二金）'!E198</f>
        <v>12557.17</v>
      </c>
      <c r="N9" s="397">
        <f>'社会保障性支出（五险二金）'!M198</f>
        <v>939.8326</v>
      </c>
      <c r="O9" s="397">
        <f t="shared" si="1"/>
        <v>13497.0026</v>
      </c>
    </row>
    <row r="10" ht="22" customHeight="1" spans="1:15">
      <c r="A10" s="398" t="s">
        <v>747</v>
      </c>
      <c r="B10" s="398" t="s">
        <v>135</v>
      </c>
      <c r="C10" s="398">
        <v>206</v>
      </c>
      <c r="D10" s="396">
        <f t="shared" si="2"/>
        <v>103.66</v>
      </c>
      <c r="E10" s="396">
        <f t="shared" si="3"/>
        <v>34.52224</v>
      </c>
      <c r="F10" s="394">
        <f t="shared" si="4"/>
        <v>138.18224</v>
      </c>
      <c r="G10" s="397">
        <f>'工资福利（公务员、参公人员）'!E259</f>
        <v>52.52</v>
      </c>
      <c r="H10" s="397">
        <f>'工资福利（公务员、参公人员）'!P259</f>
        <v>35.1468</v>
      </c>
      <c r="I10" s="397">
        <f t="shared" si="5"/>
        <v>87.6668</v>
      </c>
      <c r="J10" s="397">
        <f>'工资福利（事业）'!E259</f>
        <v>27.06</v>
      </c>
      <c r="K10" s="397">
        <f>'工资福利（事业）'!T259</f>
        <v>-3.14</v>
      </c>
      <c r="L10" s="397">
        <f t="shared" si="6"/>
        <v>23.92</v>
      </c>
      <c r="M10" s="397">
        <f>'社会保障性支出（五险二金）'!E259</f>
        <v>24.08</v>
      </c>
      <c r="N10" s="397">
        <f>'社会保障性支出（五险二金）'!M259</f>
        <v>2.51544</v>
      </c>
      <c r="O10" s="397">
        <f t="shared" si="1"/>
        <v>26.59544</v>
      </c>
    </row>
    <row r="11" ht="22" customHeight="1" spans="1:15">
      <c r="A11" s="398" t="s">
        <v>748</v>
      </c>
      <c r="B11" s="398" t="s">
        <v>136</v>
      </c>
      <c r="C11" s="398">
        <v>207</v>
      </c>
      <c r="D11" s="396">
        <f t="shared" si="2"/>
        <v>1943.026928</v>
      </c>
      <c r="E11" s="396">
        <f t="shared" si="3"/>
        <v>-77.74538</v>
      </c>
      <c r="F11" s="394">
        <f t="shared" si="4"/>
        <v>1865.281548</v>
      </c>
      <c r="G11" s="397">
        <f>'工资福利（公务员、参公人员）'!E262</f>
        <v>307.5</v>
      </c>
      <c r="H11" s="397">
        <f>'工资福利（公务员、参公人员）'!P262</f>
        <v>-57.7044</v>
      </c>
      <c r="I11" s="397">
        <f t="shared" si="5"/>
        <v>249.7956</v>
      </c>
      <c r="J11" s="397">
        <f>'工资福利（事业）'!E262</f>
        <v>1342.246928</v>
      </c>
      <c r="K11" s="397">
        <f>'工资福利（事业）'!T262</f>
        <v>-63.7532</v>
      </c>
      <c r="L11" s="397">
        <f t="shared" si="6"/>
        <v>1278.493728</v>
      </c>
      <c r="M11" s="397">
        <f>'社会保障性支出（五险二金）'!E262</f>
        <v>293.28</v>
      </c>
      <c r="N11" s="397">
        <f>'社会保障性支出（五险二金）'!M262</f>
        <v>43.71222</v>
      </c>
      <c r="O11" s="397">
        <f t="shared" si="1"/>
        <v>336.99222</v>
      </c>
    </row>
    <row r="12" ht="22" customHeight="1" spans="1:15">
      <c r="A12" s="398" t="s">
        <v>749</v>
      </c>
      <c r="B12" s="398" t="s">
        <v>137</v>
      </c>
      <c r="C12" s="398">
        <v>208</v>
      </c>
      <c r="D12" s="396">
        <f t="shared" si="2"/>
        <v>3792.47</v>
      </c>
      <c r="E12" s="396">
        <f t="shared" si="3"/>
        <v>-137.3377516</v>
      </c>
      <c r="F12" s="394">
        <f t="shared" si="4"/>
        <v>3655.1322484</v>
      </c>
      <c r="G12" s="397">
        <f>'工资福利（公务员、参公人员）'!E277</f>
        <v>590.57</v>
      </c>
      <c r="H12" s="397">
        <f>'工资福利（公务员、参公人员）'!P277</f>
        <v>-28.04216</v>
      </c>
      <c r="I12" s="397">
        <f t="shared" si="5"/>
        <v>562.52784</v>
      </c>
      <c r="J12" s="397">
        <f>'工资福利（事业）'!E277</f>
        <v>755.3</v>
      </c>
      <c r="K12" s="397">
        <f>'工资福利（事业）'!T277</f>
        <v>-125.0744</v>
      </c>
      <c r="L12" s="397">
        <f t="shared" si="6"/>
        <v>630.2256</v>
      </c>
      <c r="M12" s="397">
        <f>'社会保障性支出（五险二金）'!E277</f>
        <v>2446.6</v>
      </c>
      <c r="N12" s="397">
        <f>'社会保障性支出（五险二金）'!M277</f>
        <v>15.7788084</v>
      </c>
      <c r="O12" s="397">
        <f t="shared" si="1"/>
        <v>2462.3788084</v>
      </c>
    </row>
    <row r="13" ht="22" customHeight="1" spans="1:15">
      <c r="A13" s="398" t="s">
        <v>750</v>
      </c>
      <c r="B13" s="398" t="s">
        <v>138</v>
      </c>
      <c r="C13" s="398">
        <v>210</v>
      </c>
      <c r="D13" s="396">
        <f t="shared" si="2"/>
        <v>6990.8977</v>
      </c>
      <c r="E13" s="396">
        <f t="shared" si="3"/>
        <v>1474.76454268</v>
      </c>
      <c r="F13" s="394">
        <f t="shared" si="4"/>
        <v>8465.66224268</v>
      </c>
      <c r="G13" s="397">
        <f>'工资福利（公务员、参公人员）'!E299</f>
        <v>482.6</v>
      </c>
      <c r="H13" s="397">
        <f>'工资福利（公务员、参公人员）'!P299</f>
        <v>188.64645</v>
      </c>
      <c r="I13" s="397">
        <f t="shared" si="5"/>
        <v>671.24645</v>
      </c>
      <c r="J13" s="397">
        <f>'工资福利（事业）'!E299</f>
        <v>5175.968</v>
      </c>
      <c r="K13" s="397">
        <f>'工资福利（事业）'!T299</f>
        <v>1133.05141</v>
      </c>
      <c r="L13" s="397">
        <f t="shared" si="6"/>
        <v>6309.01941</v>
      </c>
      <c r="M13" s="397">
        <f>'社会保障性支出（五险二金）'!E299</f>
        <v>1332.3297</v>
      </c>
      <c r="N13" s="397">
        <f>'社会保障性支出（五险二金）'!M299</f>
        <v>153.06668268</v>
      </c>
      <c r="O13" s="397">
        <f t="shared" si="1"/>
        <v>1485.39638268</v>
      </c>
    </row>
    <row r="14" ht="22" customHeight="1" spans="1:15">
      <c r="A14" s="398" t="s">
        <v>751</v>
      </c>
      <c r="B14" s="398" t="s">
        <v>140</v>
      </c>
      <c r="C14" s="398">
        <v>212</v>
      </c>
      <c r="D14" s="396">
        <f t="shared" si="2"/>
        <v>2817.1483</v>
      </c>
      <c r="E14" s="396">
        <f t="shared" si="3"/>
        <v>7.20373467999996</v>
      </c>
      <c r="F14" s="394">
        <f t="shared" si="4"/>
        <v>2824.35203468</v>
      </c>
      <c r="G14" s="397">
        <f>'工资福利（公务员、参公人员）'!E329</f>
        <v>1302.66</v>
      </c>
      <c r="H14" s="397">
        <f>'工资福利（公务员、参公人员）'!P329</f>
        <v>132.0722</v>
      </c>
      <c r="I14" s="397">
        <f t="shared" si="5"/>
        <v>1434.7322</v>
      </c>
      <c r="J14" s="397">
        <f>'工资福利（事业）'!E329</f>
        <v>1157.9083</v>
      </c>
      <c r="K14" s="397">
        <f>'工资福利（事业）'!T329</f>
        <v>-147.65489</v>
      </c>
      <c r="L14" s="397">
        <f t="shared" si="6"/>
        <v>1010.25341</v>
      </c>
      <c r="M14" s="397">
        <f>'社会保障性支出（五险二金）'!E329</f>
        <v>356.58</v>
      </c>
      <c r="N14" s="397">
        <f>'社会保障性支出（五险二金）'!M329</f>
        <v>22.78642468</v>
      </c>
      <c r="O14" s="397">
        <f t="shared" si="1"/>
        <v>379.36642468</v>
      </c>
    </row>
    <row r="15" ht="22" customHeight="1" spans="1:15">
      <c r="A15" s="398" t="s">
        <v>752</v>
      </c>
      <c r="B15" s="398" t="s">
        <v>141</v>
      </c>
      <c r="C15" s="398">
        <v>213</v>
      </c>
      <c r="D15" s="396">
        <f t="shared" si="2"/>
        <v>5914.93</v>
      </c>
      <c r="E15" s="396">
        <f t="shared" si="3"/>
        <v>-209.229956</v>
      </c>
      <c r="F15" s="394">
        <f t="shared" si="4"/>
        <v>5705.700044</v>
      </c>
      <c r="G15" s="397">
        <f>'工资福利（公务员、参公人员）'!E345</f>
        <v>1096.27</v>
      </c>
      <c r="H15" s="397">
        <f>'工资福利（公务员、参公人员）'!P345</f>
        <v>132.53432</v>
      </c>
      <c r="I15" s="397">
        <f t="shared" si="5"/>
        <v>1228.80432</v>
      </c>
      <c r="J15" s="397">
        <f>'工资福利（事业）'!E345</f>
        <v>3652.13</v>
      </c>
      <c r="K15" s="397">
        <f>'工资福利（事业）'!T345</f>
        <v>-439.0157</v>
      </c>
      <c r="L15" s="397">
        <f t="shared" si="6"/>
        <v>3213.1143</v>
      </c>
      <c r="M15" s="397">
        <f>'社会保障性支出（五险二金）'!E345</f>
        <v>1166.53</v>
      </c>
      <c r="N15" s="397">
        <f>'社会保障性支出（五险二金）'!M345</f>
        <v>97.251424</v>
      </c>
      <c r="O15" s="397">
        <f t="shared" si="1"/>
        <v>1263.781424</v>
      </c>
    </row>
    <row r="16" ht="22" customHeight="1" spans="1:15">
      <c r="A16" s="398" t="s">
        <v>753</v>
      </c>
      <c r="B16" s="398" t="s">
        <v>142</v>
      </c>
      <c r="C16" s="398">
        <v>214</v>
      </c>
      <c r="D16" s="396">
        <f t="shared" si="2"/>
        <v>1077.23</v>
      </c>
      <c r="E16" s="396">
        <f t="shared" si="3"/>
        <v>-113.63216</v>
      </c>
      <c r="F16" s="394">
        <f t="shared" si="4"/>
        <v>963.59784</v>
      </c>
      <c r="G16" s="397">
        <f>'工资福利（公务员、参公人员）'!E390</f>
        <v>261.22</v>
      </c>
      <c r="H16" s="397">
        <f>'工资福利（公务员、参公人员）'!P390</f>
        <v>-12.2154</v>
      </c>
      <c r="I16" s="397">
        <f t="shared" si="5"/>
        <v>249.0046</v>
      </c>
      <c r="J16" s="397">
        <f>'工资福利（事业）'!E390</f>
        <v>608.75</v>
      </c>
      <c r="K16" s="397">
        <f>'工资福利（事业）'!T390</f>
        <v>-109.9682</v>
      </c>
      <c r="L16" s="397">
        <f t="shared" si="6"/>
        <v>498.7818</v>
      </c>
      <c r="M16" s="397">
        <f>'社会保障性支出（五险二金）'!E390</f>
        <v>207.26</v>
      </c>
      <c r="N16" s="397">
        <f>'社会保障性支出（五险二金）'!M390</f>
        <v>8.55144</v>
      </c>
      <c r="O16" s="397">
        <f t="shared" si="1"/>
        <v>215.81144</v>
      </c>
    </row>
    <row r="17" ht="22" customHeight="1" spans="1:15">
      <c r="A17" s="398" t="s">
        <v>754</v>
      </c>
      <c r="B17" s="398" t="s">
        <v>144</v>
      </c>
      <c r="C17" s="398">
        <v>216</v>
      </c>
      <c r="D17" s="396">
        <f t="shared" si="2"/>
        <v>249.106</v>
      </c>
      <c r="E17" s="396">
        <f t="shared" si="3"/>
        <v>-34.7348</v>
      </c>
      <c r="F17" s="394">
        <f t="shared" si="4"/>
        <v>214.3712</v>
      </c>
      <c r="G17" s="397">
        <f>'工资福利（公务员、参公人员）'!E399</f>
        <v>175.04</v>
      </c>
      <c r="H17" s="397">
        <f>'工资福利（公务员、参公人员）'!P399</f>
        <v>-23.9604</v>
      </c>
      <c r="I17" s="397">
        <f t="shared" si="5"/>
        <v>151.0796</v>
      </c>
      <c r="J17" s="397">
        <f>'工资福利（事业）'!E399</f>
        <v>26.466</v>
      </c>
      <c r="K17" s="397">
        <f>'工资福利（事业）'!T399</f>
        <v>-7.65</v>
      </c>
      <c r="L17" s="397">
        <f t="shared" si="6"/>
        <v>18.816</v>
      </c>
      <c r="M17" s="397">
        <f>'社会保障性支出（五险二金）'!E399</f>
        <v>47.6</v>
      </c>
      <c r="N17" s="397">
        <f>'社会保障性支出（五险二金）'!M399</f>
        <v>-3.1244</v>
      </c>
      <c r="O17" s="397">
        <f t="shared" si="1"/>
        <v>44.4756</v>
      </c>
    </row>
    <row r="18" ht="22" customHeight="1" spans="1:15">
      <c r="A18" s="398" t="s">
        <v>755</v>
      </c>
      <c r="B18" s="398" t="s">
        <v>146</v>
      </c>
      <c r="C18" s="398">
        <v>220</v>
      </c>
      <c r="D18" s="396">
        <f t="shared" si="2"/>
        <v>1912.9647</v>
      </c>
      <c r="E18" s="396">
        <f t="shared" si="3"/>
        <v>255.1521</v>
      </c>
      <c r="F18" s="394">
        <f t="shared" si="4"/>
        <v>2168.1168</v>
      </c>
      <c r="G18" s="397">
        <f>'工资福利（公务员、参公人员）'!E402</f>
        <v>861.6139</v>
      </c>
      <c r="H18" s="397">
        <f>'工资福利（公务员、参公人员）'!P402</f>
        <v>-28.0545</v>
      </c>
      <c r="I18" s="397">
        <f t="shared" si="5"/>
        <v>833.5594</v>
      </c>
      <c r="J18" s="397">
        <f>'工资福利（事业）'!E402</f>
        <v>699.72</v>
      </c>
      <c r="K18" s="397">
        <f>'工资福利（事业）'!T402</f>
        <v>205.335</v>
      </c>
      <c r="L18" s="397">
        <f t="shared" si="6"/>
        <v>905.055</v>
      </c>
      <c r="M18" s="397">
        <f>'社会保障性支出（五险二金）'!E402</f>
        <v>351.6308</v>
      </c>
      <c r="N18" s="397">
        <f>'社会保障性支出（五险二金）'!M402</f>
        <v>77.8716</v>
      </c>
      <c r="O18" s="397">
        <f t="shared" si="1"/>
        <v>429.5024</v>
      </c>
    </row>
    <row r="19" ht="22" customHeight="1" spans="1:15">
      <c r="A19" s="398" t="s">
        <v>756</v>
      </c>
      <c r="B19" s="398" t="s">
        <v>148</v>
      </c>
      <c r="C19" s="398">
        <v>224</v>
      </c>
      <c r="D19" s="396">
        <f t="shared" si="2"/>
        <v>1079.478</v>
      </c>
      <c r="E19" s="396">
        <f t="shared" si="3"/>
        <v>-48.65744</v>
      </c>
      <c r="F19" s="394">
        <f t="shared" si="4"/>
        <v>1030.82056</v>
      </c>
      <c r="G19" s="397">
        <f>'工资福利（公务员、参公人员）'!E414</f>
        <v>617.44</v>
      </c>
      <c r="H19" s="397">
        <f>'工资福利（公务员、参公人员）'!P414</f>
        <v>-8.55280000000001</v>
      </c>
      <c r="I19" s="397">
        <f t="shared" si="5"/>
        <v>608.8872</v>
      </c>
      <c r="J19" s="397">
        <f>'工资福利（事业）'!E414</f>
        <v>327.318</v>
      </c>
      <c r="K19" s="397">
        <f>'工资福利（事业）'!T414</f>
        <v>-53.21</v>
      </c>
      <c r="L19" s="397">
        <f t="shared" si="6"/>
        <v>274.108</v>
      </c>
      <c r="M19" s="397">
        <f>'社会保障性支出（五险二金）'!E414</f>
        <v>134.72</v>
      </c>
      <c r="N19" s="397">
        <f>'社会保障性支出（五险二金）'!M414</f>
        <v>13.10536</v>
      </c>
      <c r="O19" s="397">
        <f t="shared" si="1"/>
        <v>147.82536</v>
      </c>
    </row>
    <row r="20" spans="1:14">
      <c r="A20" s="210"/>
      <c r="B20" s="210"/>
      <c r="C20" s="210"/>
      <c r="D20" s="210"/>
      <c r="E20" s="210"/>
      <c r="F20" s="210"/>
      <c r="G20" s="210"/>
      <c r="H20" s="210"/>
      <c r="I20" s="210"/>
      <c r="J20" s="210"/>
      <c r="K20" s="210"/>
      <c r="L20" s="210"/>
      <c r="M20" s="210"/>
      <c r="N20" s="210"/>
    </row>
    <row r="21" spans="1:4">
      <c r="A21" s="210"/>
      <c r="B21" s="210"/>
      <c r="C21" s="210"/>
      <c r="D21" s="210"/>
    </row>
    <row r="22" spans="1:4">
      <c r="A22" s="210"/>
      <c r="B22" s="210"/>
      <c r="C22" s="210"/>
      <c r="D22" s="210"/>
    </row>
    <row r="23" spans="1:4">
      <c r="A23" s="210"/>
      <c r="B23" s="210"/>
      <c r="C23" s="210"/>
      <c r="D23" s="210"/>
    </row>
    <row r="24" spans="1:4">
      <c r="A24" s="210"/>
      <c r="B24" s="210"/>
      <c r="C24" s="210"/>
      <c r="D24" s="210"/>
    </row>
  </sheetData>
  <mergeCells count="19">
    <mergeCell ref="D3:F3"/>
    <mergeCell ref="G3:I3"/>
    <mergeCell ref="J3:L3"/>
    <mergeCell ref="M3:O3"/>
    <mergeCell ref="A3:A5"/>
    <mergeCell ref="B3:B5"/>
    <mergeCell ref="C3:C5"/>
    <mergeCell ref="D4:D5"/>
    <mergeCell ref="E4:E5"/>
    <mergeCell ref="F4:F5"/>
    <mergeCell ref="G4:G5"/>
    <mergeCell ref="H4:H5"/>
    <mergeCell ref="I4:I5"/>
    <mergeCell ref="J4:J5"/>
    <mergeCell ref="K4:K5"/>
    <mergeCell ref="L4:L5"/>
    <mergeCell ref="M4:M5"/>
    <mergeCell ref="N4:N5"/>
    <mergeCell ref="O4:O5"/>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424"/>
  <sheetViews>
    <sheetView workbookViewId="0">
      <pane xSplit="4" ySplit="8" topLeftCell="AE197" activePane="bottomRight" state="frozen"/>
      <selection/>
      <selection pane="topRight"/>
      <selection pane="bottomLeft"/>
      <selection pane="bottomRight" activeCell="AN6" sqref="AN5:AQ6"/>
    </sheetView>
  </sheetViews>
  <sheetFormatPr defaultColWidth="9" defaultRowHeight="13.5"/>
  <cols>
    <col min="1" max="2" width="8.225" style="312" customWidth="1"/>
    <col min="3" max="3" width="20.5" style="378" customWidth="1"/>
    <col min="4" max="4" width="9.5" style="312" customWidth="1"/>
    <col min="5" max="5" width="11" customWidth="1"/>
    <col min="6" max="6" width="10.725" hidden="1" customWidth="1"/>
    <col min="7" max="7" width="10.1333333333333" hidden="1" customWidth="1"/>
    <col min="8" max="8" width="9.36666666666667" hidden="1" customWidth="1"/>
    <col min="9" max="9" width="9.44166666666667" hidden="1" customWidth="1"/>
    <col min="10" max="10" width="7.86666666666667" hidden="1" customWidth="1"/>
    <col min="11" max="11" width="8.13333333333333" hidden="1" customWidth="1"/>
    <col min="12" max="12" width="10.3666666666667" hidden="1" customWidth="1"/>
    <col min="13" max="13" width="12.9083333333333" hidden="1" customWidth="1"/>
    <col min="14" max="14" width="9.68333333333333" hidden="1" customWidth="1"/>
    <col min="15" max="15" width="10.6833333333333" hidden="1" customWidth="1"/>
    <col min="16" max="19" width="10.6833333333333" customWidth="1"/>
    <col min="20" max="20" width="9.5" customWidth="1"/>
    <col min="21" max="21" width="10.3666666666667" customWidth="1"/>
    <col min="22" max="22" width="10.725" customWidth="1"/>
    <col min="23" max="23" width="10.6833333333333" customWidth="1"/>
    <col min="24" max="24" width="12.225" customWidth="1"/>
    <col min="25" max="27" width="8.725" customWidth="1"/>
    <col min="28" max="28" width="9.63333333333333" customWidth="1"/>
    <col min="29" max="36" width="10.6833333333333" customWidth="1"/>
    <col min="37" max="37" width="8" customWidth="1"/>
    <col min="38" max="38" width="10.6833333333333" customWidth="1"/>
    <col min="39" max="39" width="12.6333333333333" customWidth="1"/>
    <col min="40" max="42" width="10.225" customWidth="1"/>
    <col min="43" max="43" width="9.86666666666667" customWidth="1"/>
    <col min="44" max="45" width="10.6833333333333" customWidth="1"/>
    <col min="46" max="46" width="29.6333333333333" style="312" customWidth="1"/>
    <col min="47" max="47" width="12.3666666666667" hidden="1" customWidth="1"/>
  </cols>
  <sheetData>
    <row r="1" ht="27" spans="1:46">
      <c r="A1" s="353" t="s">
        <v>757</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row>
    <row r="2" s="352" customFormat="1" spans="1:46">
      <c r="A2" s="354"/>
      <c r="B2" s="354"/>
      <c r="C2" s="354"/>
      <c r="D2" s="354"/>
      <c r="E2" s="379"/>
      <c r="F2" s="73"/>
      <c r="G2" s="73"/>
      <c r="H2" s="73"/>
      <c r="I2" s="380"/>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f>'工资福利（事业）'!BA6</f>
        <v>8301.06</v>
      </c>
      <c r="AO2" s="73">
        <f>'工资福利（事业）'!BB6</f>
        <v>6245</v>
      </c>
      <c r="AP2" s="73">
        <f>'工资福利（事业）'!AX6</f>
        <v>4473.6</v>
      </c>
      <c r="AQ2" s="73">
        <f>'工资福利（事业）'!BC6</f>
        <v>3539.6306</v>
      </c>
      <c r="AR2" s="73"/>
      <c r="AS2" s="73"/>
      <c r="AT2" s="354" t="s">
        <v>2</v>
      </c>
    </row>
    <row r="3" ht="18" customHeight="1" spans="1:46">
      <c r="A3" s="288" t="s">
        <v>162</v>
      </c>
      <c r="B3" s="288" t="s">
        <v>163</v>
      </c>
      <c r="C3" s="288" t="s">
        <v>164</v>
      </c>
      <c r="D3" s="288" t="s">
        <v>165</v>
      </c>
      <c r="E3" s="355" t="s">
        <v>122</v>
      </c>
      <c r="F3" s="355"/>
      <c r="G3" s="355"/>
      <c r="H3" s="355"/>
      <c r="I3" s="355"/>
      <c r="J3" s="355"/>
      <c r="K3" s="355"/>
      <c r="L3" s="355"/>
      <c r="M3" s="355"/>
      <c r="N3" s="355"/>
      <c r="O3" s="355"/>
      <c r="P3" s="381" t="s">
        <v>758</v>
      </c>
      <c r="Q3" s="382"/>
      <c r="R3" s="382"/>
      <c r="S3" s="382"/>
      <c r="T3" s="382"/>
      <c r="U3" s="382"/>
      <c r="V3" s="382"/>
      <c r="W3" s="382"/>
      <c r="X3" s="382"/>
      <c r="Y3" s="382"/>
      <c r="Z3" s="382"/>
      <c r="AA3" s="382"/>
      <c r="AB3" s="382"/>
      <c r="AC3" s="382"/>
      <c r="AD3" s="383"/>
      <c r="AE3" s="384" t="s">
        <v>759</v>
      </c>
      <c r="AF3" s="384"/>
      <c r="AG3" s="384"/>
      <c r="AH3" s="384"/>
      <c r="AI3" s="384"/>
      <c r="AJ3" s="384"/>
      <c r="AK3" s="384"/>
      <c r="AL3" s="384"/>
      <c r="AM3" s="384"/>
      <c r="AN3" s="384"/>
      <c r="AO3" s="384"/>
      <c r="AP3" s="384"/>
      <c r="AQ3" s="384"/>
      <c r="AR3" s="384"/>
      <c r="AS3" s="385"/>
      <c r="AT3" s="94" t="s">
        <v>760</v>
      </c>
    </row>
    <row r="4" s="210" customFormat="1" spans="1:46">
      <c r="A4" s="275"/>
      <c r="B4" s="275"/>
      <c r="C4" s="275"/>
      <c r="D4" s="275"/>
      <c r="E4" s="94" t="s">
        <v>741</v>
      </c>
      <c r="F4" s="94" t="s">
        <v>172</v>
      </c>
      <c r="G4" s="94"/>
      <c r="H4" s="94"/>
      <c r="I4" s="94"/>
      <c r="J4" s="94"/>
      <c r="K4" s="94"/>
      <c r="L4" s="94" t="s">
        <v>173</v>
      </c>
      <c r="M4" s="94"/>
      <c r="N4" s="94"/>
      <c r="O4" s="94"/>
      <c r="P4" s="94" t="s">
        <v>742</v>
      </c>
      <c r="Q4" s="94" t="s">
        <v>172</v>
      </c>
      <c r="R4" s="94"/>
      <c r="S4" s="94"/>
      <c r="T4" s="94"/>
      <c r="U4" s="94"/>
      <c r="V4" s="94"/>
      <c r="W4" s="94" t="s">
        <v>173</v>
      </c>
      <c r="X4" s="94"/>
      <c r="Y4" s="94"/>
      <c r="Z4" s="94"/>
      <c r="AA4" s="94"/>
      <c r="AB4" s="94"/>
      <c r="AC4" s="94"/>
      <c r="AD4" s="94"/>
      <c r="AE4" s="288" t="s">
        <v>743</v>
      </c>
      <c r="AF4" s="94" t="s">
        <v>172</v>
      </c>
      <c r="AG4" s="94"/>
      <c r="AH4" s="94"/>
      <c r="AI4" s="94"/>
      <c r="AJ4" s="94"/>
      <c r="AK4" s="94"/>
      <c r="AL4" s="94" t="s">
        <v>173</v>
      </c>
      <c r="AM4" s="94"/>
      <c r="AN4" s="94"/>
      <c r="AO4" s="94"/>
      <c r="AP4" s="94"/>
      <c r="AQ4" s="94"/>
      <c r="AR4" s="94"/>
      <c r="AS4" s="94"/>
      <c r="AT4" s="94"/>
    </row>
    <row r="5" s="210" customFormat="1" ht="35" customHeight="1" spans="1:47">
      <c r="A5" s="274"/>
      <c r="B5" s="274"/>
      <c r="C5" s="274"/>
      <c r="D5" s="274"/>
      <c r="E5" s="94"/>
      <c r="F5" s="115" t="s">
        <v>129</v>
      </c>
      <c r="G5" s="115" t="s">
        <v>181</v>
      </c>
      <c r="H5" s="115" t="s">
        <v>182</v>
      </c>
      <c r="I5" s="94" t="s">
        <v>183</v>
      </c>
      <c r="J5" s="94" t="s">
        <v>184</v>
      </c>
      <c r="K5" s="115" t="s">
        <v>185</v>
      </c>
      <c r="L5" s="115" t="s">
        <v>129</v>
      </c>
      <c r="M5" s="115" t="s">
        <v>186</v>
      </c>
      <c r="N5" s="115" t="s">
        <v>187</v>
      </c>
      <c r="O5" s="115" t="s">
        <v>188</v>
      </c>
      <c r="P5" s="94"/>
      <c r="Q5" s="115" t="s">
        <v>129</v>
      </c>
      <c r="R5" s="115" t="s">
        <v>181</v>
      </c>
      <c r="S5" s="115" t="s">
        <v>182</v>
      </c>
      <c r="T5" s="94" t="s">
        <v>183</v>
      </c>
      <c r="U5" s="94" t="s">
        <v>184</v>
      </c>
      <c r="V5" s="115" t="s">
        <v>185</v>
      </c>
      <c r="W5" s="115" t="s">
        <v>129</v>
      </c>
      <c r="X5" s="115" t="s">
        <v>186</v>
      </c>
      <c r="Y5" s="115" t="s">
        <v>761</v>
      </c>
      <c r="Z5" s="115" t="s">
        <v>762</v>
      </c>
      <c r="AA5" s="115" t="s">
        <v>763</v>
      </c>
      <c r="AB5" s="115" t="s">
        <v>764</v>
      </c>
      <c r="AC5" s="115" t="s">
        <v>187</v>
      </c>
      <c r="AD5" s="115" t="s">
        <v>188</v>
      </c>
      <c r="AE5" s="274"/>
      <c r="AF5" s="115" t="s">
        <v>129</v>
      </c>
      <c r="AG5" s="115" t="s">
        <v>181</v>
      </c>
      <c r="AH5" s="115" t="s">
        <v>182</v>
      </c>
      <c r="AI5" s="94" t="s">
        <v>183</v>
      </c>
      <c r="AJ5" s="94" t="s">
        <v>184</v>
      </c>
      <c r="AK5" s="115" t="s">
        <v>185</v>
      </c>
      <c r="AL5" s="115" t="s">
        <v>129</v>
      </c>
      <c r="AM5" s="115" t="s">
        <v>186</v>
      </c>
      <c r="AN5" s="115" t="s">
        <v>761</v>
      </c>
      <c r="AO5" s="115" t="s">
        <v>762</v>
      </c>
      <c r="AP5" s="115" t="s">
        <v>763</v>
      </c>
      <c r="AQ5" s="115" t="s">
        <v>764</v>
      </c>
      <c r="AR5" s="115" t="s">
        <v>187</v>
      </c>
      <c r="AS5" s="115" t="s">
        <v>188</v>
      </c>
      <c r="AT5" s="94"/>
      <c r="AU5" s="367" t="s">
        <v>194</v>
      </c>
    </row>
    <row r="6" s="311" customFormat="1" ht="21" customHeight="1" spans="1:47">
      <c r="A6" s="319"/>
      <c r="B6" s="356"/>
      <c r="C6" s="357" t="s">
        <v>124</v>
      </c>
      <c r="D6" s="357"/>
      <c r="E6" s="364">
        <f t="shared" ref="E6:O6" si="0">E7+E187+E198+E259+E262+E277+E299+E329+E345+E390+E399+E402+E414</f>
        <v>23565.369248</v>
      </c>
      <c r="F6" s="364">
        <f t="shared" si="0"/>
        <v>12309.7709</v>
      </c>
      <c r="G6" s="364">
        <f t="shared" si="0"/>
        <v>6280.7</v>
      </c>
      <c r="H6" s="364">
        <f t="shared" si="0"/>
        <v>5242.75</v>
      </c>
      <c r="I6" s="364">
        <f t="shared" si="0"/>
        <v>557.1309</v>
      </c>
      <c r="J6" s="364">
        <f t="shared" si="0"/>
        <v>136.8</v>
      </c>
      <c r="K6" s="364">
        <f t="shared" si="0"/>
        <v>92.39</v>
      </c>
      <c r="L6" s="364">
        <f t="shared" si="0"/>
        <v>11255.598348</v>
      </c>
      <c r="M6" s="364">
        <f t="shared" si="0"/>
        <v>2530.238348</v>
      </c>
      <c r="N6" s="364">
        <f t="shared" si="0"/>
        <v>819.36</v>
      </c>
      <c r="O6" s="364">
        <f t="shared" si="0"/>
        <v>7906</v>
      </c>
      <c r="P6" s="364">
        <f>Q6+W6</f>
        <v>1197.27181</v>
      </c>
      <c r="Q6" s="364">
        <f t="shared" ref="Q6:AD6" si="1">Q7+Q187+Q198+Q259+Q262+Q277+Q299+Q329+Q345+Q390+Q399+Q402+Q414</f>
        <v>734.15435</v>
      </c>
      <c r="R6" s="364">
        <f t="shared" si="1"/>
        <v>408.28925</v>
      </c>
      <c r="S6" s="364">
        <f t="shared" si="1"/>
        <v>306.5485</v>
      </c>
      <c r="T6" s="364">
        <f t="shared" si="1"/>
        <v>33.0416</v>
      </c>
      <c r="U6" s="364">
        <f t="shared" si="1"/>
        <v>-11.945</v>
      </c>
      <c r="V6" s="364">
        <f t="shared" si="1"/>
        <v>-1.78</v>
      </c>
      <c r="W6" s="364">
        <f t="shared" si="1"/>
        <v>463.11746</v>
      </c>
      <c r="X6" s="364">
        <f t="shared" si="1"/>
        <v>131.07</v>
      </c>
      <c r="Y6" s="364">
        <f t="shared" si="1"/>
        <v>4304.18026</v>
      </c>
      <c r="Z6" s="364">
        <f t="shared" si="1"/>
        <v>1755</v>
      </c>
      <c r="AA6" s="364">
        <f t="shared" si="1"/>
        <v>336</v>
      </c>
      <c r="AB6" s="364">
        <f t="shared" si="1"/>
        <v>1628.5772</v>
      </c>
      <c r="AC6" s="364">
        <f t="shared" si="1"/>
        <v>214.29</v>
      </c>
      <c r="AD6" s="364">
        <f t="shared" si="1"/>
        <v>-7906</v>
      </c>
      <c r="AE6" s="364">
        <f t="shared" ref="AE6:AE69" si="2">AF6+AL6</f>
        <v>24762.641058</v>
      </c>
      <c r="AF6" s="364">
        <f t="shared" ref="AF6:AS6" si="3">AF7+AF187+AF198+AF259+AF262+AF277+AF299+AF329+AF345+AF390+AF399+AF402+AF414</f>
        <v>13043.92525</v>
      </c>
      <c r="AG6" s="364">
        <f t="shared" si="3"/>
        <v>6688.98925</v>
      </c>
      <c r="AH6" s="364">
        <f t="shared" si="3"/>
        <v>5549.2985</v>
      </c>
      <c r="AI6" s="364">
        <f t="shared" si="3"/>
        <v>590.1725</v>
      </c>
      <c r="AJ6" s="364">
        <f t="shared" si="3"/>
        <v>124.855</v>
      </c>
      <c r="AK6" s="364">
        <f t="shared" si="3"/>
        <v>90.61</v>
      </c>
      <c r="AL6" s="364">
        <f t="shared" si="3"/>
        <v>11718.715808</v>
      </c>
      <c r="AM6" s="364">
        <f t="shared" si="3"/>
        <v>2661.308348</v>
      </c>
      <c r="AN6" s="364">
        <f t="shared" si="3"/>
        <v>4304.18026</v>
      </c>
      <c r="AO6" s="364">
        <f t="shared" si="3"/>
        <v>1755</v>
      </c>
      <c r="AP6" s="364">
        <f t="shared" si="3"/>
        <v>336</v>
      </c>
      <c r="AQ6" s="364">
        <f t="shared" si="3"/>
        <v>1628.5772</v>
      </c>
      <c r="AR6" s="364">
        <f t="shared" si="3"/>
        <v>1033.65</v>
      </c>
      <c r="AS6" s="364">
        <f t="shared" si="3"/>
        <v>0</v>
      </c>
      <c r="AT6" s="319"/>
      <c r="AU6" s="368">
        <f>SUM(AU8:AU424)</f>
        <v>4973.0784</v>
      </c>
    </row>
    <row r="7" s="311" customFormat="1" ht="21" customHeight="1" spans="1:46">
      <c r="A7" s="319"/>
      <c r="B7" s="319" t="s">
        <v>744</v>
      </c>
      <c r="C7" s="359" t="s">
        <v>132</v>
      </c>
      <c r="D7" s="360">
        <v>201</v>
      </c>
      <c r="E7" s="364">
        <f t="shared" ref="E7:O7" si="4">SUM(E8:E186)</f>
        <v>11306.915348</v>
      </c>
      <c r="F7" s="364">
        <f t="shared" si="4"/>
        <v>6182.157</v>
      </c>
      <c r="G7" s="364">
        <f t="shared" si="4"/>
        <v>3362.19</v>
      </c>
      <c r="H7" s="364">
        <f t="shared" si="4"/>
        <v>2400.18</v>
      </c>
      <c r="I7" s="364">
        <f t="shared" si="4"/>
        <v>280.897</v>
      </c>
      <c r="J7" s="364">
        <f t="shared" si="4"/>
        <v>124.56</v>
      </c>
      <c r="K7" s="364">
        <f t="shared" si="4"/>
        <v>14.33</v>
      </c>
      <c r="L7" s="364">
        <f t="shared" si="4"/>
        <v>5124.758348</v>
      </c>
      <c r="M7" s="364">
        <f t="shared" si="4"/>
        <v>665.668348</v>
      </c>
      <c r="N7" s="364">
        <f t="shared" si="4"/>
        <v>22.09</v>
      </c>
      <c r="O7" s="364">
        <f t="shared" si="4"/>
        <v>4437</v>
      </c>
      <c r="P7" s="364">
        <f t="shared" ref="P7:P70" si="5">Q7+W7</f>
        <v>152.9451</v>
      </c>
      <c r="Q7" s="364">
        <f t="shared" ref="Q7:AD7" si="6">SUM(Q8:Q186)</f>
        <v>486.7198</v>
      </c>
      <c r="R7" s="364">
        <f t="shared" si="6"/>
        <v>191.5648</v>
      </c>
      <c r="S7" s="364">
        <f t="shared" si="6"/>
        <v>282.85</v>
      </c>
      <c r="T7" s="364">
        <f t="shared" si="6"/>
        <v>20.34</v>
      </c>
      <c r="U7" s="364">
        <f t="shared" si="6"/>
        <v>-10.975</v>
      </c>
      <c r="V7" s="364">
        <f t="shared" si="6"/>
        <v>2.94</v>
      </c>
      <c r="W7" s="364">
        <f t="shared" si="6"/>
        <v>-333.7747</v>
      </c>
      <c r="X7" s="364">
        <f t="shared" si="6"/>
        <v>13.59</v>
      </c>
      <c r="Y7" s="364">
        <f t="shared" si="6"/>
        <v>2175.1233</v>
      </c>
      <c r="Z7" s="364">
        <f t="shared" si="6"/>
        <v>1032</v>
      </c>
      <c r="AA7" s="364">
        <f t="shared" si="6"/>
        <v>35.7</v>
      </c>
      <c r="AB7" s="364">
        <f t="shared" si="6"/>
        <v>796.712</v>
      </c>
      <c r="AC7" s="364">
        <f t="shared" si="6"/>
        <v>50.1</v>
      </c>
      <c r="AD7" s="364">
        <f t="shared" si="6"/>
        <v>-4437</v>
      </c>
      <c r="AE7" s="364">
        <f t="shared" si="2"/>
        <v>11459.860448</v>
      </c>
      <c r="AF7" s="364">
        <f t="shared" ref="AF7:AS7" si="7">SUM(AF8:AF186)</f>
        <v>6668.8768</v>
      </c>
      <c r="AG7" s="364">
        <f t="shared" si="7"/>
        <v>3553.7548</v>
      </c>
      <c r="AH7" s="364">
        <f t="shared" si="7"/>
        <v>2683.03</v>
      </c>
      <c r="AI7" s="364">
        <f t="shared" si="7"/>
        <v>301.237</v>
      </c>
      <c r="AJ7" s="364">
        <f t="shared" si="7"/>
        <v>113.585</v>
      </c>
      <c r="AK7" s="364">
        <f t="shared" si="7"/>
        <v>17.27</v>
      </c>
      <c r="AL7" s="364">
        <f t="shared" si="7"/>
        <v>4790.983648</v>
      </c>
      <c r="AM7" s="364">
        <f t="shared" si="7"/>
        <v>679.258348</v>
      </c>
      <c r="AN7" s="364">
        <f t="shared" si="7"/>
        <v>2175.1233</v>
      </c>
      <c r="AO7" s="364">
        <f t="shared" si="7"/>
        <v>1032</v>
      </c>
      <c r="AP7" s="364">
        <f t="shared" si="7"/>
        <v>35.7</v>
      </c>
      <c r="AQ7" s="364">
        <f t="shared" si="7"/>
        <v>796.712</v>
      </c>
      <c r="AR7" s="364">
        <f t="shared" si="7"/>
        <v>72.19</v>
      </c>
      <c r="AS7" s="364">
        <f t="shared" si="7"/>
        <v>0</v>
      </c>
      <c r="AT7" s="319"/>
    </row>
    <row r="8" ht="24" spans="1:47">
      <c r="A8" s="284" t="s">
        <v>195</v>
      </c>
      <c r="B8" s="284" t="s">
        <v>196</v>
      </c>
      <c r="C8" s="284" t="s">
        <v>197</v>
      </c>
      <c r="D8" s="284" t="s">
        <v>198</v>
      </c>
      <c r="E8" s="365">
        <f t="shared" ref="E8:E71" si="8">F8+L8</f>
        <v>318.35</v>
      </c>
      <c r="F8" s="365">
        <f t="shared" ref="F8:F71" si="9">SUM(G8:K8)</f>
        <v>167.35</v>
      </c>
      <c r="G8" s="365">
        <v>97.22</v>
      </c>
      <c r="H8" s="365">
        <v>62.03</v>
      </c>
      <c r="I8" s="365">
        <v>8.1</v>
      </c>
      <c r="J8" s="365"/>
      <c r="K8" s="365"/>
      <c r="L8" s="365">
        <f t="shared" ref="L8:L71" si="10">SUM(M8:O8)</f>
        <v>151</v>
      </c>
      <c r="M8" s="365"/>
      <c r="N8" s="365"/>
      <c r="O8" s="366">
        <v>151</v>
      </c>
      <c r="P8" s="365">
        <f t="shared" si="5"/>
        <v>83.952</v>
      </c>
      <c r="Q8" s="365">
        <f t="shared" ref="Q8:Q71" si="11">SUM(R8:V8)</f>
        <v>95.45</v>
      </c>
      <c r="R8" s="365">
        <v>44.65</v>
      </c>
      <c r="S8" s="365">
        <v>47.81</v>
      </c>
      <c r="T8" s="365">
        <v>2.75</v>
      </c>
      <c r="U8" s="365"/>
      <c r="V8" s="365">
        <v>0.24</v>
      </c>
      <c r="W8" s="365">
        <f t="shared" ref="W8:W71" si="12">SUM(X8:AD8)</f>
        <v>-11.498</v>
      </c>
      <c r="X8" s="365"/>
      <c r="Y8" s="365">
        <v>89.15</v>
      </c>
      <c r="Z8" s="365">
        <v>23</v>
      </c>
      <c r="AA8" s="365"/>
      <c r="AB8" s="365">
        <v>26.152</v>
      </c>
      <c r="AC8" s="365">
        <v>1.2</v>
      </c>
      <c r="AD8" s="366">
        <v>-151</v>
      </c>
      <c r="AE8" s="365">
        <f t="shared" si="2"/>
        <v>402.302</v>
      </c>
      <c r="AF8" s="365">
        <f t="shared" ref="AF8:AF71" si="13">SUM(AG8:AK8)</f>
        <v>262.8</v>
      </c>
      <c r="AG8" s="365">
        <f>G8+R8</f>
        <v>141.87</v>
      </c>
      <c r="AH8" s="365">
        <f t="shared" ref="AH8:AM8" si="14">H8+S8</f>
        <v>109.84</v>
      </c>
      <c r="AI8" s="365">
        <f t="shared" si="14"/>
        <v>10.85</v>
      </c>
      <c r="AJ8" s="365">
        <f t="shared" si="14"/>
        <v>0</v>
      </c>
      <c r="AK8" s="365">
        <f t="shared" si="14"/>
        <v>0.24</v>
      </c>
      <c r="AL8" s="365">
        <f t="shared" ref="AL8:AL71" si="15">SUM(AM8:AS8)</f>
        <v>139.502</v>
      </c>
      <c r="AM8" s="365">
        <f t="shared" si="14"/>
        <v>0</v>
      </c>
      <c r="AN8" s="365">
        <f>Y8</f>
        <v>89.15</v>
      </c>
      <c r="AO8" s="365">
        <f t="shared" ref="AO8:AO71" si="16">Z8</f>
        <v>23</v>
      </c>
      <c r="AP8" s="365">
        <f>AA8</f>
        <v>0</v>
      </c>
      <c r="AQ8" s="365">
        <f t="shared" ref="AQ8:AQ71" si="17">AB8</f>
        <v>26.152</v>
      </c>
      <c r="AR8" s="365">
        <f>N8+AC8</f>
        <v>1.2</v>
      </c>
      <c r="AS8" s="365">
        <f>O8+AD8</f>
        <v>0</v>
      </c>
      <c r="AT8" s="350" t="s">
        <v>765</v>
      </c>
      <c r="AU8">
        <v>26.152</v>
      </c>
    </row>
    <row r="9" ht="24" spans="1:47">
      <c r="A9" s="284" t="s">
        <v>195</v>
      </c>
      <c r="B9" s="284" t="s">
        <v>199</v>
      </c>
      <c r="C9" s="284" t="s">
        <v>200</v>
      </c>
      <c r="D9" s="284" t="s">
        <v>201</v>
      </c>
      <c r="E9" s="365">
        <f t="shared" si="8"/>
        <v>0</v>
      </c>
      <c r="F9" s="365">
        <f t="shared" si="9"/>
        <v>0</v>
      </c>
      <c r="G9" s="365"/>
      <c r="H9" s="365"/>
      <c r="I9" s="365"/>
      <c r="J9" s="365"/>
      <c r="K9" s="365"/>
      <c r="L9" s="365">
        <f t="shared" si="10"/>
        <v>0</v>
      </c>
      <c r="M9" s="365"/>
      <c r="N9" s="365"/>
      <c r="O9" s="365"/>
      <c r="P9" s="365">
        <f t="shared" si="5"/>
        <v>0</v>
      </c>
      <c r="Q9" s="365">
        <f t="shared" si="11"/>
        <v>0</v>
      </c>
      <c r="R9" s="365"/>
      <c r="S9" s="365"/>
      <c r="T9" s="365"/>
      <c r="U9" s="365"/>
      <c r="V9" s="365"/>
      <c r="W9" s="365">
        <f t="shared" si="12"/>
        <v>0</v>
      </c>
      <c r="X9" s="365"/>
      <c r="Y9" s="365"/>
      <c r="Z9" s="365"/>
      <c r="AA9" s="365"/>
      <c r="AB9" s="365"/>
      <c r="AC9" s="365"/>
      <c r="AD9" s="366">
        <v>0</v>
      </c>
      <c r="AE9" s="365">
        <f t="shared" si="2"/>
        <v>0</v>
      </c>
      <c r="AF9" s="365">
        <f t="shared" si="13"/>
        <v>0</v>
      </c>
      <c r="AG9" s="365">
        <f t="shared" ref="AG9:AG40" si="18">G9+R9</f>
        <v>0</v>
      </c>
      <c r="AH9" s="365">
        <f t="shared" ref="AH9:AH40" si="19">H9+S9</f>
        <v>0</v>
      </c>
      <c r="AI9" s="365">
        <f t="shared" ref="AI9:AI40" si="20">I9+T9</f>
        <v>0</v>
      </c>
      <c r="AJ9" s="365">
        <f t="shared" ref="AJ9:AJ40" si="21">J9+U9</f>
        <v>0</v>
      </c>
      <c r="AK9" s="365">
        <f t="shared" ref="AK9:AK40" si="22">K9+V9</f>
        <v>0</v>
      </c>
      <c r="AL9" s="365">
        <f t="shared" si="15"/>
        <v>0</v>
      </c>
      <c r="AM9" s="365">
        <f t="shared" ref="AM9:AM40" si="23">M9+X9</f>
        <v>0</v>
      </c>
      <c r="AN9" s="365">
        <f t="shared" ref="AN9:AN40" si="24">Y9</f>
        <v>0</v>
      </c>
      <c r="AO9" s="365">
        <f t="shared" si="16"/>
        <v>0</v>
      </c>
      <c r="AP9" s="365">
        <f t="shared" ref="AP9:AP40" si="25">AA9</f>
        <v>0</v>
      </c>
      <c r="AQ9" s="365">
        <f t="shared" si="17"/>
        <v>0</v>
      </c>
      <c r="AR9" s="365">
        <f t="shared" ref="AR9:AR40" si="26">N9+AC9</f>
        <v>0</v>
      </c>
      <c r="AS9" s="365">
        <f t="shared" ref="AS9:AS40" si="27">O9+AD9</f>
        <v>0</v>
      </c>
      <c r="AT9" s="350" t="s">
        <v>766</v>
      </c>
      <c r="AU9">
        <v>2</v>
      </c>
    </row>
    <row r="10" ht="36" spans="1:47">
      <c r="A10" s="284" t="s">
        <v>195</v>
      </c>
      <c r="B10" s="284" t="s">
        <v>196</v>
      </c>
      <c r="C10" s="284" t="s">
        <v>202</v>
      </c>
      <c r="D10" s="284" t="s">
        <v>203</v>
      </c>
      <c r="E10" s="365">
        <f t="shared" si="8"/>
        <v>354.72</v>
      </c>
      <c r="F10" s="365">
        <f t="shared" si="9"/>
        <v>175.86</v>
      </c>
      <c r="G10" s="365">
        <v>102.26</v>
      </c>
      <c r="H10" s="365">
        <v>64.29</v>
      </c>
      <c r="I10" s="365">
        <v>8.52</v>
      </c>
      <c r="J10" s="365"/>
      <c r="K10" s="365">
        <v>0.79</v>
      </c>
      <c r="L10" s="365">
        <f t="shared" si="10"/>
        <v>178.86</v>
      </c>
      <c r="M10" s="365">
        <v>14.86</v>
      </c>
      <c r="N10" s="365"/>
      <c r="O10" s="366">
        <v>164</v>
      </c>
      <c r="P10" s="365">
        <f t="shared" si="5"/>
        <v>28.4022</v>
      </c>
      <c r="Q10" s="365">
        <f t="shared" si="11"/>
        <v>70.19</v>
      </c>
      <c r="R10" s="365">
        <v>35</v>
      </c>
      <c r="S10" s="365">
        <v>30.83</v>
      </c>
      <c r="T10" s="365">
        <v>4.14</v>
      </c>
      <c r="U10" s="365"/>
      <c r="V10" s="365">
        <v>0.22</v>
      </c>
      <c r="W10" s="365">
        <f t="shared" si="12"/>
        <v>-41.7878</v>
      </c>
      <c r="X10" s="365"/>
      <c r="Y10" s="365">
        <v>81.31</v>
      </c>
      <c r="Z10" s="365">
        <v>20</v>
      </c>
      <c r="AA10" s="365"/>
      <c r="AB10" s="365">
        <v>20.0022</v>
      </c>
      <c r="AC10" s="365">
        <v>0.9</v>
      </c>
      <c r="AD10" s="366">
        <v>-164</v>
      </c>
      <c r="AE10" s="365">
        <f t="shared" si="2"/>
        <v>383.1222</v>
      </c>
      <c r="AF10" s="365">
        <f t="shared" si="13"/>
        <v>246.05</v>
      </c>
      <c r="AG10" s="365">
        <f t="shared" si="18"/>
        <v>137.26</v>
      </c>
      <c r="AH10" s="365">
        <f t="shared" si="19"/>
        <v>95.12</v>
      </c>
      <c r="AI10" s="365">
        <f t="shared" si="20"/>
        <v>12.66</v>
      </c>
      <c r="AJ10" s="365">
        <f t="shared" si="21"/>
        <v>0</v>
      </c>
      <c r="AK10" s="365">
        <f t="shared" si="22"/>
        <v>1.01</v>
      </c>
      <c r="AL10" s="365">
        <f t="shared" si="15"/>
        <v>137.0722</v>
      </c>
      <c r="AM10" s="365">
        <f t="shared" si="23"/>
        <v>14.86</v>
      </c>
      <c r="AN10" s="365">
        <f t="shared" si="24"/>
        <v>81.31</v>
      </c>
      <c r="AO10" s="365">
        <f t="shared" si="16"/>
        <v>20</v>
      </c>
      <c r="AP10" s="365">
        <f t="shared" si="25"/>
        <v>0</v>
      </c>
      <c r="AQ10" s="365">
        <f t="shared" si="17"/>
        <v>20.0022</v>
      </c>
      <c r="AR10" s="365">
        <f t="shared" si="26"/>
        <v>0.9</v>
      </c>
      <c r="AS10" s="365">
        <f t="shared" si="27"/>
        <v>0</v>
      </c>
      <c r="AT10" s="350" t="s">
        <v>767</v>
      </c>
      <c r="AU10">
        <v>20.0022</v>
      </c>
    </row>
    <row r="11" ht="24" spans="1:47">
      <c r="A11" s="284" t="s">
        <v>195</v>
      </c>
      <c r="B11" s="284" t="s">
        <v>199</v>
      </c>
      <c r="C11" s="284" t="s">
        <v>204</v>
      </c>
      <c r="D11" s="284" t="s">
        <v>205</v>
      </c>
      <c r="E11" s="365">
        <f t="shared" si="8"/>
        <v>0</v>
      </c>
      <c r="F11" s="365">
        <f t="shared" si="9"/>
        <v>0</v>
      </c>
      <c r="G11" s="365"/>
      <c r="H11" s="365"/>
      <c r="I11" s="365"/>
      <c r="J11" s="365"/>
      <c r="K11" s="365"/>
      <c r="L11" s="365">
        <f t="shared" si="10"/>
        <v>0</v>
      </c>
      <c r="M11" s="365"/>
      <c r="N11" s="365"/>
      <c r="O11" s="365"/>
      <c r="P11" s="365">
        <f t="shared" si="5"/>
        <v>0</v>
      </c>
      <c r="Q11" s="365">
        <f t="shared" si="11"/>
        <v>0</v>
      </c>
      <c r="R11" s="365"/>
      <c r="S11" s="365"/>
      <c r="T11" s="365"/>
      <c r="U11" s="365"/>
      <c r="V11" s="365"/>
      <c r="W11" s="365">
        <f t="shared" si="12"/>
        <v>0</v>
      </c>
      <c r="X11" s="365"/>
      <c r="Y11" s="365"/>
      <c r="Z11" s="365"/>
      <c r="AA11" s="365"/>
      <c r="AB11" s="365"/>
      <c r="AC11" s="365"/>
      <c r="AD11" s="366">
        <v>0</v>
      </c>
      <c r="AE11" s="365">
        <f t="shared" si="2"/>
        <v>0</v>
      </c>
      <c r="AF11" s="365">
        <f t="shared" si="13"/>
        <v>0</v>
      </c>
      <c r="AG11" s="365">
        <f t="shared" si="18"/>
        <v>0</v>
      </c>
      <c r="AH11" s="365">
        <f t="shared" si="19"/>
        <v>0</v>
      </c>
      <c r="AI11" s="365">
        <f t="shared" si="20"/>
        <v>0</v>
      </c>
      <c r="AJ11" s="365">
        <f t="shared" si="21"/>
        <v>0</v>
      </c>
      <c r="AK11" s="365">
        <f t="shared" si="22"/>
        <v>0</v>
      </c>
      <c r="AL11" s="365">
        <f t="shared" si="15"/>
        <v>0</v>
      </c>
      <c r="AM11" s="365">
        <f t="shared" si="23"/>
        <v>0</v>
      </c>
      <c r="AN11" s="365">
        <f t="shared" si="24"/>
        <v>0</v>
      </c>
      <c r="AO11" s="365">
        <f t="shared" si="16"/>
        <v>0</v>
      </c>
      <c r="AP11" s="365">
        <f t="shared" si="25"/>
        <v>0</v>
      </c>
      <c r="AQ11" s="365">
        <f t="shared" si="17"/>
        <v>0</v>
      </c>
      <c r="AR11" s="365">
        <f t="shared" si="26"/>
        <v>0</v>
      </c>
      <c r="AS11" s="365">
        <f t="shared" si="27"/>
        <v>0</v>
      </c>
      <c r="AT11" s="350"/>
      <c r="AU11">
        <v>1.5</v>
      </c>
    </row>
    <row r="12" ht="24" spans="1:47">
      <c r="A12" s="284" t="s">
        <v>195</v>
      </c>
      <c r="B12" s="284" t="s">
        <v>196</v>
      </c>
      <c r="C12" s="284" t="s">
        <v>206</v>
      </c>
      <c r="D12" s="284" t="s">
        <v>207</v>
      </c>
      <c r="E12" s="365">
        <f t="shared" si="8"/>
        <v>504.93</v>
      </c>
      <c r="F12" s="365">
        <f t="shared" si="9"/>
        <v>189.93</v>
      </c>
      <c r="G12" s="365">
        <v>106.25</v>
      </c>
      <c r="H12" s="365">
        <v>74.83</v>
      </c>
      <c r="I12" s="365">
        <v>8.85</v>
      </c>
      <c r="J12" s="365"/>
      <c r="K12" s="365"/>
      <c r="L12" s="365">
        <f t="shared" si="10"/>
        <v>315</v>
      </c>
      <c r="M12" s="365"/>
      <c r="N12" s="365"/>
      <c r="O12" s="366">
        <v>315</v>
      </c>
      <c r="P12" s="365">
        <f t="shared" si="5"/>
        <v>-162.7687</v>
      </c>
      <c r="Q12" s="365">
        <f t="shared" si="11"/>
        <v>-3.01</v>
      </c>
      <c r="R12" s="365">
        <v>-13.86</v>
      </c>
      <c r="S12" s="365">
        <v>11.05</v>
      </c>
      <c r="T12" s="365">
        <v>-0.2</v>
      </c>
      <c r="U12" s="365"/>
      <c r="V12" s="365"/>
      <c r="W12" s="365">
        <f t="shared" si="12"/>
        <v>-159.7587</v>
      </c>
      <c r="X12" s="365"/>
      <c r="Y12" s="365">
        <v>71.5</v>
      </c>
      <c r="Z12" s="365">
        <v>36</v>
      </c>
      <c r="AA12" s="365"/>
      <c r="AB12" s="365">
        <v>45.9913</v>
      </c>
      <c r="AC12" s="365">
        <v>1.75</v>
      </c>
      <c r="AD12" s="366">
        <v>-315</v>
      </c>
      <c r="AE12" s="365">
        <f t="shared" si="2"/>
        <v>342.1613</v>
      </c>
      <c r="AF12" s="365">
        <f t="shared" si="13"/>
        <v>186.92</v>
      </c>
      <c r="AG12" s="365">
        <f t="shared" si="18"/>
        <v>92.39</v>
      </c>
      <c r="AH12" s="365">
        <f t="shared" si="19"/>
        <v>85.88</v>
      </c>
      <c r="AI12" s="365">
        <f t="shared" si="20"/>
        <v>8.65</v>
      </c>
      <c r="AJ12" s="365">
        <f t="shared" si="21"/>
        <v>0</v>
      </c>
      <c r="AK12" s="365">
        <f t="shared" si="22"/>
        <v>0</v>
      </c>
      <c r="AL12" s="365">
        <f t="shared" si="15"/>
        <v>155.2413</v>
      </c>
      <c r="AM12" s="365">
        <f t="shared" si="23"/>
        <v>0</v>
      </c>
      <c r="AN12" s="365">
        <f t="shared" si="24"/>
        <v>71.5</v>
      </c>
      <c r="AO12" s="365">
        <f t="shared" si="16"/>
        <v>36</v>
      </c>
      <c r="AP12" s="365">
        <f t="shared" si="25"/>
        <v>0</v>
      </c>
      <c r="AQ12" s="365">
        <f t="shared" si="17"/>
        <v>45.9913</v>
      </c>
      <c r="AR12" s="365">
        <f t="shared" si="26"/>
        <v>1.75</v>
      </c>
      <c r="AS12" s="365">
        <f t="shared" si="27"/>
        <v>0</v>
      </c>
      <c r="AT12" s="363" t="s">
        <v>768</v>
      </c>
      <c r="AU12">
        <v>45.9913</v>
      </c>
    </row>
    <row r="13" ht="24" spans="1:47">
      <c r="A13" s="284" t="s">
        <v>208</v>
      </c>
      <c r="B13" s="284" t="s">
        <v>196</v>
      </c>
      <c r="C13" s="284" t="s">
        <v>209</v>
      </c>
      <c r="D13" s="284" t="s">
        <v>207</v>
      </c>
      <c r="E13" s="365">
        <f t="shared" si="8"/>
        <v>75.647</v>
      </c>
      <c r="F13" s="365">
        <f t="shared" si="9"/>
        <v>22.977</v>
      </c>
      <c r="G13" s="365">
        <v>12.56</v>
      </c>
      <c r="H13" s="365">
        <v>9.37</v>
      </c>
      <c r="I13" s="365">
        <v>1.047</v>
      </c>
      <c r="J13" s="365"/>
      <c r="K13" s="365"/>
      <c r="L13" s="365">
        <f t="shared" si="10"/>
        <v>52.67</v>
      </c>
      <c r="M13" s="365">
        <v>34.67</v>
      </c>
      <c r="N13" s="365"/>
      <c r="O13" s="366">
        <v>18</v>
      </c>
      <c r="P13" s="365">
        <f t="shared" si="5"/>
        <v>22.6136</v>
      </c>
      <c r="Q13" s="365">
        <f t="shared" si="11"/>
        <v>1.4</v>
      </c>
      <c r="R13" s="365">
        <v>1.22</v>
      </c>
      <c r="S13" s="365"/>
      <c r="T13" s="365">
        <v>0.18</v>
      </c>
      <c r="U13" s="365"/>
      <c r="V13" s="365"/>
      <c r="W13" s="365">
        <f t="shared" si="12"/>
        <v>21.2136</v>
      </c>
      <c r="X13" s="365"/>
      <c r="Y13" s="365">
        <v>7.45</v>
      </c>
      <c r="Z13" s="365">
        <v>29</v>
      </c>
      <c r="AA13" s="365"/>
      <c r="AB13" s="365">
        <v>2.6136</v>
      </c>
      <c r="AC13" s="365">
        <v>0.15</v>
      </c>
      <c r="AD13" s="366">
        <v>-18</v>
      </c>
      <c r="AE13" s="365">
        <f t="shared" si="2"/>
        <v>98.2606</v>
      </c>
      <c r="AF13" s="365">
        <f t="shared" si="13"/>
        <v>24.377</v>
      </c>
      <c r="AG13" s="365">
        <f t="shared" si="18"/>
        <v>13.78</v>
      </c>
      <c r="AH13" s="365">
        <f t="shared" si="19"/>
        <v>9.37</v>
      </c>
      <c r="AI13" s="365">
        <f t="shared" si="20"/>
        <v>1.227</v>
      </c>
      <c r="AJ13" s="365">
        <f t="shared" si="21"/>
        <v>0</v>
      </c>
      <c r="AK13" s="365">
        <f t="shared" si="22"/>
        <v>0</v>
      </c>
      <c r="AL13" s="365">
        <f t="shared" si="15"/>
        <v>73.8836</v>
      </c>
      <c r="AM13" s="365">
        <f t="shared" si="23"/>
        <v>34.67</v>
      </c>
      <c r="AN13" s="365">
        <f t="shared" si="24"/>
        <v>7.45</v>
      </c>
      <c r="AO13" s="365">
        <f t="shared" si="16"/>
        <v>29</v>
      </c>
      <c r="AP13" s="365">
        <f t="shared" si="25"/>
        <v>0</v>
      </c>
      <c r="AQ13" s="365">
        <f t="shared" si="17"/>
        <v>2.6136</v>
      </c>
      <c r="AR13" s="365">
        <f t="shared" si="26"/>
        <v>0.15</v>
      </c>
      <c r="AS13" s="365">
        <f t="shared" si="27"/>
        <v>0</v>
      </c>
      <c r="AT13" s="350" t="s">
        <v>769</v>
      </c>
      <c r="AU13">
        <v>2.6136</v>
      </c>
    </row>
    <row r="14" ht="24" spans="1:47">
      <c r="A14" s="284" t="s">
        <v>195</v>
      </c>
      <c r="B14" s="284" t="s">
        <v>196</v>
      </c>
      <c r="C14" s="284" t="s">
        <v>210</v>
      </c>
      <c r="D14" s="284" t="s">
        <v>211</v>
      </c>
      <c r="E14" s="365">
        <f t="shared" si="8"/>
        <v>113.12</v>
      </c>
      <c r="F14" s="365">
        <f t="shared" si="9"/>
        <v>44.21</v>
      </c>
      <c r="G14" s="365">
        <v>23.41</v>
      </c>
      <c r="H14" s="365">
        <v>17.16</v>
      </c>
      <c r="I14" s="365">
        <v>1.95</v>
      </c>
      <c r="J14" s="365"/>
      <c r="K14" s="365">
        <v>1.69</v>
      </c>
      <c r="L14" s="365">
        <f t="shared" si="10"/>
        <v>68.91</v>
      </c>
      <c r="M14" s="365">
        <v>9.91</v>
      </c>
      <c r="N14" s="365"/>
      <c r="O14" s="366">
        <v>59</v>
      </c>
      <c r="P14" s="365">
        <f t="shared" si="5"/>
        <v>-30.857</v>
      </c>
      <c r="Q14" s="365">
        <f t="shared" si="11"/>
        <v>-0.59</v>
      </c>
      <c r="R14" s="365">
        <v>-4.35</v>
      </c>
      <c r="S14" s="365">
        <v>4.09</v>
      </c>
      <c r="T14" s="365">
        <v>-0.24</v>
      </c>
      <c r="U14" s="365"/>
      <c r="V14" s="365">
        <v>-0.09</v>
      </c>
      <c r="W14" s="365">
        <f t="shared" si="12"/>
        <v>-30.267</v>
      </c>
      <c r="X14" s="365"/>
      <c r="Y14" s="365">
        <v>15.89</v>
      </c>
      <c r="Z14" s="365">
        <v>5</v>
      </c>
      <c r="AA14" s="365"/>
      <c r="AB14" s="365">
        <v>7.543</v>
      </c>
      <c r="AC14" s="365">
        <v>0.3</v>
      </c>
      <c r="AD14" s="366">
        <v>-59</v>
      </c>
      <c r="AE14" s="365">
        <f t="shared" si="2"/>
        <v>82.263</v>
      </c>
      <c r="AF14" s="365">
        <f t="shared" si="13"/>
        <v>43.62</v>
      </c>
      <c r="AG14" s="365">
        <f t="shared" si="18"/>
        <v>19.06</v>
      </c>
      <c r="AH14" s="365">
        <f t="shared" si="19"/>
        <v>21.25</v>
      </c>
      <c r="AI14" s="365">
        <f t="shared" si="20"/>
        <v>1.71</v>
      </c>
      <c r="AJ14" s="365">
        <f t="shared" si="21"/>
        <v>0</v>
      </c>
      <c r="AK14" s="365">
        <f t="shared" si="22"/>
        <v>1.6</v>
      </c>
      <c r="AL14" s="365">
        <f t="shared" si="15"/>
        <v>38.643</v>
      </c>
      <c r="AM14" s="365">
        <f t="shared" si="23"/>
        <v>9.91</v>
      </c>
      <c r="AN14" s="365">
        <f t="shared" si="24"/>
        <v>15.89</v>
      </c>
      <c r="AO14" s="365">
        <f t="shared" si="16"/>
        <v>5</v>
      </c>
      <c r="AP14" s="365">
        <f t="shared" si="25"/>
        <v>0</v>
      </c>
      <c r="AQ14" s="365">
        <f t="shared" si="17"/>
        <v>7.543</v>
      </c>
      <c r="AR14" s="365">
        <f t="shared" si="26"/>
        <v>0.3</v>
      </c>
      <c r="AS14" s="365">
        <f t="shared" si="27"/>
        <v>0</v>
      </c>
      <c r="AT14" s="350" t="s">
        <v>770</v>
      </c>
      <c r="AU14">
        <v>7.543</v>
      </c>
    </row>
    <row r="15" ht="24" spans="1:46">
      <c r="A15" s="284" t="s">
        <v>195</v>
      </c>
      <c r="B15" s="284" t="s">
        <v>199</v>
      </c>
      <c r="C15" s="284" t="s">
        <v>212</v>
      </c>
      <c r="D15" s="284" t="s">
        <v>213</v>
      </c>
      <c r="E15" s="365">
        <f t="shared" si="8"/>
        <v>0</v>
      </c>
      <c r="F15" s="365">
        <f t="shared" si="9"/>
        <v>0</v>
      </c>
      <c r="G15" s="365"/>
      <c r="H15" s="365"/>
      <c r="I15" s="365"/>
      <c r="J15" s="365"/>
      <c r="K15" s="365"/>
      <c r="L15" s="365">
        <f t="shared" si="10"/>
        <v>0</v>
      </c>
      <c r="M15" s="365"/>
      <c r="N15" s="365"/>
      <c r="O15" s="365"/>
      <c r="P15" s="365">
        <f t="shared" si="5"/>
        <v>0</v>
      </c>
      <c r="Q15" s="365">
        <f t="shared" si="11"/>
        <v>0</v>
      </c>
      <c r="R15" s="365"/>
      <c r="S15" s="365"/>
      <c r="T15" s="365"/>
      <c r="U15" s="365"/>
      <c r="V15" s="365"/>
      <c r="W15" s="365">
        <f t="shared" si="12"/>
        <v>0</v>
      </c>
      <c r="X15" s="365"/>
      <c r="Y15" s="365"/>
      <c r="Z15" s="365"/>
      <c r="AA15" s="365"/>
      <c r="AB15" s="365"/>
      <c r="AC15" s="365"/>
      <c r="AD15" s="366">
        <v>0</v>
      </c>
      <c r="AE15" s="365">
        <f t="shared" si="2"/>
        <v>0</v>
      </c>
      <c r="AF15" s="365">
        <f t="shared" si="13"/>
        <v>0</v>
      </c>
      <c r="AG15" s="365">
        <f t="shared" si="18"/>
        <v>0</v>
      </c>
      <c r="AH15" s="365">
        <f t="shared" si="19"/>
        <v>0</v>
      </c>
      <c r="AI15" s="365">
        <f t="shared" si="20"/>
        <v>0</v>
      </c>
      <c r="AJ15" s="365">
        <f t="shared" si="21"/>
        <v>0</v>
      </c>
      <c r="AK15" s="365">
        <f t="shared" si="22"/>
        <v>0</v>
      </c>
      <c r="AL15" s="365">
        <f t="shared" si="15"/>
        <v>0</v>
      </c>
      <c r="AM15" s="365">
        <f t="shared" si="23"/>
        <v>0</v>
      </c>
      <c r="AN15" s="365">
        <f t="shared" si="24"/>
        <v>0</v>
      </c>
      <c r="AO15" s="365">
        <f t="shared" si="16"/>
        <v>0</v>
      </c>
      <c r="AP15" s="365">
        <f t="shared" si="25"/>
        <v>0</v>
      </c>
      <c r="AQ15" s="365">
        <f t="shared" si="17"/>
        <v>0</v>
      </c>
      <c r="AR15" s="365">
        <f t="shared" si="26"/>
        <v>0</v>
      </c>
      <c r="AS15" s="365">
        <f t="shared" si="27"/>
        <v>0</v>
      </c>
      <c r="AT15" s="363"/>
    </row>
    <row r="16" ht="24" spans="1:46">
      <c r="A16" s="284" t="s">
        <v>195</v>
      </c>
      <c r="B16" s="284" t="s">
        <v>199</v>
      </c>
      <c r="C16" s="284" t="s">
        <v>214</v>
      </c>
      <c r="D16" s="284" t="s">
        <v>213</v>
      </c>
      <c r="E16" s="365">
        <f t="shared" si="8"/>
        <v>0</v>
      </c>
      <c r="F16" s="365">
        <f t="shared" si="9"/>
        <v>0</v>
      </c>
      <c r="G16" s="365"/>
      <c r="H16" s="365"/>
      <c r="I16" s="365"/>
      <c r="J16" s="365"/>
      <c r="K16" s="365"/>
      <c r="L16" s="365">
        <f t="shared" si="10"/>
        <v>0</v>
      </c>
      <c r="M16" s="365"/>
      <c r="N16" s="365"/>
      <c r="O16" s="365"/>
      <c r="P16" s="365">
        <f t="shared" si="5"/>
        <v>0</v>
      </c>
      <c r="Q16" s="365">
        <f t="shared" si="11"/>
        <v>0</v>
      </c>
      <c r="R16" s="365"/>
      <c r="S16" s="365"/>
      <c r="T16" s="365"/>
      <c r="U16" s="365"/>
      <c r="V16" s="365"/>
      <c r="W16" s="365">
        <f t="shared" si="12"/>
        <v>0</v>
      </c>
      <c r="X16" s="365"/>
      <c r="Y16" s="365"/>
      <c r="Z16" s="365"/>
      <c r="AA16" s="365"/>
      <c r="AB16" s="365"/>
      <c r="AC16" s="365"/>
      <c r="AD16" s="366">
        <v>0</v>
      </c>
      <c r="AE16" s="365">
        <f t="shared" si="2"/>
        <v>0</v>
      </c>
      <c r="AF16" s="365">
        <f t="shared" si="13"/>
        <v>0</v>
      </c>
      <c r="AG16" s="365">
        <f t="shared" si="18"/>
        <v>0</v>
      </c>
      <c r="AH16" s="365">
        <f t="shared" si="19"/>
        <v>0</v>
      </c>
      <c r="AI16" s="365">
        <f t="shared" si="20"/>
        <v>0</v>
      </c>
      <c r="AJ16" s="365">
        <f t="shared" si="21"/>
        <v>0</v>
      </c>
      <c r="AK16" s="365">
        <f t="shared" si="22"/>
        <v>0</v>
      </c>
      <c r="AL16" s="365">
        <f t="shared" si="15"/>
        <v>0</v>
      </c>
      <c r="AM16" s="365">
        <f t="shared" si="23"/>
        <v>0</v>
      </c>
      <c r="AN16" s="365">
        <f t="shared" si="24"/>
        <v>0</v>
      </c>
      <c r="AO16" s="365">
        <f t="shared" si="16"/>
        <v>0</v>
      </c>
      <c r="AP16" s="365">
        <f t="shared" si="25"/>
        <v>0</v>
      </c>
      <c r="AQ16" s="365">
        <f t="shared" si="17"/>
        <v>0</v>
      </c>
      <c r="AR16" s="365">
        <f t="shared" si="26"/>
        <v>0</v>
      </c>
      <c r="AS16" s="365">
        <f t="shared" si="27"/>
        <v>0</v>
      </c>
      <c r="AT16" s="363"/>
    </row>
    <row r="17" ht="24" spans="1:46">
      <c r="A17" s="284" t="s">
        <v>195</v>
      </c>
      <c r="B17" s="284" t="s">
        <v>199</v>
      </c>
      <c r="C17" s="284" t="s">
        <v>215</v>
      </c>
      <c r="D17" s="284" t="s">
        <v>213</v>
      </c>
      <c r="E17" s="365">
        <f t="shared" si="8"/>
        <v>0</v>
      </c>
      <c r="F17" s="365">
        <f t="shared" si="9"/>
        <v>0</v>
      </c>
      <c r="G17" s="365"/>
      <c r="H17" s="365"/>
      <c r="I17" s="365"/>
      <c r="J17" s="365"/>
      <c r="K17" s="365"/>
      <c r="L17" s="365">
        <f t="shared" si="10"/>
        <v>0</v>
      </c>
      <c r="M17" s="365"/>
      <c r="N17" s="365"/>
      <c r="O17" s="365"/>
      <c r="P17" s="365">
        <f t="shared" si="5"/>
        <v>0</v>
      </c>
      <c r="Q17" s="365">
        <f t="shared" si="11"/>
        <v>0</v>
      </c>
      <c r="R17" s="365"/>
      <c r="S17" s="365"/>
      <c r="T17" s="365"/>
      <c r="U17" s="365"/>
      <c r="V17" s="365"/>
      <c r="W17" s="365">
        <f t="shared" si="12"/>
        <v>0</v>
      </c>
      <c r="X17" s="365"/>
      <c r="Y17" s="365"/>
      <c r="Z17" s="365"/>
      <c r="AA17" s="365"/>
      <c r="AB17" s="365"/>
      <c r="AC17" s="365"/>
      <c r="AD17" s="366">
        <v>0</v>
      </c>
      <c r="AE17" s="365">
        <f t="shared" si="2"/>
        <v>0</v>
      </c>
      <c r="AF17" s="365">
        <f t="shared" si="13"/>
        <v>0</v>
      </c>
      <c r="AG17" s="365">
        <f t="shared" si="18"/>
        <v>0</v>
      </c>
      <c r="AH17" s="365">
        <f t="shared" si="19"/>
        <v>0</v>
      </c>
      <c r="AI17" s="365">
        <f t="shared" si="20"/>
        <v>0</v>
      </c>
      <c r="AJ17" s="365">
        <f t="shared" si="21"/>
        <v>0</v>
      </c>
      <c r="AK17" s="365">
        <f t="shared" si="22"/>
        <v>0</v>
      </c>
      <c r="AL17" s="365">
        <f t="shared" si="15"/>
        <v>0</v>
      </c>
      <c r="AM17" s="365">
        <f t="shared" si="23"/>
        <v>0</v>
      </c>
      <c r="AN17" s="365">
        <f t="shared" si="24"/>
        <v>0</v>
      </c>
      <c r="AO17" s="365">
        <f t="shared" si="16"/>
        <v>0</v>
      </c>
      <c r="AP17" s="365">
        <f t="shared" si="25"/>
        <v>0</v>
      </c>
      <c r="AQ17" s="365">
        <f t="shared" si="17"/>
        <v>0</v>
      </c>
      <c r="AR17" s="365">
        <f t="shared" si="26"/>
        <v>0</v>
      </c>
      <c r="AS17" s="365">
        <f t="shared" si="27"/>
        <v>0</v>
      </c>
      <c r="AT17" s="363"/>
    </row>
    <row r="18" ht="24" spans="1:46">
      <c r="A18" s="284" t="s">
        <v>195</v>
      </c>
      <c r="B18" s="284" t="s">
        <v>199</v>
      </c>
      <c r="C18" s="284" t="s">
        <v>216</v>
      </c>
      <c r="D18" s="284" t="s">
        <v>213</v>
      </c>
      <c r="E18" s="365">
        <f t="shared" si="8"/>
        <v>0</v>
      </c>
      <c r="F18" s="365">
        <f t="shared" si="9"/>
        <v>0</v>
      </c>
      <c r="G18" s="365"/>
      <c r="H18" s="365"/>
      <c r="I18" s="365"/>
      <c r="J18" s="365"/>
      <c r="K18" s="365"/>
      <c r="L18" s="365">
        <f t="shared" si="10"/>
        <v>0</v>
      </c>
      <c r="M18" s="365"/>
      <c r="N18" s="365"/>
      <c r="O18" s="365"/>
      <c r="P18" s="365">
        <f t="shared" si="5"/>
        <v>0</v>
      </c>
      <c r="Q18" s="365">
        <f t="shared" si="11"/>
        <v>0</v>
      </c>
      <c r="R18" s="365"/>
      <c r="S18" s="365"/>
      <c r="T18" s="365"/>
      <c r="U18" s="365"/>
      <c r="V18" s="365"/>
      <c r="W18" s="365">
        <f t="shared" si="12"/>
        <v>0</v>
      </c>
      <c r="X18" s="365"/>
      <c r="Y18" s="365"/>
      <c r="Z18" s="365"/>
      <c r="AA18" s="365"/>
      <c r="AB18" s="365"/>
      <c r="AC18" s="365"/>
      <c r="AD18" s="366">
        <v>0</v>
      </c>
      <c r="AE18" s="365">
        <f t="shared" si="2"/>
        <v>0</v>
      </c>
      <c r="AF18" s="365">
        <f t="shared" si="13"/>
        <v>0</v>
      </c>
      <c r="AG18" s="365">
        <f t="shared" si="18"/>
        <v>0</v>
      </c>
      <c r="AH18" s="365">
        <f t="shared" si="19"/>
        <v>0</v>
      </c>
      <c r="AI18" s="365">
        <f t="shared" si="20"/>
        <v>0</v>
      </c>
      <c r="AJ18" s="365">
        <f t="shared" si="21"/>
        <v>0</v>
      </c>
      <c r="AK18" s="365">
        <f t="shared" si="22"/>
        <v>0</v>
      </c>
      <c r="AL18" s="365">
        <f t="shared" si="15"/>
        <v>0</v>
      </c>
      <c r="AM18" s="365">
        <f t="shared" si="23"/>
        <v>0</v>
      </c>
      <c r="AN18" s="365">
        <f t="shared" si="24"/>
        <v>0</v>
      </c>
      <c r="AO18" s="365">
        <f t="shared" si="16"/>
        <v>0</v>
      </c>
      <c r="AP18" s="365">
        <f t="shared" si="25"/>
        <v>0</v>
      </c>
      <c r="AQ18" s="365">
        <f t="shared" si="17"/>
        <v>0</v>
      </c>
      <c r="AR18" s="365">
        <f t="shared" si="26"/>
        <v>0</v>
      </c>
      <c r="AS18" s="365">
        <f t="shared" si="27"/>
        <v>0</v>
      </c>
      <c r="AT18" s="363"/>
    </row>
    <row r="19" ht="24" spans="1:46">
      <c r="A19" s="284" t="s">
        <v>195</v>
      </c>
      <c r="B19" s="284" t="s">
        <v>199</v>
      </c>
      <c r="C19" s="284" t="s">
        <v>217</v>
      </c>
      <c r="D19" s="284" t="s">
        <v>213</v>
      </c>
      <c r="E19" s="365">
        <f t="shared" si="8"/>
        <v>0</v>
      </c>
      <c r="F19" s="365">
        <f t="shared" si="9"/>
        <v>0</v>
      </c>
      <c r="G19" s="365"/>
      <c r="H19" s="365"/>
      <c r="I19" s="365"/>
      <c r="J19" s="365"/>
      <c r="K19" s="365"/>
      <c r="L19" s="365">
        <f t="shared" si="10"/>
        <v>0</v>
      </c>
      <c r="M19" s="365"/>
      <c r="N19" s="365"/>
      <c r="O19" s="365"/>
      <c r="P19" s="365">
        <f t="shared" si="5"/>
        <v>0</v>
      </c>
      <c r="Q19" s="365">
        <f t="shared" si="11"/>
        <v>0</v>
      </c>
      <c r="R19" s="365"/>
      <c r="S19" s="365"/>
      <c r="T19" s="365"/>
      <c r="U19" s="365"/>
      <c r="V19" s="365"/>
      <c r="W19" s="365">
        <f t="shared" si="12"/>
        <v>0</v>
      </c>
      <c r="X19" s="365"/>
      <c r="Y19" s="365"/>
      <c r="Z19" s="365"/>
      <c r="AA19" s="365"/>
      <c r="AB19" s="365"/>
      <c r="AC19" s="365"/>
      <c r="AD19" s="366">
        <v>0</v>
      </c>
      <c r="AE19" s="365">
        <f t="shared" si="2"/>
        <v>0</v>
      </c>
      <c r="AF19" s="365">
        <f t="shared" si="13"/>
        <v>0</v>
      </c>
      <c r="AG19" s="365">
        <f t="shared" si="18"/>
        <v>0</v>
      </c>
      <c r="AH19" s="365">
        <f t="shared" si="19"/>
        <v>0</v>
      </c>
      <c r="AI19" s="365">
        <f t="shared" si="20"/>
        <v>0</v>
      </c>
      <c r="AJ19" s="365">
        <f t="shared" si="21"/>
        <v>0</v>
      </c>
      <c r="AK19" s="365">
        <f t="shared" si="22"/>
        <v>0</v>
      </c>
      <c r="AL19" s="365">
        <f t="shared" si="15"/>
        <v>0</v>
      </c>
      <c r="AM19" s="365">
        <f t="shared" si="23"/>
        <v>0</v>
      </c>
      <c r="AN19" s="365">
        <f t="shared" si="24"/>
        <v>0</v>
      </c>
      <c r="AO19" s="365">
        <f t="shared" si="16"/>
        <v>0</v>
      </c>
      <c r="AP19" s="365">
        <f t="shared" si="25"/>
        <v>0</v>
      </c>
      <c r="AQ19" s="365">
        <f t="shared" si="17"/>
        <v>0</v>
      </c>
      <c r="AR19" s="365">
        <f t="shared" si="26"/>
        <v>0</v>
      </c>
      <c r="AS19" s="365">
        <f t="shared" si="27"/>
        <v>0</v>
      </c>
      <c r="AT19" s="363"/>
    </row>
    <row r="20" ht="24" spans="1:46">
      <c r="A20" s="284" t="s">
        <v>195</v>
      </c>
      <c r="B20" s="284" t="s">
        <v>199</v>
      </c>
      <c r="C20" s="284" t="s">
        <v>218</v>
      </c>
      <c r="D20" s="284" t="s">
        <v>213</v>
      </c>
      <c r="E20" s="365">
        <f t="shared" si="8"/>
        <v>0</v>
      </c>
      <c r="F20" s="365">
        <f t="shared" si="9"/>
        <v>0</v>
      </c>
      <c r="G20" s="365"/>
      <c r="H20" s="365"/>
      <c r="I20" s="365"/>
      <c r="J20" s="365"/>
      <c r="K20" s="365"/>
      <c r="L20" s="365">
        <f t="shared" si="10"/>
        <v>0</v>
      </c>
      <c r="M20" s="365"/>
      <c r="N20" s="365"/>
      <c r="O20" s="365"/>
      <c r="P20" s="365">
        <f t="shared" si="5"/>
        <v>0</v>
      </c>
      <c r="Q20" s="365">
        <f t="shared" si="11"/>
        <v>0</v>
      </c>
      <c r="R20" s="365"/>
      <c r="S20" s="365"/>
      <c r="T20" s="365"/>
      <c r="U20" s="365"/>
      <c r="V20" s="365"/>
      <c r="W20" s="365">
        <f t="shared" si="12"/>
        <v>0</v>
      </c>
      <c r="X20" s="365"/>
      <c r="Y20" s="365"/>
      <c r="Z20" s="365"/>
      <c r="AA20" s="365"/>
      <c r="AB20" s="365"/>
      <c r="AC20" s="365"/>
      <c r="AD20" s="366">
        <v>0</v>
      </c>
      <c r="AE20" s="365">
        <f t="shared" si="2"/>
        <v>0</v>
      </c>
      <c r="AF20" s="365">
        <f t="shared" si="13"/>
        <v>0</v>
      </c>
      <c r="AG20" s="365">
        <f t="shared" si="18"/>
        <v>0</v>
      </c>
      <c r="AH20" s="365">
        <f t="shared" si="19"/>
        <v>0</v>
      </c>
      <c r="AI20" s="365">
        <f t="shared" si="20"/>
        <v>0</v>
      </c>
      <c r="AJ20" s="365">
        <f t="shared" si="21"/>
        <v>0</v>
      </c>
      <c r="AK20" s="365">
        <f t="shared" si="22"/>
        <v>0</v>
      </c>
      <c r="AL20" s="365">
        <f t="shared" si="15"/>
        <v>0</v>
      </c>
      <c r="AM20" s="365">
        <f t="shared" si="23"/>
        <v>0</v>
      </c>
      <c r="AN20" s="365">
        <f t="shared" si="24"/>
        <v>0</v>
      </c>
      <c r="AO20" s="365">
        <f t="shared" si="16"/>
        <v>0</v>
      </c>
      <c r="AP20" s="365">
        <f t="shared" si="25"/>
        <v>0</v>
      </c>
      <c r="AQ20" s="365">
        <f t="shared" si="17"/>
        <v>0</v>
      </c>
      <c r="AR20" s="365">
        <f t="shared" si="26"/>
        <v>0</v>
      </c>
      <c r="AS20" s="365">
        <f t="shared" si="27"/>
        <v>0</v>
      </c>
      <c r="AT20" s="363"/>
    </row>
    <row r="21" ht="24" spans="1:47">
      <c r="A21" s="284" t="s">
        <v>208</v>
      </c>
      <c r="B21" s="284" t="s">
        <v>199</v>
      </c>
      <c r="C21" s="284" t="s">
        <v>219</v>
      </c>
      <c r="D21" s="284" t="s">
        <v>213</v>
      </c>
      <c r="E21" s="365">
        <f t="shared" si="8"/>
        <v>0</v>
      </c>
      <c r="F21" s="365">
        <f t="shared" si="9"/>
        <v>0</v>
      </c>
      <c r="G21" s="365"/>
      <c r="H21" s="365"/>
      <c r="I21" s="365"/>
      <c r="J21" s="365"/>
      <c r="K21" s="365"/>
      <c r="L21" s="365">
        <f t="shared" si="10"/>
        <v>0</v>
      </c>
      <c r="M21" s="365"/>
      <c r="N21" s="365"/>
      <c r="O21" s="365"/>
      <c r="P21" s="365">
        <f t="shared" si="5"/>
        <v>0</v>
      </c>
      <c r="Q21" s="365">
        <f t="shared" si="11"/>
        <v>0</v>
      </c>
      <c r="R21" s="365"/>
      <c r="S21" s="365"/>
      <c r="T21" s="365"/>
      <c r="U21" s="365"/>
      <c r="V21" s="365"/>
      <c r="W21" s="365">
        <f t="shared" si="12"/>
        <v>0</v>
      </c>
      <c r="X21" s="365"/>
      <c r="Y21" s="365"/>
      <c r="Z21" s="365"/>
      <c r="AA21" s="365"/>
      <c r="AB21" s="365"/>
      <c r="AC21" s="365"/>
      <c r="AD21" s="366">
        <v>0</v>
      </c>
      <c r="AE21" s="365">
        <f t="shared" si="2"/>
        <v>0</v>
      </c>
      <c r="AF21" s="365">
        <f t="shared" si="13"/>
        <v>0</v>
      </c>
      <c r="AG21" s="365">
        <f t="shared" si="18"/>
        <v>0</v>
      </c>
      <c r="AH21" s="365">
        <f t="shared" si="19"/>
        <v>0</v>
      </c>
      <c r="AI21" s="365">
        <f t="shared" si="20"/>
        <v>0</v>
      </c>
      <c r="AJ21" s="365">
        <f t="shared" si="21"/>
        <v>0</v>
      </c>
      <c r="AK21" s="365">
        <f t="shared" si="22"/>
        <v>0</v>
      </c>
      <c r="AL21" s="365">
        <f t="shared" si="15"/>
        <v>0</v>
      </c>
      <c r="AM21" s="365">
        <f t="shared" si="23"/>
        <v>0</v>
      </c>
      <c r="AN21" s="365">
        <f t="shared" si="24"/>
        <v>0</v>
      </c>
      <c r="AO21" s="365">
        <f t="shared" si="16"/>
        <v>0</v>
      </c>
      <c r="AP21" s="365">
        <f t="shared" si="25"/>
        <v>0</v>
      </c>
      <c r="AQ21" s="365">
        <f t="shared" si="17"/>
        <v>0</v>
      </c>
      <c r="AR21" s="365">
        <f t="shared" si="26"/>
        <v>0</v>
      </c>
      <c r="AS21" s="365">
        <f t="shared" si="27"/>
        <v>0</v>
      </c>
      <c r="AT21" s="363"/>
      <c r="AU21">
        <v>3.5</v>
      </c>
    </row>
    <row r="22" ht="24" spans="1:47">
      <c r="A22" s="284" t="s">
        <v>208</v>
      </c>
      <c r="B22" s="284" t="s">
        <v>199</v>
      </c>
      <c r="C22" s="284" t="s">
        <v>220</v>
      </c>
      <c r="D22" s="284" t="s">
        <v>213</v>
      </c>
      <c r="E22" s="365">
        <f t="shared" si="8"/>
        <v>0</v>
      </c>
      <c r="F22" s="365">
        <f t="shared" si="9"/>
        <v>0</v>
      </c>
      <c r="G22" s="365"/>
      <c r="H22" s="365"/>
      <c r="I22" s="365"/>
      <c r="J22" s="365"/>
      <c r="K22" s="365"/>
      <c r="L22" s="365">
        <f t="shared" si="10"/>
        <v>0</v>
      </c>
      <c r="M22" s="365"/>
      <c r="N22" s="365"/>
      <c r="O22" s="365"/>
      <c r="P22" s="365">
        <f t="shared" si="5"/>
        <v>0</v>
      </c>
      <c r="Q22" s="365">
        <f t="shared" si="11"/>
        <v>0</v>
      </c>
      <c r="R22" s="365"/>
      <c r="S22" s="365"/>
      <c r="T22" s="365"/>
      <c r="U22" s="365"/>
      <c r="V22" s="365"/>
      <c r="W22" s="365">
        <f t="shared" si="12"/>
        <v>0</v>
      </c>
      <c r="X22" s="365"/>
      <c r="Y22" s="365"/>
      <c r="Z22" s="365"/>
      <c r="AA22" s="365"/>
      <c r="AB22" s="365"/>
      <c r="AC22" s="365"/>
      <c r="AD22" s="366">
        <v>0</v>
      </c>
      <c r="AE22" s="365">
        <f t="shared" si="2"/>
        <v>0</v>
      </c>
      <c r="AF22" s="365">
        <f t="shared" si="13"/>
        <v>0</v>
      </c>
      <c r="AG22" s="365">
        <f t="shared" si="18"/>
        <v>0</v>
      </c>
      <c r="AH22" s="365">
        <f t="shared" si="19"/>
        <v>0</v>
      </c>
      <c r="AI22" s="365">
        <f t="shared" si="20"/>
        <v>0</v>
      </c>
      <c r="AJ22" s="365">
        <f t="shared" si="21"/>
        <v>0</v>
      </c>
      <c r="AK22" s="365">
        <f t="shared" si="22"/>
        <v>0</v>
      </c>
      <c r="AL22" s="365">
        <f t="shared" si="15"/>
        <v>0</v>
      </c>
      <c r="AM22" s="365">
        <f t="shared" si="23"/>
        <v>0</v>
      </c>
      <c r="AN22" s="365">
        <f t="shared" si="24"/>
        <v>0</v>
      </c>
      <c r="AO22" s="365">
        <f t="shared" si="16"/>
        <v>0</v>
      </c>
      <c r="AP22" s="365">
        <f t="shared" si="25"/>
        <v>0</v>
      </c>
      <c r="AQ22" s="365">
        <f t="shared" si="17"/>
        <v>0</v>
      </c>
      <c r="AR22" s="365">
        <f t="shared" si="26"/>
        <v>0</v>
      </c>
      <c r="AS22" s="365">
        <f t="shared" si="27"/>
        <v>0</v>
      </c>
      <c r="AT22" s="363"/>
      <c r="AU22">
        <v>1.5</v>
      </c>
    </row>
    <row r="23" ht="24" spans="1:47">
      <c r="A23" s="284" t="s">
        <v>221</v>
      </c>
      <c r="B23" s="284" t="s">
        <v>196</v>
      </c>
      <c r="C23" s="284" t="s">
        <v>222</v>
      </c>
      <c r="D23" s="284" t="s">
        <v>207</v>
      </c>
      <c r="E23" s="365">
        <f t="shared" si="8"/>
        <v>394.72</v>
      </c>
      <c r="F23" s="365">
        <f t="shared" si="9"/>
        <v>188.79</v>
      </c>
      <c r="G23" s="365">
        <v>105.31</v>
      </c>
      <c r="H23" s="365">
        <v>74.44</v>
      </c>
      <c r="I23" s="365">
        <v>8.78</v>
      </c>
      <c r="J23" s="365"/>
      <c r="K23" s="365">
        <v>0.26</v>
      </c>
      <c r="L23" s="365">
        <f t="shared" si="10"/>
        <v>205.93</v>
      </c>
      <c r="M23" s="365">
        <v>156.93</v>
      </c>
      <c r="N23" s="365"/>
      <c r="O23" s="365">
        <v>49</v>
      </c>
      <c r="P23" s="365">
        <f t="shared" si="5"/>
        <v>75.95</v>
      </c>
      <c r="Q23" s="365">
        <f t="shared" si="11"/>
        <v>-0.71</v>
      </c>
      <c r="R23" s="365">
        <v>-3.44</v>
      </c>
      <c r="S23" s="365">
        <v>2.43</v>
      </c>
      <c r="T23" s="365">
        <v>0.3</v>
      </c>
      <c r="U23" s="365"/>
      <c r="V23" s="365"/>
      <c r="W23" s="365">
        <f t="shared" si="12"/>
        <v>76.66</v>
      </c>
      <c r="X23" s="365">
        <v>8.88</v>
      </c>
      <c r="Y23" s="365">
        <v>55.5058</v>
      </c>
      <c r="Z23" s="365">
        <v>34</v>
      </c>
      <c r="AA23" s="365"/>
      <c r="AB23" s="365">
        <v>24.5742</v>
      </c>
      <c r="AC23" s="365">
        <v>2.7</v>
      </c>
      <c r="AD23" s="366">
        <v>-49</v>
      </c>
      <c r="AE23" s="365">
        <f t="shared" si="2"/>
        <v>470.67</v>
      </c>
      <c r="AF23" s="365">
        <f t="shared" si="13"/>
        <v>188.08</v>
      </c>
      <c r="AG23" s="365">
        <f t="shared" si="18"/>
        <v>101.87</v>
      </c>
      <c r="AH23" s="365">
        <f t="shared" si="19"/>
        <v>76.87</v>
      </c>
      <c r="AI23" s="365">
        <f t="shared" si="20"/>
        <v>9.08</v>
      </c>
      <c r="AJ23" s="365">
        <f t="shared" si="21"/>
        <v>0</v>
      </c>
      <c r="AK23" s="365">
        <f t="shared" si="22"/>
        <v>0.26</v>
      </c>
      <c r="AL23" s="365">
        <f t="shared" si="15"/>
        <v>282.59</v>
      </c>
      <c r="AM23" s="365">
        <f t="shared" si="23"/>
        <v>165.81</v>
      </c>
      <c r="AN23" s="365">
        <f t="shared" si="24"/>
        <v>55.5058</v>
      </c>
      <c r="AO23" s="365">
        <f t="shared" si="16"/>
        <v>34</v>
      </c>
      <c r="AP23" s="365">
        <f t="shared" si="25"/>
        <v>0</v>
      </c>
      <c r="AQ23" s="365">
        <f t="shared" si="17"/>
        <v>24.5742</v>
      </c>
      <c r="AR23" s="365">
        <f t="shared" si="26"/>
        <v>2.7</v>
      </c>
      <c r="AS23" s="365">
        <f t="shared" si="27"/>
        <v>0</v>
      </c>
      <c r="AT23" s="363"/>
      <c r="AU23">
        <v>24.5742</v>
      </c>
    </row>
    <row r="24" ht="24" spans="1:47">
      <c r="A24" s="284" t="s">
        <v>221</v>
      </c>
      <c r="B24" s="284" t="s">
        <v>199</v>
      </c>
      <c r="C24" s="284" t="s">
        <v>223</v>
      </c>
      <c r="D24" s="284" t="s">
        <v>213</v>
      </c>
      <c r="E24" s="365">
        <f t="shared" si="8"/>
        <v>0</v>
      </c>
      <c r="F24" s="365">
        <f t="shared" si="9"/>
        <v>0</v>
      </c>
      <c r="G24" s="365"/>
      <c r="H24" s="365"/>
      <c r="I24" s="365"/>
      <c r="J24" s="365"/>
      <c r="K24" s="365"/>
      <c r="L24" s="365">
        <f t="shared" si="10"/>
        <v>0</v>
      </c>
      <c r="M24" s="365"/>
      <c r="N24" s="365"/>
      <c r="O24" s="365"/>
      <c r="P24" s="365">
        <f t="shared" si="5"/>
        <v>0</v>
      </c>
      <c r="Q24" s="365">
        <f t="shared" si="11"/>
        <v>0</v>
      </c>
      <c r="R24" s="365"/>
      <c r="S24" s="365"/>
      <c r="T24" s="365"/>
      <c r="U24" s="365"/>
      <c r="V24" s="365"/>
      <c r="W24" s="365">
        <f t="shared" si="12"/>
        <v>0</v>
      </c>
      <c r="X24" s="365"/>
      <c r="Y24" s="365"/>
      <c r="Z24" s="365"/>
      <c r="AA24" s="365"/>
      <c r="AB24" s="365"/>
      <c r="AC24" s="365"/>
      <c r="AD24" s="366">
        <v>0</v>
      </c>
      <c r="AE24" s="365">
        <f t="shared" si="2"/>
        <v>0</v>
      </c>
      <c r="AF24" s="365">
        <f t="shared" si="13"/>
        <v>0</v>
      </c>
      <c r="AG24" s="365">
        <f t="shared" si="18"/>
        <v>0</v>
      </c>
      <c r="AH24" s="365">
        <f t="shared" si="19"/>
        <v>0</v>
      </c>
      <c r="AI24" s="365">
        <f t="shared" si="20"/>
        <v>0</v>
      </c>
      <c r="AJ24" s="365">
        <f t="shared" si="21"/>
        <v>0</v>
      </c>
      <c r="AK24" s="365">
        <f t="shared" si="22"/>
        <v>0</v>
      </c>
      <c r="AL24" s="365">
        <f t="shared" si="15"/>
        <v>0</v>
      </c>
      <c r="AM24" s="365">
        <f t="shared" si="23"/>
        <v>0</v>
      </c>
      <c r="AN24" s="365">
        <f t="shared" si="24"/>
        <v>0</v>
      </c>
      <c r="AO24" s="365">
        <f t="shared" si="16"/>
        <v>0</v>
      </c>
      <c r="AP24" s="365">
        <f t="shared" si="25"/>
        <v>0</v>
      </c>
      <c r="AQ24" s="365">
        <f t="shared" si="17"/>
        <v>0</v>
      </c>
      <c r="AR24" s="365">
        <f t="shared" si="26"/>
        <v>0</v>
      </c>
      <c r="AS24" s="365">
        <f t="shared" si="27"/>
        <v>0</v>
      </c>
      <c r="AT24" s="363"/>
      <c r="AU24">
        <v>4.35</v>
      </c>
    </row>
    <row r="25" ht="24" spans="1:47">
      <c r="A25" s="284" t="s">
        <v>221</v>
      </c>
      <c r="B25" s="284" t="s">
        <v>199</v>
      </c>
      <c r="C25" s="284" t="s">
        <v>224</v>
      </c>
      <c r="D25" s="284" t="s">
        <v>213</v>
      </c>
      <c r="E25" s="365">
        <f t="shared" si="8"/>
        <v>0</v>
      </c>
      <c r="F25" s="365">
        <f t="shared" si="9"/>
        <v>0</v>
      </c>
      <c r="G25" s="365"/>
      <c r="H25" s="365"/>
      <c r="I25" s="365"/>
      <c r="J25" s="365"/>
      <c r="K25" s="365"/>
      <c r="L25" s="365">
        <f t="shared" si="10"/>
        <v>0</v>
      </c>
      <c r="M25" s="365"/>
      <c r="N25" s="365"/>
      <c r="O25" s="365"/>
      <c r="P25" s="365">
        <f t="shared" si="5"/>
        <v>0</v>
      </c>
      <c r="Q25" s="365">
        <f t="shared" si="11"/>
        <v>0</v>
      </c>
      <c r="R25" s="365"/>
      <c r="S25" s="365"/>
      <c r="T25" s="365"/>
      <c r="U25" s="365"/>
      <c r="V25" s="365"/>
      <c r="W25" s="365">
        <f t="shared" si="12"/>
        <v>0</v>
      </c>
      <c r="X25" s="365"/>
      <c r="Y25" s="365"/>
      <c r="Z25" s="365"/>
      <c r="AA25" s="365"/>
      <c r="AB25" s="365"/>
      <c r="AC25" s="365"/>
      <c r="AD25" s="366">
        <v>0</v>
      </c>
      <c r="AE25" s="365">
        <f t="shared" si="2"/>
        <v>0</v>
      </c>
      <c r="AF25" s="365">
        <f t="shared" si="13"/>
        <v>0</v>
      </c>
      <c r="AG25" s="365">
        <f t="shared" si="18"/>
        <v>0</v>
      </c>
      <c r="AH25" s="365">
        <f t="shared" si="19"/>
        <v>0</v>
      </c>
      <c r="AI25" s="365">
        <f t="shared" si="20"/>
        <v>0</v>
      </c>
      <c r="AJ25" s="365">
        <f t="shared" si="21"/>
        <v>0</v>
      </c>
      <c r="AK25" s="365">
        <f t="shared" si="22"/>
        <v>0</v>
      </c>
      <c r="AL25" s="365">
        <f t="shared" si="15"/>
        <v>0</v>
      </c>
      <c r="AM25" s="365">
        <f t="shared" si="23"/>
        <v>0</v>
      </c>
      <c r="AN25" s="365">
        <f t="shared" si="24"/>
        <v>0</v>
      </c>
      <c r="AO25" s="365">
        <f t="shared" si="16"/>
        <v>0</v>
      </c>
      <c r="AP25" s="365">
        <f t="shared" si="25"/>
        <v>0</v>
      </c>
      <c r="AQ25" s="365">
        <f t="shared" si="17"/>
        <v>0</v>
      </c>
      <c r="AR25" s="365">
        <f t="shared" si="26"/>
        <v>0</v>
      </c>
      <c r="AS25" s="365">
        <f t="shared" si="27"/>
        <v>0</v>
      </c>
      <c r="AT25" s="363"/>
      <c r="AU25">
        <v>5</v>
      </c>
    </row>
    <row r="26" ht="24" spans="1:47">
      <c r="A26" s="284" t="s">
        <v>221</v>
      </c>
      <c r="B26" s="284" t="s">
        <v>199</v>
      </c>
      <c r="C26" s="284" t="s">
        <v>225</v>
      </c>
      <c r="D26" s="284" t="s">
        <v>213</v>
      </c>
      <c r="E26" s="365">
        <f t="shared" si="8"/>
        <v>0</v>
      </c>
      <c r="F26" s="365">
        <f t="shared" si="9"/>
        <v>0</v>
      </c>
      <c r="G26" s="365"/>
      <c r="H26" s="365"/>
      <c r="I26" s="365"/>
      <c r="J26" s="365"/>
      <c r="K26" s="365"/>
      <c r="L26" s="365">
        <f t="shared" si="10"/>
        <v>0</v>
      </c>
      <c r="M26" s="365"/>
      <c r="N26" s="365"/>
      <c r="O26" s="365"/>
      <c r="P26" s="365">
        <f t="shared" si="5"/>
        <v>0</v>
      </c>
      <c r="Q26" s="365">
        <f t="shared" si="11"/>
        <v>0</v>
      </c>
      <c r="R26" s="365"/>
      <c r="S26" s="365"/>
      <c r="T26" s="365"/>
      <c r="U26" s="365"/>
      <c r="V26" s="365"/>
      <c r="W26" s="365">
        <f t="shared" si="12"/>
        <v>0</v>
      </c>
      <c r="X26" s="365"/>
      <c r="Y26" s="365"/>
      <c r="Z26" s="365"/>
      <c r="AA26" s="365"/>
      <c r="AB26" s="365"/>
      <c r="AC26" s="365"/>
      <c r="AD26" s="366">
        <v>0</v>
      </c>
      <c r="AE26" s="365">
        <f t="shared" si="2"/>
        <v>0</v>
      </c>
      <c r="AF26" s="365">
        <f t="shared" si="13"/>
        <v>0</v>
      </c>
      <c r="AG26" s="365">
        <f t="shared" si="18"/>
        <v>0</v>
      </c>
      <c r="AH26" s="365">
        <f t="shared" si="19"/>
        <v>0</v>
      </c>
      <c r="AI26" s="365">
        <f t="shared" si="20"/>
        <v>0</v>
      </c>
      <c r="AJ26" s="365">
        <f t="shared" si="21"/>
        <v>0</v>
      </c>
      <c r="AK26" s="365">
        <f t="shared" si="22"/>
        <v>0</v>
      </c>
      <c r="AL26" s="365">
        <f t="shared" si="15"/>
        <v>0</v>
      </c>
      <c r="AM26" s="365">
        <f t="shared" si="23"/>
        <v>0</v>
      </c>
      <c r="AN26" s="365">
        <f t="shared" si="24"/>
        <v>0</v>
      </c>
      <c r="AO26" s="365">
        <f t="shared" si="16"/>
        <v>0</v>
      </c>
      <c r="AP26" s="365">
        <f t="shared" si="25"/>
        <v>0</v>
      </c>
      <c r="AQ26" s="365">
        <f t="shared" si="17"/>
        <v>0</v>
      </c>
      <c r="AR26" s="365">
        <f t="shared" si="26"/>
        <v>0</v>
      </c>
      <c r="AS26" s="365">
        <f t="shared" si="27"/>
        <v>0</v>
      </c>
      <c r="AT26" s="363"/>
      <c r="AU26">
        <v>9.7917</v>
      </c>
    </row>
    <row r="27" ht="24" spans="1:47">
      <c r="A27" s="284" t="s">
        <v>221</v>
      </c>
      <c r="B27" s="284" t="s">
        <v>196</v>
      </c>
      <c r="C27" s="284" t="s">
        <v>226</v>
      </c>
      <c r="D27" s="284" t="s">
        <v>207</v>
      </c>
      <c r="E27" s="365">
        <f t="shared" si="8"/>
        <v>358.09</v>
      </c>
      <c r="F27" s="365">
        <f t="shared" si="9"/>
        <v>238.15</v>
      </c>
      <c r="G27" s="365">
        <v>128.89</v>
      </c>
      <c r="H27" s="365">
        <v>90.55</v>
      </c>
      <c r="I27" s="365">
        <v>10.74</v>
      </c>
      <c r="J27" s="365">
        <v>7.44</v>
      </c>
      <c r="K27" s="365">
        <v>0.53</v>
      </c>
      <c r="L27" s="365">
        <f t="shared" si="10"/>
        <v>119.94</v>
      </c>
      <c r="M27" s="365">
        <v>63.94</v>
      </c>
      <c r="N27" s="365"/>
      <c r="O27" s="366">
        <v>56</v>
      </c>
      <c r="P27" s="365">
        <f t="shared" si="5"/>
        <v>55.975</v>
      </c>
      <c r="Q27" s="365">
        <f t="shared" si="11"/>
        <v>-27.96</v>
      </c>
      <c r="R27" s="365">
        <v>-31.97</v>
      </c>
      <c r="S27" s="365">
        <v>6.01</v>
      </c>
      <c r="T27" s="365">
        <v>-0.95</v>
      </c>
      <c r="U27" s="365">
        <v>-1.05</v>
      </c>
      <c r="V27" s="365"/>
      <c r="W27" s="365">
        <f t="shared" si="12"/>
        <v>83.935</v>
      </c>
      <c r="X27" s="365"/>
      <c r="Y27" s="365">
        <v>59.7822</v>
      </c>
      <c r="Z27" s="365">
        <v>47</v>
      </c>
      <c r="AA27" s="365"/>
      <c r="AB27" s="365">
        <v>30.6028</v>
      </c>
      <c r="AC27" s="365">
        <v>2.55</v>
      </c>
      <c r="AD27" s="366">
        <v>-56</v>
      </c>
      <c r="AE27" s="365">
        <f t="shared" si="2"/>
        <v>414.065</v>
      </c>
      <c r="AF27" s="365">
        <f t="shared" si="13"/>
        <v>210.19</v>
      </c>
      <c r="AG27" s="365">
        <f t="shared" si="18"/>
        <v>96.92</v>
      </c>
      <c r="AH27" s="365">
        <f t="shared" si="19"/>
        <v>96.56</v>
      </c>
      <c r="AI27" s="365">
        <f t="shared" si="20"/>
        <v>9.79</v>
      </c>
      <c r="AJ27" s="365">
        <f t="shared" si="21"/>
        <v>6.39</v>
      </c>
      <c r="AK27" s="365">
        <f t="shared" si="22"/>
        <v>0.53</v>
      </c>
      <c r="AL27" s="365">
        <f t="shared" si="15"/>
        <v>203.875</v>
      </c>
      <c r="AM27" s="365">
        <f t="shared" si="23"/>
        <v>63.94</v>
      </c>
      <c r="AN27" s="365">
        <f t="shared" si="24"/>
        <v>59.7822</v>
      </c>
      <c r="AO27" s="365">
        <f t="shared" si="16"/>
        <v>47</v>
      </c>
      <c r="AP27" s="365">
        <f t="shared" si="25"/>
        <v>0</v>
      </c>
      <c r="AQ27" s="365">
        <f t="shared" si="17"/>
        <v>30.6028</v>
      </c>
      <c r="AR27" s="365">
        <f t="shared" si="26"/>
        <v>2.55</v>
      </c>
      <c r="AS27" s="365">
        <f t="shared" si="27"/>
        <v>0</v>
      </c>
      <c r="AT27" s="363"/>
      <c r="AU27">
        <v>30.6028</v>
      </c>
    </row>
    <row r="28" ht="24" spans="1:47">
      <c r="A28" s="284" t="s">
        <v>221</v>
      </c>
      <c r="B28" s="284" t="s">
        <v>199</v>
      </c>
      <c r="C28" s="284" t="s">
        <v>227</v>
      </c>
      <c r="D28" s="284" t="s">
        <v>213</v>
      </c>
      <c r="E28" s="365">
        <f t="shared" si="8"/>
        <v>0</v>
      </c>
      <c r="F28" s="365">
        <f t="shared" si="9"/>
        <v>0</v>
      </c>
      <c r="G28" s="365"/>
      <c r="H28" s="365"/>
      <c r="I28" s="365"/>
      <c r="J28" s="365"/>
      <c r="K28" s="365"/>
      <c r="L28" s="365">
        <f t="shared" si="10"/>
        <v>0</v>
      </c>
      <c r="M28" s="365"/>
      <c r="N28" s="365"/>
      <c r="O28" s="366"/>
      <c r="P28" s="365">
        <f t="shared" si="5"/>
        <v>0</v>
      </c>
      <c r="Q28" s="365">
        <f t="shared" si="11"/>
        <v>0</v>
      </c>
      <c r="R28" s="365"/>
      <c r="S28" s="365"/>
      <c r="T28" s="365"/>
      <c r="U28" s="365"/>
      <c r="V28" s="365"/>
      <c r="W28" s="365">
        <f t="shared" si="12"/>
        <v>0</v>
      </c>
      <c r="X28" s="365"/>
      <c r="Y28" s="365"/>
      <c r="Z28" s="365"/>
      <c r="AA28" s="365"/>
      <c r="AB28" s="365"/>
      <c r="AC28" s="365"/>
      <c r="AD28" s="366">
        <v>0</v>
      </c>
      <c r="AE28" s="365">
        <f t="shared" si="2"/>
        <v>0</v>
      </c>
      <c r="AF28" s="365">
        <f t="shared" si="13"/>
        <v>0</v>
      </c>
      <c r="AG28" s="365">
        <f t="shared" si="18"/>
        <v>0</v>
      </c>
      <c r="AH28" s="365">
        <f t="shared" si="19"/>
        <v>0</v>
      </c>
      <c r="AI28" s="365">
        <f t="shared" si="20"/>
        <v>0</v>
      </c>
      <c r="AJ28" s="365">
        <f t="shared" si="21"/>
        <v>0</v>
      </c>
      <c r="AK28" s="365">
        <f t="shared" si="22"/>
        <v>0</v>
      </c>
      <c r="AL28" s="365">
        <f t="shared" si="15"/>
        <v>0</v>
      </c>
      <c r="AM28" s="365">
        <f t="shared" si="23"/>
        <v>0</v>
      </c>
      <c r="AN28" s="365">
        <f t="shared" si="24"/>
        <v>0</v>
      </c>
      <c r="AO28" s="365">
        <f t="shared" si="16"/>
        <v>0</v>
      </c>
      <c r="AP28" s="365">
        <f t="shared" si="25"/>
        <v>0</v>
      </c>
      <c r="AQ28" s="365">
        <f t="shared" si="17"/>
        <v>0</v>
      </c>
      <c r="AR28" s="365">
        <f t="shared" si="26"/>
        <v>0</v>
      </c>
      <c r="AS28" s="365">
        <f t="shared" si="27"/>
        <v>0</v>
      </c>
      <c r="AT28" s="363"/>
      <c r="AU28">
        <v>2.85</v>
      </c>
    </row>
    <row r="29" ht="24" spans="1:47">
      <c r="A29" s="284" t="s">
        <v>221</v>
      </c>
      <c r="B29" s="284" t="s">
        <v>199</v>
      </c>
      <c r="C29" s="284" t="s">
        <v>228</v>
      </c>
      <c r="D29" s="284" t="s">
        <v>213</v>
      </c>
      <c r="E29" s="365">
        <f t="shared" si="8"/>
        <v>0</v>
      </c>
      <c r="F29" s="365">
        <f t="shared" si="9"/>
        <v>0</v>
      </c>
      <c r="G29" s="365"/>
      <c r="H29" s="365"/>
      <c r="I29" s="365"/>
      <c r="J29" s="365"/>
      <c r="K29" s="365"/>
      <c r="L29" s="365">
        <f t="shared" si="10"/>
        <v>0</v>
      </c>
      <c r="M29" s="365"/>
      <c r="N29" s="365"/>
      <c r="O29" s="366"/>
      <c r="P29" s="365">
        <f t="shared" si="5"/>
        <v>0</v>
      </c>
      <c r="Q29" s="365">
        <f t="shared" si="11"/>
        <v>0</v>
      </c>
      <c r="R29" s="365"/>
      <c r="S29" s="365"/>
      <c r="T29" s="365"/>
      <c r="U29" s="365"/>
      <c r="V29" s="365"/>
      <c r="W29" s="365">
        <f t="shared" si="12"/>
        <v>0</v>
      </c>
      <c r="X29" s="365"/>
      <c r="Y29" s="365"/>
      <c r="Z29" s="365"/>
      <c r="AA29" s="365"/>
      <c r="AB29" s="365"/>
      <c r="AC29" s="365"/>
      <c r="AD29" s="366">
        <v>0</v>
      </c>
      <c r="AE29" s="365">
        <f t="shared" si="2"/>
        <v>0</v>
      </c>
      <c r="AF29" s="365">
        <f t="shared" si="13"/>
        <v>0</v>
      </c>
      <c r="AG29" s="365">
        <f t="shared" si="18"/>
        <v>0</v>
      </c>
      <c r="AH29" s="365">
        <f t="shared" si="19"/>
        <v>0</v>
      </c>
      <c r="AI29" s="365">
        <f t="shared" si="20"/>
        <v>0</v>
      </c>
      <c r="AJ29" s="365">
        <f t="shared" si="21"/>
        <v>0</v>
      </c>
      <c r="AK29" s="365">
        <f t="shared" si="22"/>
        <v>0</v>
      </c>
      <c r="AL29" s="365">
        <f t="shared" si="15"/>
        <v>0</v>
      </c>
      <c r="AM29" s="365">
        <f t="shared" si="23"/>
        <v>0</v>
      </c>
      <c r="AN29" s="365">
        <f t="shared" si="24"/>
        <v>0</v>
      </c>
      <c r="AO29" s="365">
        <f t="shared" si="16"/>
        <v>0</v>
      </c>
      <c r="AP29" s="365">
        <f t="shared" si="25"/>
        <v>0</v>
      </c>
      <c r="AQ29" s="365">
        <f t="shared" si="17"/>
        <v>0</v>
      </c>
      <c r="AR29" s="365">
        <f t="shared" si="26"/>
        <v>0</v>
      </c>
      <c r="AS29" s="365">
        <f t="shared" si="27"/>
        <v>0</v>
      </c>
      <c r="AT29" s="363"/>
      <c r="AU29">
        <v>3</v>
      </c>
    </row>
    <row r="30" ht="24" spans="1:47">
      <c r="A30" s="284" t="s">
        <v>221</v>
      </c>
      <c r="B30" s="284" t="s">
        <v>199</v>
      </c>
      <c r="C30" s="284" t="s">
        <v>229</v>
      </c>
      <c r="D30" s="284" t="s">
        <v>213</v>
      </c>
      <c r="E30" s="365">
        <f t="shared" si="8"/>
        <v>0</v>
      </c>
      <c r="F30" s="365">
        <f t="shared" si="9"/>
        <v>0</v>
      </c>
      <c r="G30" s="365"/>
      <c r="H30" s="365"/>
      <c r="I30" s="365"/>
      <c r="J30" s="365"/>
      <c r="K30" s="365"/>
      <c r="L30" s="365">
        <f t="shared" si="10"/>
        <v>0</v>
      </c>
      <c r="M30" s="365"/>
      <c r="N30" s="365"/>
      <c r="O30" s="366"/>
      <c r="P30" s="365">
        <f t="shared" si="5"/>
        <v>0</v>
      </c>
      <c r="Q30" s="365">
        <f t="shared" si="11"/>
        <v>0</v>
      </c>
      <c r="R30" s="365"/>
      <c r="S30" s="365"/>
      <c r="T30" s="365"/>
      <c r="U30" s="365"/>
      <c r="V30" s="365"/>
      <c r="W30" s="365">
        <f t="shared" si="12"/>
        <v>0</v>
      </c>
      <c r="X30" s="365"/>
      <c r="Y30" s="365"/>
      <c r="Z30" s="365"/>
      <c r="AA30" s="365"/>
      <c r="AB30" s="365"/>
      <c r="AC30" s="365"/>
      <c r="AD30" s="366">
        <v>0</v>
      </c>
      <c r="AE30" s="365">
        <f t="shared" si="2"/>
        <v>0</v>
      </c>
      <c r="AF30" s="365">
        <f t="shared" si="13"/>
        <v>0</v>
      </c>
      <c r="AG30" s="365">
        <f t="shared" si="18"/>
        <v>0</v>
      </c>
      <c r="AH30" s="365">
        <f t="shared" si="19"/>
        <v>0</v>
      </c>
      <c r="AI30" s="365">
        <f t="shared" si="20"/>
        <v>0</v>
      </c>
      <c r="AJ30" s="365">
        <f t="shared" si="21"/>
        <v>0</v>
      </c>
      <c r="AK30" s="365">
        <f t="shared" si="22"/>
        <v>0</v>
      </c>
      <c r="AL30" s="365">
        <f t="shared" si="15"/>
        <v>0</v>
      </c>
      <c r="AM30" s="365">
        <f t="shared" si="23"/>
        <v>0</v>
      </c>
      <c r="AN30" s="365">
        <f t="shared" si="24"/>
        <v>0</v>
      </c>
      <c r="AO30" s="365">
        <f t="shared" si="16"/>
        <v>0</v>
      </c>
      <c r="AP30" s="365">
        <f t="shared" si="25"/>
        <v>0</v>
      </c>
      <c r="AQ30" s="365">
        <f t="shared" si="17"/>
        <v>0</v>
      </c>
      <c r="AR30" s="365">
        <f t="shared" si="26"/>
        <v>0</v>
      </c>
      <c r="AS30" s="365">
        <f t="shared" si="27"/>
        <v>0</v>
      </c>
      <c r="AT30" s="363"/>
      <c r="AU30">
        <v>15.9083</v>
      </c>
    </row>
    <row r="31" ht="24" spans="1:47">
      <c r="A31" s="284" t="s">
        <v>221</v>
      </c>
      <c r="B31" s="284" t="s">
        <v>196</v>
      </c>
      <c r="C31" s="284" t="s">
        <v>230</v>
      </c>
      <c r="D31" s="284" t="s">
        <v>207</v>
      </c>
      <c r="E31" s="365">
        <f t="shared" si="8"/>
        <v>173.36</v>
      </c>
      <c r="F31" s="365">
        <f t="shared" si="9"/>
        <v>118.85</v>
      </c>
      <c r="G31" s="365">
        <v>63.04</v>
      </c>
      <c r="H31" s="365">
        <v>45.56</v>
      </c>
      <c r="I31" s="365">
        <v>6.15</v>
      </c>
      <c r="J31" s="365">
        <v>3.84</v>
      </c>
      <c r="K31" s="365">
        <v>0.26</v>
      </c>
      <c r="L31" s="365">
        <f t="shared" si="10"/>
        <v>54.51</v>
      </c>
      <c r="M31" s="365">
        <v>8.51</v>
      </c>
      <c r="N31" s="365"/>
      <c r="O31" s="365">
        <v>46</v>
      </c>
      <c r="P31" s="365">
        <f t="shared" si="5"/>
        <v>39.519</v>
      </c>
      <c r="Q31" s="365">
        <f t="shared" si="11"/>
        <v>9.97</v>
      </c>
      <c r="R31" s="365">
        <v>10.45</v>
      </c>
      <c r="S31" s="365">
        <v>-0.05</v>
      </c>
      <c r="T31" s="365">
        <v>-0.43</v>
      </c>
      <c r="U31" s="365"/>
      <c r="V31" s="365"/>
      <c r="W31" s="365">
        <f t="shared" si="12"/>
        <v>29.549</v>
      </c>
      <c r="X31" s="365"/>
      <c r="Y31" s="365">
        <v>35.5826</v>
      </c>
      <c r="Z31" s="365">
        <v>21</v>
      </c>
      <c r="AA31" s="365"/>
      <c r="AB31" s="365">
        <v>17.3164</v>
      </c>
      <c r="AC31" s="365">
        <v>1.65</v>
      </c>
      <c r="AD31" s="366">
        <v>-46</v>
      </c>
      <c r="AE31" s="365">
        <f t="shared" si="2"/>
        <v>212.879</v>
      </c>
      <c r="AF31" s="365">
        <f t="shared" si="13"/>
        <v>128.82</v>
      </c>
      <c r="AG31" s="365">
        <f t="shared" si="18"/>
        <v>73.49</v>
      </c>
      <c r="AH31" s="365">
        <f t="shared" si="19"/>
        <v>45.51</v>
      </c>
      <c r="AI31" s="365">
        <f t="shared" si="20"/>
        <v>5.72</v>
      </c>
      <c r="AJ31" s="365">
        <f t="shared" si="21"/>
        <v>3.84</v>
      </c>
      <c r="AK31" s="365">
        <f t="shared" si="22"/>
        <v>0.26</v>
      </c>
      <c r="AL31" s="365">
        <f t="shared" si="15"/>
        <v>84.059</v>
      </c>
      <c r="AM31" s="365">
        <f t="shared" si="23"/>
        <v>8.51</v>
      </c>
      <c r="AN31" s="365">
        <f t="shared" si="24"/>
        <v>35.5826</v>
      </c>
      <c r="AO31" s="365">
        <f t="shared" si="16"/>
        <v>21</v>
      </c>
      <c r="AP31" s="365">
        <f t="shared" si="25"/>
        <v>0</v>
      </c>
      <c r="AQ31" s="365">
        <f t="shared" si="17"/>
        <v>17.3164</v>
      </c>
      <c r="AR31" s="365">
        <f t="shared" si="26"/>
        <v>1.65</v>
      </c>
      <c r="AS31" s="365">
        <f t="shared" si="27"/>
        <v>0</v>
      </c>
      <c r="AT31" s="363"/>
      <c r="AU31">
        <v>17.3164</v>
      </c>
    </row>
    <row r="32" ht="24" spans="1:47">
      <c r="A32" s="284" t="s">
        <v>221</v>
      </c>
      <c r="B32" s="284" t="s">
        <v>199</v>
      </c>
      <c r="C32" s="284" t="s">
        <v>231</v>
      </c>
      <c r="D32" s="284" t="s">
        <v>213</v>
      </c>
      <c r="E32" s="365">
        <f t="shared" si="8"/>
        <v>0</v>
      </c>
      <c r="F32" s="365">
        <f t="shared" si="9"/>
        <v>0</v>
      </c>
      <c r="G32" s="365"/>
      <c r="H32" s="365"/>
      <c r="I32" s="365"/>
      <c r="J32" s="365"/>
      <c r="K32" s="365"/>
      <c r="L32" s="365">
        <f t="shared" si="10"/>
        <v>0</v>
      </c>
      <c r="M32" s="365"/>
      <c r="N32" s="365"/>
      <c r="O32" s="365"/>
      <c r="P32" s="365">
        <f t="shared" si="5"/>
        <v>0</v>
      </c>
      <c r="Q32" s="365">
        <f t="shared" si="11"/>
        <v>0</v>
      </c>
      <c r="R32" s="365"/>
      <c r="S32" s="365"/>
      <c r="T32" s="365"/>
      <c r="U32" s="365"/>
      <c r="V32" s="365"/>
      <c r="W32" s="365">
        <f t="shared" si="12"/>
        <v>0</v>
      </c>
      <c r="X32" s="365"/>
      <c r="Y32" s="365"/>
      <c r="Z32" s="365"/>
      <c r="AA32" s="365"/>
      <c r="AB32" s="365"/>
      <c r="AC32" s="365"/>
      <c r="AD32" s="366">
        <v>0</v>
      </c>
      <c r="AE32" s="365">
        <f t="shared" si="2"/>
        <v>0</v>
      </c>
      <c r="AF32" s="365">
        <f t="shared" si="13"/>
        <v>0</v>
      </c>
      <c r="AG32" s="365">
        <f t="shared" si="18"/>
        <v>0</v>
      </c>
      <c r="AH32" s="365">
        <f t="shared" si="19"/>
        <v>0</v>
      </c>
      <c r="AI32" s="365">
        <f t="shared" si="20"/>
        <v>0</v>
      </c>
      <c r="AJ32" s="365">
        <f t="shared" si="21"/>
        <v>0</v>
      </c>
      <c r="AK32" s="365">
        <f t="shared" si="22"/>
        <v>0</v>
      </c>
      <c r="AL32" s="365">
        <f t="shared" si="15"/>
        <v>0</v>
      </c>
      <c r="AM32" s="365">
        <f t="shared" si="23"/>
        <v>0</v>
      </c>
      <c r="AN32" s="365">
        <f t="shared" si="24"/>
        <v>0</v>
      </c>
      <c r="AO32" s="365">
        <f t="shared" si="16"/>
        <v>0</v>
      </c>
      <c r="AP32" s="365">
        <f t="shared" si="25"/>
        <v>0</v>
      </c>
      <c r="AQ32" s="365">
        <f t="shared" si="17"/>
        <v>0</v>
      </c>
      <c r="AR32" s="365">
        <f t="shared" si="26"/>
        <v>0</v>
      </c>
      <c r="AS32" s="365">
        <f t="shared" si="27"/>
        <v>0</v>
      </c>
      <c r="AT32" s="363"/>
      <c r="AU32">
        <v>2.85</v>
      </c>
    </row>
    <row r="33" ht="24" spans="1:47">
      <c r="A33" s="284" t="s">
        <v>221</v>
      </c>
      <c r="B33" s="284" t="s">
        <v>199</v>
      </c>
      <c r="C33" s="284" t="s">
        <v>232</v>
      </c>
      <c r="D33" s="284" t="s">
        <v>213</v>
      </c>
      <c r="E33" s="365">
        <f t="shared" si="8"/>
        <v>0</v>
      </c>
      <c r="F33" s="365">
        <f t="shared" si="9"/>
        <v>0</v>
      </c>
      <c r="G33" s="365"/>
      <c r="H33" s="365"/>
      <c r="I33" s="365"/>
      <c r="J33" s="365"/>
      <c r="K33" s="365"/>
      <c r="L33" s="365">
        <f t="shared" si="10"/>
        <v>0</v>
      </c>
      <c r="M33" s="365"/>
      <c r="N33" s="365"/>
      <c r="O33" s="365"/>
      <c r="P33" s="365">
        <f t="shared" si="5"/>
        <v>0</v>
      </c>
      <c r="Q33" s="365">
        <f t="shared" si="11"/>
        <v>0</v>
      </c>
      <c r="R33" s="365"/>
      <c r="S33" s="365"/>
      <c r="T33" s="365"/>
      <c r="U33" s="365"/>
      <c r="V33" s="365"/>
      <c r="W33" s="365">
        <f t="shared" si="12"/>
        <v>0</v>
      </c>
      <c r="X33" s="365"/>
      <c r="Y33" s="365"/>
      <c r="Z33" s="365"/>
      <c r="AA33" s="365"/>
      <c r="AB33" s="365"/>
      <c r="AC33" s="365"/>
      <c r="AD33" s="366">
        <v>0</v>
      </c>
      <c r="AE33" s="365">
        <f t="shared" si="2"/>
        <v>0</v>
      </c>
      <c r="AF33" s="365">
        <f t="shared" si="13"/>
        <v>0</v>
      </c>
      <c r="AG33" s="365">
        <f t="shared" si="18"/>
        <v>0</v>
      </c>
      <c r="AH33" s="365">
        <f t="shared" si="19"/>
        <v>0</v>
      </c>
      <c r="AI33" s="365">
        <f t="shared" si="20"/>
        <v>0</v>
      </c>
      <c r="AJ33" s="365">
        <f t="shared" si="21"/>
        <v>0</v>
      </c>
      <c r="AK33" s="365">
        <f t="shared" si="22"/>
        <v>0</v>
      </c>
      <c r="AL33" s="365">
        <f t="shared" si="15"/>
        <v>0</v>
      </c>
      <c r="AM33" s="365">
        <f t="shared" si="23"/>
        <v>0</v>
      </c>
      <c r="AN33" s="365">
        <f t="shared" si="24"/>
        <v>0</v>
      </c>
      <c r="AO33" s="365">
        <f t="shared" si="16"/>
        <v>0</v>
      </c>
      <c r="AP33" s="365">
        <f t="shared" si="25"/>
        <v>0</v>
      </c>
      <c r="AQ33" s="365">
        <f t="shared" si="17"/>
        <v>0</v>
      </c>
      <c r="AR33" s="365">
        <f t="shared" si="26"/>
        <v>0</v>
      </c>
      <c r="AS33" s="365">
        <f t="shared" si="27"/>
        <v>0</v>
      </c>
      <c r="AT33" s="363"/>
      <c r="AU33">
        <v>4</v>
      </c>
    </row>
    <row r="34" ht="24" spans="1:47">
      <c r="A34" s="284" t="s">
        <v>221</v>
      </c>
      <c r="B34" s="284" t="s">
        <v>199</v>
      </c>
      <c r="C34" s="284" t="s">
        <v>233</v>
      </c>
      <c r="D34" s="284" t="s">
        <v>213</v>
      </c>
      <c r="E34" s="365">
        <f t="shared" si="8"/>
        <v>0</v>
      </c>
      <c r="F34" s="365">
        <f t="shared" si="9"/>
        <v>0</v>
      </c>
      <c r="G34" s="365"/>
      <c r="H34" s="365"/>
      <c r="I34" s="365"/>
      <c r="J34" s="365"/>
      <c r="K34" s="365"/>
      <c r="L34" s="365">
        <f t="shared" si="10"/>
        <v>0</v>
      </c>
      <c r="M34" s="365"/>
      <c r="N34" s="365"/>
      <c r="O34" s="365"/>
      <c r="P34" s="365">
        <f t="shared" si="5"/>
        <v>0</v>
      </c>
      <c r="Q34" s="365">
        <f t="shared" si="11"/>
        <v>0</v>
      </c>
      <c r="R34" s="365"/>
      <c r="S34" s="365"/>
      <c r="T34" s="365"/>
      <c r="U34" s="365"/>
      <c r="V34" s="365"/>
      <c r="W34" s="365">
        <f t="shared" si="12"/>
        <v>0</v>
      </c>
      <c r="X34" s="365"/>
      <c r="Y34" s="365"/>
      <c r="Z34" s="365"/>
      <c r="AA34" s="365"/>
      <c r="AB34" s="365"/>
      <c r="AC34" s="365"/>
      <c r="AD34" s="366">
        <v>0</v>
      </c>
      <c r="AE34" s="365">
        <f t="shared" si="2"/>
        <v>0</v>
      </c>
      <c r="AF34" s="365">
        <f t="shared" si="13"/>
        <v>0</v>
      </c>
      <c r="AG34" s="365">
        <f t="shared" si="18"/>
        <v>0</v>
      </c>
      <c r="AH34" s="365">
        <f t="shared" si="19"/>
        <v>0</v>
      </c>
      <c r="AI34" s="365">
        <f t="shared" si="20"/>
        <v>0</v>
      </c>
      <c r="AJ34" s="365">
        <f t="shared" si="21"/>
        <v>0</v>
      </c>
      <c r="AK34" s="365">
        <f t="shared" si="22"/>
        <v>0</v>
      </c>
      <c r="AL34" s="365">
        <f t="shared" si="15"/>
        <v>0</v>
      </c>
      <c r="AM34" s="365">
        <f t="shared" si="23"/>
        <v>0</v>
      </c>
      <c r="AN34" s="365">
        <f t="shared" si="24"/>
        <v>0</v>
      </c>
      <c r="AO34" s="365">
        <f t="shared" si="16"/>
        <v>0</v>
      </c>
      <c r="AP34" s="365">
        <f t="shared" si="25"/>
        <v>0</v>
      </c>
      <c r="AQ34" s="365">
        <f t="shared" si="17"/>
        <v>0</v>
      </c>
      <c r="AR34" s="365">
        <f t="shared" si="26"/>
        <v>0</v>
      </c>
      <c r="AS34" s="365">
        <f t="shared" si="27"/>
        <v>0</v>
      </c>
      <c r="AT34" s="363"/>
      <c r="AU34">
        <v>10.9334</v>
      </c>
    </row>
    <row r="35" ht="24" spans="1:47">
      <c r="A35" s="284" t="s">
        <v>221</v>
      </c>
      <c r="B35" s="284" t="s">
        <v>196</v>
      </c>
      <c r="C35" s="284" t="s">
        <v>234</v>
      </c>
      <c r="D35" s="284" t="s">
        <v>207</v>
      </c>
      <c r="E35" s="365">
        <f t="shared" si="8"/>
        <v>266</v>
      </c>
      <c r="F35" s="365">
        <f t="shared" si="9"/>
        <v>187.49</v>
      </c>
      <c r="G35" s="365">
        <v>98.64</v>
      </c>
      <c r="H35" s="365">
        <v>71.97</v>
      </c>
      <c r="I35" s="365">
        <v>8.7</v>
      </c>
      <c r="J35" s="365">
        <v>7.92</v>
      </c>
      <c r="K35" s="365">
        <v>0.26</v>
      </c>
      <c r="L35" s="365">
        <f t="shared" si="10"/>
        <v>78.51</v>
      </c>
      <c r="M35" s="365">
        <v>8.51</v>
      </c>
      <c r="N35" s="365"/>
      <c r="O35" s="366">
        <v>70</v>
      </c>
      <c r="P35" s="365">
        <f t="shared" si="5"/>
        <v>5.47029999999999</v>
      </c>
      <c r="Q35" s="365">
        <f t="shared" si="11"/>
        <v>-30.66</v>
      </c>
      <c r="R35" s="365">
        <v>-31.77</v>
      </c>
      <c r="S35" s="365">
        <v>3.81</v>
      </c>
      <c r="T35" s="365">
        <v>-1.16</v>
      </c>
      <c r="U35" s="365">
        <v>-1.54</v>
      </c>
      <c r="V35" s="365"/>
      <c r="W35" s="365">
        <f t="shared" si="12"/>
        <v>36.1303</v>
      </c>
      <c r="X35" s="365"/>
      <c r="Y35" s="365">
        <v>44.7994</v>
      </c>
      <c r="Z35" s="365">
        <v>39</v>
      </c>
      <c r="AA35" s="365"/>
      <c r="AB35" s="365">
        <v>20.0809</v>
      </c>
      <c r="AC35" s="365">
        <v>2.25</v>
      </c>
      <c r="AD35" s="366">
        <v>-70</v>
      </c>
      <c r="AE35" s="365">
        <f t="shared" si="2"/>
        <v>271.4703</v>
      </c>
      <c r="AF35" s="365">
        <f t="shared" si="13"/>
        <v>156.83</v>
      </c>
      <c r="AG35" s="365">
        <f t="shared" si="18"/>
        <v>66.87</v>
      </c>
      <c r="AH35" s="365">
        <f t="shared" si="19"/>
        <v>75.78</v>
      </c>
      <c r="AI35" s="365">
        <f t="shared" si="20"/>
        <v>7.54</v>
      </c>
      <c r="AJ35" s="365">
        <f t="shared" si="21"/>
        <v>6.38</v>
      </c>
      <c r="AK35" s="365">
        <f t="shared" si="22"/>
        <v>0.26</v>
      </c>
      <c r="AL35" s="365">
        <f t="shared" si="15"/>
        <v>114.6403</v>
      </c>
      <c r="AM35" s="365">
        <f t="shared" si="23"/>
        <v>8.51</v>
      </c>
      <c r="AN35" s="365">
        <f t="shared" si="24"/>
        <v>44.7994</v>
      </c>
      <c r="AO35" s="365">
        <f t="shared" si="16"/>
        <v>39</v>
      </c>
      <c r="AP35" s="365">
        <f t="shared" si="25"/>
        <v>0</v>
      </c>
      <c r="AQ35" s="365">
        <f t="shared" si="17"/>
        <v>20.0809</v>
      </c>
      <c r="AR35" s="365">
        <f t="shared" si="26"/>
        <v>2.25</v>
      </c>
      <c r="AS35" s="365">
        <f t="shared" si="27"/>
        <v>0</v>
      </c>
      <c r="AT35" s="363"/>
      <c r="AU35">
        <v>20.0809</v>
      </c>
    </row>
    <row r="36" ht="24" spans="1:47">
      <c r="A36" s="284" t="s">
        <v>221</v>
      </c>
      <c r="B36" s="284" t="s">
        <v>199</v>
      </c>
      <c r="C36" s="284" t="s">
        <v>235</v>
      </c>
      <c r="D36" s="284" t="s">
        <v>213</v>
      </c>
      <c r="E36" s="365">
        <f t="shared" si="8"/>
        <v>0</v>
      </c>
      <c r="F36" s="365">
        <f t="shared" si="9"/>
        <v>0</v>
      </c>
      <c r="G36" s="365"/>
      <c r="H36" s="365"/>
      <c r="I36" s="365"/>
      <c r="J36" s="365"/>
      <c r="K36" s="365"/>
      <c r="L36" s="365">
        <f t="shared" si="10"/>
        <v>0</v>
      </c>
      <c r="M36" s="365"/>
      <c r="N36" s="365"/>
      <c r="O36" s="365"/>
      <c r="P36" s="365">
        <f t="shared" si="5"/>
        <v>0</v>
      </c>
      <c r="Q36" s="365">
        <f t="shared" si="11"/>
        <v>0</v>
      </c>
      <c r="R36" s="365"/>
      <c r="S36" s="365"/>
      <c r="T36" s="365"/>
      <c r="U36" s="365"/>
      <c r="V36" s="365"/>
      <c r="W36" s="365">
        <f t="shared" si="12"/>
        <v>0</v>
      </c>
      <c r="X36" s="365"/>
      <c r="Y36" s="365"/>
      <c r="Z36" s="365"/>
      <c r="AA36" s="365"/>
      <c r="AB36" s="365"/>
      <c r="AC36" s="365"/>
      <c r="AD36" s="366">
        <v>0</v>
      </c>
      <c r="AE36" s="365">
        <f t="shared" si="2"/>
        <v>0</v>
      </c>
      <c r="AF36" s="365">
        <f t="shared" si="13"/>
        <v>0</v>
      </c>
      <c r="AG36" s="365">
        <f t="shared" si="18"/>
        <v>0</v>
      </c>
      <c r="AH36" s="365">
        <f t="shared" si="19"/>
        <v>0</v>
      </c>
      <c r="AI36" s="365">
        <f t="shared" si="20"/>
        <v>0</v>
      </c>
      <c r="AJ36" s="365">
        <f t="shared" si="21"/>
        <v>0</v>
      </c>
      <c r="AK36" s="365">
        <f t="shared" si="22"/>
        <v>0</v>
      </c>
      <c r="AL36" s="365">
        <f t="shared" si="15"/>
        <v>0</v>
      </c>
      <c r="AM36" s="365">
        <f t="shared" si="23"/>
        <v>0</v>
      </c>
      <c r="AN36" s="365">
        <f t="shared" si="24"/>
        <v>0</v>
      </c>
      <c r="AO36" s="365">
        <f t="shared" si="16"/>
        <v>0</v>
      </c>
      <c r="AP36" s="365">
        <f t="shared" si="25"/>
        <v>0</v>
      </c>
      <c r="AQ36" s="365">
        <f t="shared" si="17"/>
        <v>0</v>
      </c>
      <c r="AR36" s="365">
        <f t="shared" si="26"/>
        <v>0</v>
      </c>
      <c r="AS36" s="365">
        <f t="shared" si="27"/>
        <v>0</v>
      </c>
      <c r="AT36" s="363"/>
      <c r="AU36">
        <v>3.7917</v>
      </c>
    </row>
    <row r="37" ht="24" spans="1:47">
      <c r="A37" s="284" t="s">
        <v>221</v>
      </c>
      <c r="B37" s="284" t="s">
        <v>199</v>
      </c>
      <c r="C37" s="284" t="s">
        <v>236</v>
      </c>
      <c r="D37" s="284" t="s">
        <v>213</v>
      </c>
      <c r="E37" s="365">
        <f t="shared" si="8"/>
        <v>0</v>
      </c>
      <c r="F37" s="365">
        <f t="shared" si="9"/>
        <v>0</v>
      </c>
      <c r="G37" s="365"/>
      <c r="H37" s="365"/>
      <c r="I37" s="365"/>
      <c r="J37" s="365"/>
      <c r="K37" s="365"/>
      <c r="L37" s="365">
        <f t="shared" si="10"/>
        <v>0</v>
      </c>
      <c r="M37" s="365"/>
      <c r="N37" s="365"/>
      <c r="O37" s="365"/>
      <c r="P37" s="365">
        <f t="shared" si="5"/>
        <v>0</v>
      </c>
      <c r="Q37" s="365">
        <f t="shared" si="11"/>
        <v>0</v>
      </c>
      <c r="R37" s="365"/>
      <c r="S37" s="365"/>
      <c r="T37" s="365"/>
      <c r="U37" s="365"/>
      <c r="V37" s="365"/>
      <c r="W37" s="365">
        <f t="shared" si="12"/>
        <v>0</v>
      </c>
      <c r="X37" s="365"/>
      <c r="Y37" s="365"/>
      <c r="Z37" s="365"/>
      <c r="AA37" s="365"/>
      <c r="AB37" s="365"/>
      <c r="AC37" s="365"/>
      <c r="AD37" s="366">
        <v>0</v>
      </c>
      <c r="AE37" s="365">
        <f t="shared" si="2"/>
        <v>0</v>
      </c>
      <c r="AF37" s="365">
        <f t="shared" si="13"/>
        <v>0</v>
      </c>
      <c r="AG37" s="365">
        <f t="shared" si="18"/>
        <v>0</v>
      </c>
      <c r="AH37" s="365">
        <f t="shared" si="19"/>
        <v>0</v>
      </c>
      <c r="AI37" s="365">
        <f t="shared" si="20"/>
        <v>0</v>
      </c>
      <c r="AJ37" s="365">
        <f t="shared" si="21"/>
        <v>0</v>
      </c>
      <c r="AK37" s="365">
        <f t="shared" si="22"/>
        <v>0</v>
      </c>
      <c r="AL37" s="365">
        <f t="shared" si="15"/>
        <v>0</v>
      </c>
      <c r="AM37" s="365">
        <f t="shared" si="23"/>
        <v>0</v>
      </c>
      <c r="AN37" s="365">
        <f t="shared" si="24"/>
        <v>0</v>
      </c>
      <c r="AO37" s="365">
        <f t="shared" si="16"/>
        <v>0</v>
      </c>
      <c r="AP37" s="365">
        <f t="shared" si="25"/>
        <v>0</v>
      </c>
      <c r="AQ37" s="365">
        <f t="shared" si="17"/>
        <v>0</v>
      </c>
      <c r="AR37" s="365">
        <f t="shared" si="26"/>
        <v>0</v>
      </c>
      <c r="AS37" s="365">
        <f t="shared" si="27"/>
        <v>0</v>
      </c>
      <c r="AT37" s="363"/>
      <c r="AU37">
        <v>5</v>
      </c>
    </row>
    <row r="38" ht="24" spans="1:47">
      <c r="A38" s="284" t="s">
        <v>221</v>
      </c>
      <c r="B38" s="284" t="s">
        <v>199</v>
      </c>
      <c r="C38" s="284" t="s">
        <v>237</v>
      </c>
      <c r="D38" s="284" t="s">
        <v>213</v>
      </c>
      <c r="E38" s="365">
        <f t="shared" si="8"/>
        <v>0</v>
      </c>
      <c r="F38" s="365">
        <f t="shared" si="9"/>
        <v>0</v>
      </c>
      <c r="G38" s="365"/>
      <c r="H38" s="365"/>
      <c r="I38" s="365"/>
      <c r="J38" s="365"/>
      <c r="K38" s="365"/>
      <c r="L38" s="365">
        <f t="shared" si="10"/>
        <v>0</v>
      </c>
      <c r="M38" s="365"/>
      <c r="N38" s="365"/>
      <c r="O38" s="365"/>
      <c r="P38" s="365">
        <f t="shared" si="5"/>
        <v>0</v>
      </c>
      <c r="Q38" s="365">
        <f t="shared" si="11"/>
        <v>0</v>
      </c>
      <c r="R38" s="365"/>
      <c r="S38" s="365"/>
      <c r="T38" s="365"/>
      <c r="U38" s="365"/>
      <c r="V38" s="365"/>
      <c r="W38" s="365">
        <f t="shared" si="12"/>
        <v>0</v>
      </c>
      <c r="X38" s="365"/>
      <c r="Y38" s="365"/>
      <c r="Z38" s="365"/>
      <c r="AA38" s="365"/>
      <c r="AB38" s="365"/>
      <c r="AC38" s="365"/>
      <c r="AD38" s="366">
        <v>0</v>
      </c>
      <c r="AE38" s="365">
        <f t="shared" si="2"/>
        <v>0</v>
      </c>
      <c r="AF38" s="365">
        <f t="shared" si="13"/>
        <v>0</v>
      </c>
      <c r="AG38" s="365">
        <f t="shared" si="18"/>
        <v>0</v>
      </c>
      <c r="AH38" s="365">
        <f t="shared" si="19"/>
        <v>0</v>
      </c>
      <c r="AI38" s="365">
        <f t="shared" si="20"/>
        <v>0</v>
      </c>
      <c r="AJ38" s="365">
        <f t="shared" si="21"/>
        <v>0</v>
      </c>
      <c r="AK38" s="365">
        <f t="shared" si="22"/>
        <v>0</v>
      </c>
      <c r="AL38" s="365">
        <f t="shared" si="15"/>
        <v>0</v>
      </c>
      <c r="AM38" s="365">
        <f t="shared" si="23"/>
        <v>0</v>
      </c>
      <c r="AN38" s="365">
        <f t="shared" si="24"/>
        <v>0</v>
      </c>
      <c r="AO38" s="365">
        <f t="shared" si="16"/>
        <v>0</v>
      </c>
      <c r="AP38" s="365">
        <f t="shared" si="25"/>
        <v>0</v>
      </c>
      <c r="AQ38" s="365">
        <f t="shared" si="17"/>
        <v>0</v>
      </c>
      <c r="AR38" s="365">
        <f t="shared" si="26"/>
        <v>0</v>
      </c>
      <c r="AS38" s="365">
        <f t="shared" si="27"/>
        <v>0</v>
      </c>
      <c r="AT38" s="363"/>
      <c r="AU38">
        <v>11.3333</v>
      </c>
    </row>
    <row r="39" ht="24" spans="1:47">
      <c r="A39" s="284" t="s">
        <v>221</v>
      </c>
      <c r="B39" s="284" t="s">
        <v>196</v>
      </c>
      <c r="C39" s="284" t="s">
        <v>238</v>
      </c>
      <c r="D39" s="284" t="s">
        <v>207</v>
      </c>
      <c r="E39" s="365">
        <f t="shared" si="8"/>
        <v>245.46</v>
      </c>
      <c r="F39" s="365">
        <f t="shared" si="9"/>
        <v>171.95</v>
      </c>
      <c r="G39" s="365">
        <v>92.69</v>
      </c>
      <c r="H39" s="365">
        <v>66</v>
      </c>
      <c r="I39" s="365">
        <v>7.72</v>
      </c>
      <c r="J39" s="365">
        <v>5.28</v>
      </c>
      <c r="K39" s="365">
        <v>0.26</v>
      </c>
      <c r="L39" s="365">
        <f t="shared" si="10"/>
        <v>73.51</v>
      </c>
      <c r="M39" s="365">
        <v>8.51</v>
      </c>
      <c r="N39" s="365"/>
      <c r="O39" s="366">
        <v>65</v>
      </c>
      <c r="P39" s="365">
        <f t="shared" si="5"/>
        <v>39.4306</v>
      </c>
      <c r="Q39" s="365">
        <f t="shared" si="11"/>
        <v>1.8</v>
      </c>
      <c r="R39" s="365">
        <v>-0.790000000000001</v>
      </c>
      <c r="S39" s="365">
        <v>3.4</v>
      </c>
      <c r="T39" s="365">
        <v>-0.67</v>
      </c>
      <c r="U39" s="365">
        <v>-0.23</v>
      </c>
      <c r="V39" s="365">
        <v>0.09</v>
      </c>
      <c r="W39" s="365">
        <f t="shared" si="12"/>
        <v>37.6306</v>
      </c>
      <c r="X39" s="365"/>
      <c r="Y39" s="365">
        <v>49.4898</v>
      </c>
      <c r="Z39" s="365">
        <v>30</v>
      </c>
      <c r="AA39" s="365"/>
      <c r="AB39" s="365">
        <v>21.1908</v>
      </c>
      <c r="AC39" s="365">
        <v>1.95</v>
      </c>
      <c r="AD39" s="366">
        <v>-65</v>
      </c>
      <c r="AE39" s="365">
        <f t="shared" si="2"/>
        <v>284.8906</v>
      </c>
      <c r="AF39" s="365">
        <f t="shared" si="13"/>
        <v>173.75</v>
      </c>
      <c r="AG39" s="365">
        <f t="shared" si="18"/>
        <v>91.9</v>
      </c>
      <c r="AH39" s="365">
        <f t="shared" si="19"/>
        <v>69.4</v>
      </c>
      <c r="AI39" s="365">
        <f t="shared" si="20"/>
        <v>7.05</v>
      </c>
      <c r="AJ39" s="365">
        <f t="shared" si="21"/>
        <v>5.05</v>
      </c>
      <c r="AK39" s="365">
        <f t="shared" si="22"/>
        <v>0.35</v>
      </c>
      <c r="AL39" s="365">
        <f t="shared" si="15"/>
        <v>111.1406</v>
      </c>
      <c r="AM39" s="365">
        <f t="shared" si="23"/>
        <v>8.51</v>
      </c>
      <c r="AN39" s="365">
        <f t="shared" si="24"/>
        <v>49.4898</v>
      </c>
      <c r="AO39" s="365">
        <f t="shared" si="16"/>
        <v>30</v>
      </c>
      <c r="AP39" s="365">
        <f t="shared" si="25"/>
        <v>0</v>
      </c>
      <c r="AQ39" s="365">
        <f t="shared" si="17"/>
        <v>21.1908</v>
      </c>
      <c r="AR39" s="365">
        <f t="shared" si="26"/>
        <v>1.95</v>
      </c>
      <c r="AS39" s="365">
        <f t="shared" si="27"/>
        <v>0</v>
      </c>
      <c r="AT39" s="363"/>
      <c r="AU39">
        <v>21.1908</v>
      </c>
    </row>
    <row r="40" ht="24" spans="1:47">
      <c r="A40" s="284" t="s">
        <v>221</v>
      </c>
      <c r="B40" s="284" t="s">
        <v>199</v>
      </c>
      <c r="C40" s="284" t="s">
        <v>239</v>
      </c>
      <c r="D40" s="284" t="s">
        <v>213</v>
      </c>
      <c r="E40" s="365">
        <f t="shared" si="8"/>
        <v>0</v>
      </c>
      <c r="F40" s="365">
        <f t="shared" si="9"/>
        <v>0</v>
      </c>
      <c r="G40" s="365"/>
      <c r="H40" s="365"/>
      <c r="I40" s="365"/>
      <c r="J40" s="365"/>
      <c r="K40" s="365"/>
      <c r="L40" s="365">
        <f t="shared" si="10"/>
        <v>0</v>
      </c>
      <c r="M40" s="365"/>
      <c r="N40" s="365"/>
      <c r="O40" s="365"/>
      <c r="P40" s="365">
        <f t="shared" si="5"/>
        <v>0</v>
      </c>
      <c r="Q40" s="365">
        <f t="shared" si="11"/>
        <v>0</v>
      </c>
      <c r="R40" s="365"/>
      <c r="S40" s="365"/>
      <c r="T40" s="365"/>
      <c r="U40" s="365"/>
      <c r="V40" s="365"/>
      <c r="W40" s="365">
        <f t="shared" si="12"/>
        <v>0</v>
      </c>
      <c r="X40" s="365"/>
      <c r="Y40" s="365"/>
      <c r="Z40" s="365"/>
      <c r="AA40" s="365"/>
      <c r="AB40" s="365"/>
      <c r="AC40" s="365"/>
      <c r="AD40" s="366">
        <v>0</v>
      </c>
      <c r="AE40" s="365">
        <f t="shared" si="2"/>
        <v>0</v>
      </c>
      <c r="AF40" s="365">
        <f t="shared" si="13"/>
        <v>0</v>
      </c>
      <c r="AG40" s="365">
        <f t="shared" si="18"/>
        <v>0</v>
      </c>
      <c r="AH40" s="365">
        <f t="shared" si="19"/>
        <v>0</v>
      </c>
      <c r="AI40" s="365">
        <f t="shared" si="20"/>
        <v>0</v>
      </c>
      <c r="AJ40" s="365">
        <f t="shared" si="21"/>
        <v>0</v>
      </c>
      <c r="AK40" s="365">
        <f t="shared" si="22"/>
        <v>0</v>
      </c>
      <c r="AL40" s="365">
        <f t="shared" si="15"/>
        <v>0</v>
      </c>
      <c r="AM40" s="365">
        <f t="shared" si="23"/>
        <v>0</v>
      </c>
      <c r="AN40" s="365">
        <f t="shared" si="24"/>
        <v>0</v>
      </c>
      <c r="AO40" s="365">
        <f t="shared" si="16"/>
        <v>0</v>
      </c>
      <c r="AP40" s="365">
        <f t="shared" si="25"/>
        <v>0</v>
      </c>
      <c r="AQ40" s="365">
        <f t="shared" si="17"/>
        <v>0</v>
      </c>
      <c r="AR40" s="365">
        <f t="shared" si="26"/>
        <v>0</v>
      </c>
      <c r="AS40" s="365">
        <f t="shared" si="27"/>
        <v>0</v>
      </c>
      <c r="AT40" s="363"/>
      <c r="AU40">
        <v>2.85</v>
      </c>
    </row>
    <row r="41" ht="24" spans="1:47">
      <c r="A41" s="284" t="s">
        <v>221</v>
      </c>
      <c r="B41" s="284" t="s">
        <v>199</v>
      </c>
      <c r="C41" s="284" t="s">
        <v>240</v>
      </c>
      <c r="D41" s="284" t="s">
        <v>213</v>
      </c>
      <c r="E41" s="365">
        <f t="shared" si="8"/>
        <v>0</v>
      </c>
      <c r="F41" s="365">
        <f t="shared" si="9"/>
        <v>0</v>
      </c>
      <c r="G41" s="365"/>
      <c r="H41" s="365"/>
      <c r="I41" s="365"/>
      <c r="J41" s="365"/>
      <c r="K41" s="365"/>
      <c r="L41" s="365">
        <f t="shared" si="10"/>
        <v>0</v>
      </c>
      <c r="M41" s="365"/>
      <c r="N41" s="365"/>
      <c r="O41" s="365"/>
      <c r="P41" s="365">
        <f t="shared" si="5"/>
        <v>0</v>
      </c>
      <c r="Q41" s="365">
        <f t="shared" si="11"/>
        <v>0</v>
      </c>
      <c r="R41" s="365"/>
      <c r="S41" s="365"/>
      <c r="T41" s="365"/>
      <c r="U41" s="365"/>
      <c r="V41" s="365"/>
      <c r="W41" s="365">
        <f t="shared" si="12"/>
        <v>0</v>
      </c>
      <c r="X41" s="365"/>
      <c r="Y41" s="365"/>
      <c r="Z41" s="365"/>
      <c r="AA41" s="365"/>
      <c r="AB41" s="365"/>
      <c r="AC41" s="365"/>
      <c r="AD41" s="366">
        <v>0</v>
      </c>
      <c r="AE41" s="365">
        <f t="shared" si="2"/>
        <v>0</v>
      </c>
      <c r="AF41" s="365">
        <f t="shared" si="13"/>
        <v>0</v>
      </c>
      <c r="AG41" s="365">
        <f t="shared" ref="AG41:AG72" si="28">G41+R41</f>
        <v>0</v>
      </c>
      <c r="AH41" s="365">
        <f t="shared" ref="AH41:AH72" si="29">H41+S41</f>
        <v>0</v>
      </c>
      <c r="AI41" s="365">
        <f t="shared" ref="AI41:AI72" si="30">I41+T41</f>
        <v>0</v>
      </c>
      <c r="AJ41" s="365">
        <f t="shared" ref="AJ41:AJ72" si="31">J41+U41</f>
        <v>0</v>
      </c>
      <c r="AK41" s="365">
        <f t="shared" ref="AK41:AK72" si="32">K41+V41</f>
        <v>0</v>
      </c>
      <c r="AL41" s="365">
        <f t="shared" si="15"/>
        <v>0</v>
      </c>
      <c r="AM41" s="365">
        <f t="shared" ref="AM41:AM72" si="33">M41+X41</f>
        <v>0</v>
      </c>
      <c r="AN41" s="365">
        <f t="shared" ref="AN41:AN72" si="34">Y41</f>
        <v>0</v>
      </c>
      <c r="AO41" s="365">
        <f t="shared" si="16"/>
        <v>0</v>
      </c>
      <c r="AP41" s="365">
        <f t="shared" ref="AP41:AP72" si="35">AA41</f>
        <v>0</v>
      </c>
      <c r="AQ41" s="365">
        <f t="shared" si="17"/>
        <v>0</v>
      </c>
      <c r="AR41" s="365">
        <f t="shared" ref="AR41:AR72" si="36">N41+AC41</f>
        <v>0</v>
      </c>
      <c r="AS41" s="365">
        <f t="shared" ref="AS41:AS72" si="37">O41+AD41</f>
        <v>0</v>
      </c>
      <c r="AT41" s="363"/>
      <c r="AU41">
        <v>3.3917</v>
      </c>
    </row>
    <row r="42" ht="24" spans="1:47">
      <c r="A42" s="284" t="s">
        <v>221</v>
      </c>
      <c r="B42" s="284" t="s">
        <v>199</v>
      </c>
      <c r="C42" s="284" t="s">
        <v>241</v>
      </c>
      <c r="D42" s="284" t="s">
        <v>213</v>
      </c>
      <c r="E42" s="365">
        <f t="shared" si="8"/>
        <v>0</v>
      </c>
      <c r="F42" s="365">
        <f t="shared" si="9"/>
        <v>0</v>
      </c>
      <c r="G42" s="365"/>
      <c r="H42" s="365"/>
      <c r="I42" s="365"/>
      <c r="J42" s="365"/>
      <c r="K42" s="365"/>
      <c r="L42" s="365">
        <f t="shared" si="10"/>
        <v>0</v>
      </c>
      <c r="M42" s="365"/>
      <c r="N42" s="365"/>
      <c r="O42" s="365"/>
      <c r="P42" s="365">
        <f t="shared" si="5"/>
        <v>0</v>
      </c>
      <c r="Q42" s="365">
        <f t="shared" si="11"/>
        <v>0</v>
      </c>
      <c r="R42" s="365"/>
      <c r="S42" s="365"/>
      <c r="T42" s="365"/>
      <c r="U42" s="365"/>
      <c r="V42" s="365"/>
      <c r="W42" s="365">
        <f t="shared" si="12"/>
        <v>0</v>
      </c>
      <c r="X42" s="365"/>
      <c r="Y42" s="365"/>
      <c r="Z42" s="365"/>
      <c r="AA42" s="365"/>
      <c r="AB42" s="365"/>
      <c r="AC42" s="365"/>
      <c r="AD42" s="366">
        <v>0</v>
      </c>
      <c r="AE42" s="365">
        <f t="shared" si="2"/>
        <v>0</v>
      </c>
      <c r="AF42" s="365">
        <f t="shared" si="13"/>
        <v>0</v>
      </c>
      <c r="AG42" s="365">
        <f t="shared" si="28"/>
        <v>0</v>
      </c>
      <c r="AH42" s="365">
        <f t="shared" si="29"/>
        <v>0</v>
      </c>
      <c r="AI42" s="365">
        <f t="shared" si="30"/>
        <v>0</v>
      </c>
      <c r="AJ42" s="365">
        <f t="shared" si="31"/>
        <v>0</v>
      </c>
      <c r="AK42" s="365">
        <f t="shared" si="32"/>
        <v>0</v>
      </c>
      <c r="AL42" s="365">
        <f t="shared" si="15"/>
        <v>0</v>
      </c>
      <c r="AM42" s="365">
        <f t="shared" si="33"/>
        <v>0</v>
      </c>
      <c r="AN42" s="365">
        <f t="shared" si="34"/>
        <v>0</v>
      </c>
      <c r="AO42" s="365">
        <f t="shared" si="16"/>
        <v>0</v>
      </c>
      <c r="AP42" s="365">
        <f t="shared" si="35"/>
        <v>0</v>
      </c>
      <c r="AQ42" s="365">
        <f t="shared" si="17"/>
        <v>0</v>
      </c>
      <c r="AR42" s="365">
        <f t="shared" si="36"/>
        <v>0</v>
      </c>
      <c r="AS42" s="365">
        <f t="shared" si="37"/>
        <v>0</v>
      </c>
      <c r="AT42" s="363"/>
      <c r="AU42">
        <v>15.5</v>
      </c>
    </row>
    <row r="43" ht="24" spans="1:47">
      <c r="A43" s="284" t="s">
        <v>221</v>
      </c>
      <c r="B43" s="284" t="s">
        <v>196</v>
      </c>
      <c r="C43" s="284" t="s">
        <v>242</v>
      </c>
      <c r="D43" s="284" t="s">
        <v>207</v>
      </c>
      <c r="E43" s="365">
        <f t="shared" si="8"/>
        <v>172.76</v>
      </c>
      <c r="F43" s="365">
        <f t="shared" si="9"/>
        <v>115.42</v>
      </c>
      <c r="G43" s="365">
        <v>58.95</v>
      </c>
      <c r="H43" s="365">
        <v>43.62</v>
      </c>
      <c r="I43" s="365">
        <v>4.91</v>
      </c>
      <c r="J43" s="365">
        <v>7.68</v>
      </c>
      <c r="K43" s="365">
        <v>0.26</v>
      </c>
      <c r="L43" s="365">
        <f t="shared" si="10"/>
        <v>57.34</v>
      </c>
      <c r="M43" s="365">
        <v>11.34</v>
      </c>
      <c r="N43" s="365"/>
      <c r="O43" s="366">
        <v>46</v>
      </c>
      <c r="P43" s="365">
        <f t="shared" si="5"/>
        <v>16.7648</v>
      </c>
      <c r="Q43" s="365">
        <f t="shared" si="11"/>
        <v>-2.7</v>
      </c>
      <c r="R43" s="365">
        <v>-3.77</v>
      </c>
      <c r="S43" s="365">
        <v>1.34</v>
      </c>
      <c r="T43" s="365">
        <v>0.05</v>
      </c>
      <c r="U43" s="365">
        <v>-0.32</v>
      </c>
      <c r="V43" s="365"/>
      <c r="W43" s="365">
        <f t="shared" si="12"/>
        <v>19.4648</v>
      </c>
      <c r="X43" s="365"/>
      <c r="Y43" s="365">
        <v>31.7464</v>
      </c>
      <c r="Z43" s="365">
        <v>21</v>
      </c>
      <c r="AA43" s="365"/>
      <c r="AB43" s="365">
        <v>11.2184</v>
      </c>
      <c r="AC43" s="365">
        <v>1.5</v>
      </c>
      <c r="AD43" s="366">
        <v>-46</v>
      </c>
      <c r="AE43" s="365">
        <f t="shared" si="2"/>
        <v>189.5248</v>
      </c>
      <c r="AF43" s="365">
        <f t="shared" si="13"/>
        <v>112.72</v>
      </c>
      <c r="AG43" s="365">
        <f t="shared" si="28"/>
        <v>55.18</v>
      </c>
      <c r="AH43" s="365">
        <f t="shared" si="29"/>
        <v>44.96</v>
      </c>
      <c r="AI43" s="365">
        <f t="shared" si="30"/>
        <v>4.96</v>
      </c>
      <c r="AJ43" s="365">
        <f t="shared" si="31"/>
        <v>7.36</v>
      </c>
      <c r="AK43" s="365">
        <f t="shared" si="32"/>
        <v>0.26</v>
      </c>
      <c r="AL43" s="365">
        <f t="shared" si="15"/>
        <v>76.8048</v>
      </c>
      <c r="AM43" s="365">
        <f t="shared" si="33"/>
        <v>11.34</v>
      </c>
      <c r="AN43" s="365">
        <f t="shared" si="34"/>
        <v>31.7464</v>
      </c>
      <c r="AO43" s="365">
        <f t="shared" si="16"/>
        <v>21</v>
      </c>
      <c r="AP43" s="365">
        <f t="shared" si="35"/>
        <v>0</v>
      </c>
      <c r="AQ43" s="365">
        <f t="shared" si="17"/>
        <v>11.2184</v>
      </c>
      <c r="AR43" s="365">
        <f t="shared" si="36"/>
        <v>1.5</v>
      </c>
      <c r="AS43" s="365">
        <f t="shared" si="37"/>
        <v>0</v>
      </c>
      <c r="AT43" s="363"/>
      <c r="AU43">
        <v>11.2184</v>
      </c>
    </row>
    <row r="44" ht="24" spans="1:47">
      <c r="A44" s="284" t="s">
        <v>221</v>
      </c>
      <c r="B44" s="284" t="s">
        <v>199</v>
      </c>
      <c r="C44" s="284" t="s">
        <v>243</v>
      </c>
      <c r="D44" s="284" t="s">
        <v>213</v>
      </c>
      <c r="E44" s="365">
        <f t="shared" si="8"/>
        <v>0</v>
      </c>
      <c r="F44" s="365">
        <f t="shared" si="9"/>
        <v>0</v>
      </c>
      <c r="G44" s="365"/>
      <c r="H44" s="365"/>
      <c r="I44" s="365"/>
      <c r="J44" s="365"/>
      <c r="K44" s="365"/>
      <c r="L44" s="365">
        <f t="shared" si="10"/>
        <v>0</v>
      </c>
      <c r="M44" s="365"/>
      <c r="N44" s="365"/>
      <c r="O44" s="365"/>
      <c r="P44" s="365">
        <f t="shared" si="5"/>
        <v>0</v>
      </c>
      <c r="Q44" s="365">
        <f t="shared" si="11"/>
        <v>0</v>
      </c>
      <c r="R44" s="365"/>
      <c r="S44" s="365"/>
      <c r="T44" s="365"/>
      <c r="U44" s="365"/>
      <c r="V44" s="365"/>
      <c r="W44" s="365">
        <f t="shared" si="12"/>
        <v>0</v>
      </c>
      <c r="X44" s="365"/>
      <c r="Y44" s="365"/>
      <c r="Z44" s="365"/>
      <c r="AA44" s="365"/>
      <c r="AB44" s="365"/>
      <c r="AC44" s="365"/>
      <c r="AD44" s="366">
        <v>0</v>
      </c>
      <c r="AE44" s="365">
        <f t="shared" si="2"/>
        <v>0</v>
      </c>
      <c r="AF44" s="365">
        <f t="shared" si="13"/>
        <v>0</v>
      </c>
      <c r="AG44" s="365">
        <f t="shared" si="28"/>
        <v>0</v>
      </c>
      <c r="AH44" s="365">
        <f t="shared" si="29"/>
        <v>0</v>
      </c>
      <c r="AI44" s="365">
        <f t="shared" si="30"/>
        <v>0</v>
      </c>
      <c r="AJ44" s="365">
        <f t="shared" si="31"/>
        <v>0</v>
      </c>
      <c r="AK44" s="365">
        <f t="shared" si="32"/>
        <v>0</v>
      </c>
      <c r="AL44" s="365">
        <f t="shared" si="15"/>
        <v>0</v>
      </c>
      <c r="AM44" s="365">
        <f t="shared" si="33"/>
        <v>0</v>
      </c>
      <c r="AN44" s="365">
        <f t="shared" si="34"/>
        <v>0</v>
      </c>
      <c r="AO44" s="365">
        <f t="shared" si="16"/>
        <v>0</v>
      </c>
      <c r="AP44" s="365">
        <f t="shared" si="35"/>
        <v>0</v>
      </c>
      <c r="AQ44" s="365">
        <f t="shared" si="17"/>
        <v>0</v>
      </c>
      <c r="AR44" s="365">
        <f t="shared" si="36"/>
        <v>0</v>
      </c>
      <c r="AS44" s="365">
        <f t="shared" si="37"/>
        <v>0</v>
      </c>
      <c r="AT44" s="363"/>
      <c r="AU44">
        <v>2.6</v>
      </c>
    </row>
    <row r="45" ht="24" spans="1:47">
      <c r="A45" s="284" t="s">
        <v>221</v>
      </c>
      <c r="B45" s="284" t="s">
        <v>199</v>
      </c>
      <c r="C45" s="284" t="s">
        <v>244</v>
      </c>
      <c r="D45" s="284" t="s">
        <v>213</v>
      </c>
      <c r="E45" s="365">
        <f t="shared" si="8"/>
        <v>0</v>
      </c>
      <c r="F45" s="365">
        <f t="shared" si="9"/>
        <v>0</v>
      </c>
      <c r="G45" s="365"/>
      <c r="H45" s="365"/>
      <c r="I45" s="365"/>
      <c r="J45" s="365"/>
      <c r="K45" s="365"/>
      <c r="L45" s="365">
        <f t="shared" si="10"/>
        <v>0</v>
      </c>
      <c r="M45" s="365"/>
      <c r="N45" s="365"/>
      <c r="O45" s="365"/>
      <c r="P45" s="365">
        <f t="shared" si="5"/>
        <v>0</v>
      </c>
      <c r="Q45" s="365">
        <f t="shared" si="11"/>
        <v>0</v>
      </c>
      <c r="R45" s="365"/>
      <c r="S45" s="365"/>
      <c r="T45" s="365"/>
      <c r="U45" s="365"/>
      <c r="V45" s="365"/>
      <c r="W45" s="365">
        <f t="shared" si="12"/>
        <v>0</v>
      </c>
      <c r="X45" s="365"/>
      <c r="Y45" s="365"/>
      <c r="Z45" s="365"/>
      <c r="AA45" s="365"/>
      <c r="AB45" s="365"/>
      <c r="AC45" s="365"/>
      <c r="AD45" s="366">
        <v>0</v>
      </c>
      <c r="AE45" s="365">
        <f t="shared" si="2"/>
        <v>0</v>
      </c>
      <c r="AF45" s="365">
        <f t="shared" si="13"/>
        <v>0</v>
      </c>
      <c r="AG45" s="365">
        <f t="shared" si="28"/>
        <v>0</v>
      </c>
      <c r="AH45" s="365">
        <f t="shared" si="29"/>
        <v>0</v>
      </c>
      <c r="AI45" s="365">
        <f t="shared" si="30"/>
        <v>0</v>
      </c>
      <c r="AJ45" s="365">
        <f t="shared" si="31"/>
        <v>0</v>
      </c>
      <c r="AK45" s="365">
        <f t="shared" si="32"/>
        <v>0</v>
      </c>
      <c r="AL45" s="365">
        <f t="shared" si="15"/>
        <v>0</v>
      </c>
      <c r="AM45" s="365">
        <f t="shared" si="33"/>
        <v>0</v>
      </c>
      <c r="AN45" s="365">
        <f t="shared" si="34"/>
        <v>0</v>
      </c>
      <c r="AO45" s="365">
        <f t="shared" si="16"/>
        <v>0</v>
      </c>
      <c r="AP45" s="365">
        <f t="shared" si="35"/>
        <v>0</v>
      </c>
      <c r="AQ45" s="365">
        <f t="shared" si="17"/>
        <v>0</v>
      </c>
      <c r="AR45" s="365">
        <f t="shared" si="36"/>
        <v>0</v>
      </c>
      <c r="AS45" s="365">
        <f t="shared" si="37"/>
        <v>0</v>
      </c>
      <c r="AT45" s="363"/>
      <c r="AU45">
        <v>2.5417</v>
      </c>
    </row>
    <row r="46" ht="24" spans="1:47">
      <c r="A46" s="284" t="s">
        <v>221</v>
      </c>
      <c r="B46" s="284" t="s">
        <v>199</v>
      </c>
      <c r="C46" s="284" t="s">
        <v>245</v>
      </c>
      <c r="D46" s="284" t="s">
        <v>213</v>
      </c>
      <c r="E46" s="365">
        <f t="shared" si="8"/>
        <v>0</v>
      </c>
      <c r="F46" s="365">
        <f t="shared" si="9"/>
        <v>0</v>
      </c>
      <c r="G46" s="365"/>
      <c r="H46" s="365"/>
      <c r="I46" s="365"/>
      <c r="J46" s="365"/>
      <c r="K46" s="365"/>
      <c r="L46" s="365">
        <f t="shared" si="10"/>
        <v>0</v>
      </c>
      <c r="M46" s="365"/>
      <c r="N46" s="365"/>
      <c r="O46" s="365"/>
      <c r="P46" s="365">
        <f t="shared" si="5"/>
        <v>0</v>
      </c>
      <c r="Q46" s="365">
        <f t="shared" si="11"/>
        <v>0</v>
      </c>
      <c r="R46" s="365"/>
      <c r="S46" s="365"/>
      <c r="T46" s="365"/>
      <c r="U46" s="365"/>
      <c r="V46" s="365"/>
      <c r="W46" s="365">
        <f t="shared" si="12"/>
        <v>0</v>
      </c>
      <c r="X46" s="365"/>
      <c r="Y46" s="365"/>
      <c r="Z46" s="365"/>
      <c r="AA46" s="365"/>
      <c r="AB46" s="365"/>
      <c r="AC46" s="365"/>
      <c r="AD46" s="366">
        <v>0</v>
      </c>
      <c r="AE46" s="365">
        <f t="shared" si="2"/>
        <v>0</v>
      </c>
      <c r="AF46" s="365">
        <f t="shared" si="13"/>
        <v>0</v>
      </c>
      <c r="AG46" s="365">
        <f t="shared" si="28"/>
        <v>0</v>
      </c>
      <c r="AH46" s="365">
        <f t="shared" si="29"/>
        <v>0</v>
      </c>
      <c r="AI46" s="365">
        <f t="shared" si="30"/>
        <v>0</v>
      </c>
      <c r="AJ46" s="365">
        <f t="shared" si="31"/>
        <v>0</v>
      </c>
      <c r="AK46" s="365">
        <f t="shared" si="32"/>
        <v>0</v>
      </c>
      <c r="AL46" s="365">
        <f t="shared" si="15"/>
        <v>0</v>
      </c>
      <c r="AM46" s="365">
        <f t="shared" si="33"/>
        <v>0</v>
      </c>
      <c r="AN46" s="365">
        <f t="shared" si="34"/>
        <v>0</v>
      </c>
      <c r="AO46" s="365">
        <f t="shared" si="16"/>
        <v>0</v>
      </c>
      <c r="AP46" s="365">
        <f t="shared" si="35"/>
        <v>0</v>
      </c>
      <c r="AQ46" s="365">
        <f t="shared" si="17"/>
        <v>0</v>
      </c>
      <c r="AR46" s="365">
        <f t="shared" si="36"/>
        <v>0</v>
      </c>
      <c r="AS46" s="365">
        <f t="shared" si="37"/>
        <v>0</v>
      </c>
      <c r="AT46" s="363"/>
      <c r="AU46">
        <v>6.5834</v>
      </c>
    </row>
    <row r="47" ht="24" spans="1:47">
      <c r="A47" s="284" t="s">
        <v>221</v>
      </c>
      <c r="B47" s="284" t="s">
        <v>196</v>
      </c>
      <c r="C47" s="284" t="s">
        <v>246</v>
      </c>
      <c r="D47" s="284" t="s">
        <v>207</v>
      </c>
      <c r="E47" s="365">
        <f t="shared" si="8"/>
        <v>167.64</v>
      </c>
      <c r="F47" s="365">
        <f t="shared" si="9"/>
        <v>110.46</v>
      </c>
      <c r="G47" s="365">
        <v>56.25</v>
      </c>
      <c r="H47" s="365">
        <v>41.79</v>
      </c>
      <c r="I47" s="365">
        <v>4.69</v>
      </c>
      <c r="J47" s="365">
        <v>7.2</v>
      </c>
      <c r="K47" s="365">
        <v>0.53</v>
      </c>
      <c r="L47" s="365">
        <f t="shared" si="10"/>
        <v>57.18</v>
      </c>
      <c r="M47" s="365">
        <v>14.18</v>
      </c>
      <c r="N47" s="365"/>
      <c r="O47" s="366">
        <v>43</v>
      </c>
      <c r="P47" s="365">
        <f t="shared" si="5"/>
        <v>25.544</v>
      </c>
      <c r="Q47" s="365">
        <f t="shared" si="11"/>
        <v>2.82</v>
      </c>
      <c r="R47" s="365">
        <v>-1.9</v>
      </c>
      <c r="S47" s="365">
        <v>4.64</v>
      </c>
      <c r="T47" s="365">
        <v>-0.18</v>
      </c>
      <c r="U47" s="365"/>
      <c r="V47" s="365">
        <v>0.26</v>
      </c>
      <c r="W47" s="365">
        <f t="shared" si="12"/>
        <v>22.724</v>
      </c>
      <c r="X47" s="365"/>
      <c r="Y47" s="365">
        <v>33.2794</v>
      </c>
      <c r="Z47" s="365">
        <v>20</v>
      </c>
      <c r="AA47" s="365"/>
      <c r="AB47" s="365">
        <v>11.6946</v>
      </c>
      <c r="AC47" s="365">
        <v>0.75</v>
      </c>
      <c r="AD47" s="366">
        <v>-43</v>
      </c>
      <c r="AE47" s="365">
        <f t="shared" si="2"/>
        <v>193.184</v>
      </c>
      <c r="AF47" s="365">
        <f t="shared" si="13"/>
        <v>113.28</v>
      </c>
      <c r="AG47" s="365">
        <f t="shared" si="28"/>
        <v>54.35</v>
      </c>
      <c r="AH47" s="365">
        <f t="shared" si="29"/>
        <v>46.43</v>
      </c>
      <c r="AI47" s="365">
        <f t="shared" si="30"/>
        <v>4.51</v>
      </c>
      <c r="AJ47" s="365">
        <f t="shared" si="31"/>
        <v>7.2</v>
      </c>
      <c r="AK47" s="365">
        <f t="shared" si="32"/>
        <v>0.79</v>
      </c>
      <c r="AL47" s="365">
        <f t="shared" si="15"/>
        <v>79.904</v>
      </c>
      <c r="AM47" s="365">
        <f t="shared" si="33"/>
        <v>14.18</v>
      </c>
      <c r="AN47" s="365">
        <f t="shared" si="34"/>
        <v>33.2794</v>
      </c>
      <c r="AO47" s="365">
        <f t="shared" si="16"/>
        <v>20</v>
      </c>
      <c r="AP47" s="365">
        <f t="shared" si="35"/>
        <v>0</v>
      </c>
      <c r="AQ47" s="365">
        <f t="shared" si="17"/>
        <v>11.6946</v>
      </c>
      <c r="AR47" s="365">
        <f t="shared" si="36"/>
        <v>0.75</v>
      </c>
      <c r="AS47" s="365">
        <f t="shared" si="37"/>
        <v>0</v>
      </c>
      <c r="AT47" s="363"/>
      <c r="AU47">
        <v>11.6946</v>
      </c>
    </row>
    <row r="48" ht="24" spans="1:47">
      <c r="A48" s="284" t="s">
        <v>221</v>
      </c>
      <c r="B48" s="284" t="s">
        <v>199</v>
      </c>
      <c r="C48" s="284" t="s">
        <v>247</v>
      </c>
      <c r="D48" s="284" t="s">
        <v>213</v>
      </c>
      <c r="E48" s="365">
        <f t="shared" si="8"/>
        <v>0</v>
      </c>
      <c r="F48" s="365">
        <f t="shared" si="9"/>
        <v>0</v>
      </c>
      <c r="G48" s="365"/>
      <c r="H48" s="365"/>
      <c r="I48" s="365"/>
      <c r="J48" s="365"/>
      <c r="K48" s="365"/>
      <c r="L48" s="365">
        <f t="shared" si="10"/>
        <v>0</v>
      </c>
      <c r="M48" s="365"/>
      <c r="N48" s="365"/>
      <c r="O48" s="365"/>
      <c r="P48" s="365">
        <f t="shared" si="5"/>
        <v>0</v>
      </c>
      <c r="Q48" s="365">
        <f t="shared" si="11"/>
        <v>0</v>
      </c>
      <c r="R48" s="365"/>
      <c r="S48" s="365"/>
      <c r="T48" s="365"/>
      <c r="U48" s="365"/>
      <c r="V48" s="365"/>
      <c r="W48" s="365">
        <f t="shared" si="12"/>
        <v>0</v>
      </c>
      <c r="X48" s="365"/>
      <c r="Y48" s="365"/>
      <c r="Z48" s="365"/>
      <c r="AA48" s="365"/>
      <c r="AB48" s="365"/>
      <c r="AC48" s="365"/>
      <c r="AD48" s="366">
        <v>0</v>
      </c>
      <c r="AE48" s="365">
        <f t="shared" si="2"/>
        <v>0</v>
      </c>
      <c r="AF48" s="365">
        <f t="shared" si="13"/>
        <v>0</v>
      </c>
      <c r="AG48" s="365">
        <f t="shared" si="28"/>
        <v>0</v>
      </c>
      <c r="AH48" s="365">
        <f t="shared" si="29"/>
        <v>0</v>
      </c>
      <c r="AI48" s="365">
        <f t="shared" si="30"/>
        <v>0</v>
      </c>
      <c r="AJ48" s="365">
        <f t="shared" si="31"/>
        <v>0</v>
      </c>
      <c r="AK48" s="365">
        <f t="shared" si="32"/>
        <v>0</v>
      </c>
      <c r="AL48" s="365">
        <f t="shared" si="15"/>
        <v>0</v>
      </c>
      <c r="AM48" s="365">
        <f t="shared" si="33"/>
        <v>0</v>
      </c>
      <c r="AN48" s="365">
        <f t="shared" si="34"/>
        <v>0</v>
      </c>
      <c r="AO48" s="365">
        <f t="shared" si="16"/>
        <v>0</v>
      </c>
      <c r="AP48" s="365">
        <f t="shared" si="35"/>
        <v>0</v>
      </c>
      <c r="AQ48" s="365">
        <f t="shared" si="17"/>
        <v>0</v>
      </c>
      <c r="AR48" s="365">
        <f t="shared" si="36"/>
        <v>0</v>
      </c>
      <c r="AS48" s="365">
        <f t="shared" si="37"/>
        <v>0</v>
      </c>
      <c r="AT48" s="363"/>
      <c r="AU48">
        <v>2.0417</v>
      </c>
    </row>
    <row r="49" ht="24" spans="1:47">
      <c r="A49" s="284" t="s">
        <v>221</v>
      </c>
      <c r="B49" s="284" t="s">
        <v>199</v>
      </c>
      <c r="C49" s="284" t="s">
        <v>248</v>
      </c>
      <c r="D49" s="284" t="s">
        <v>213</v>
      </c>
      <c r="E49" s="365">
        <f t="shared" si="8"/>
        <v>0</v>
      </c>
      <c r="F49" s="365">
        <f t="shared" si="9"/>
        <v>0</v>
      </c>
      <c r="G49" s="365"/>
      <c r="H49" s="365"/>
      <c r="I49" s="365"/>
      <c r="J49" s="365"/>
      <c r="K49" s="365"/>
      <c r="L49" s="365">
        <f t="shared" si="10"/>
        <v>0</v>
      </c>
      <c r="M49" s="365"/>
      <c r="N49" s="365"/>
      <c r="O49" s="365"/>
      <c r="P49" s="365">
        <f t="shared" si="5"/>
        <v>0</v>
      </c>
      <c r="Q49" s="365">
        <f t="shared" si="11"/>
        <v>0</v>
      </c>
      <c r="R49" s="365"/>
      <c r="S49" s="365"/>
      <c r="T49" s="365"/>
      <c r="U49" s="365"/>
      <c r="V49" s="365"/>
      <c r="W49" s="365">
        <f t="shared" si="12"/>
        <v>0</v>
      </c>
      <c r="X49" s="365"/>
      <c r="Y49" s="365"/>
      <c r="Z49" s="365"/>
      <c r="AA49" s="365"/>
      <c r="AB49" s="365"/>
      <c r="AC49" s="365"/>
      <c r="AD49" s="366">
        <v>0</v>
      </c>
      <c r="AE49" s="365">
        <f t="shared" si="2"/>
        <v>0</v>
      </c>
      <c r="AF49" s="365">
        <f t="shared" si="13"/>
        <v>0</v>
      </c>
      <c r="AG49" s="365">
        <f t="shared" si="28"/>
        <v>0</v>
      </c>
      <c r="AH49" s="365">
        <f t="shared" si="29"/>
        <v>0</v>
      </c>
      <c r="AI49" s="365">
        <f t="shared" si="30"/>
        <v>0</v>
      </c>
      <c r="AJ49" s="365">
        <f t="shared" si="31"/>
        <v>0</v>
      </c>
      <c r="AK49" s="365">
        <f t="shared" si="32"/>
        <v>0</v>
      </c>
      <c r="AL49" s="365">
        <f t="shared" si="15"/>
        <v>0</v>
      </c>
      <c r="AM49" s="365">
        <f t="shared" si="33"/>
        <v>0</v>
      </c>
      <c r="AN49" s="365">
        <f t="shared" si="34"/>
        <v>0</v>
      </c>
      <c r="AO49" s="365">
        <f t="shared" si="16"/>
        <v>0</v>
      </c>
      <c r="AP49" s="365">
        <f t="shared" si="35"/>
        <v>0</v>
      </c>
      <c r="AQ49" s="365">
        <f t="shared" si="17"/>
        <v>0</v>
      </c>
      <c r="AR49" s="365">
        <f t="shared" si="36"/>
        <v>0</v>
      </c>
      <c r="AS49" s="365">
        <f t="shared" si="37"/>
        <v>0</v>
      </c>
      <c r="AT49" s="363"/>
      <c r="AU49">
        <v>2</v>
      </c>
    </row>
    <row r="50" ht="24" spans="1:47">
      <c r="A50" s="284" t="s">
        <v>221</v>
      </c>
      <c r="B50" s="284" t="s">
        <v>199</v>
      </c>
      <c r="C50" s="284" t="s">
        <v>249</v>
      </c>
      <c r="D50" s="284" t="s">
        <v>213</v>
      </c>
      <c r="E50" s="365">
        <f t="shared" si="8"/>
        <v>0</v>
      </c>
      <c r="F50" s="365">
        <f t="shared" si="9"/>
        <v>0</v>
      </c>
      <c r="G50" s="365"/>
      <c r="H50" s="365"/>
      <c r="I50" s="365"/>
      <c r="J50" s="365"/>
      <c r="K50" s="365"/>
      <c r="L50" s="365">
        <f t="shared" si="10"/>
        <v>0</v>
      </c>
      <c r="M50" s="365"/>
      <c r="N50" s="365"/>
      <c r="O50" s="365"/>
      <c r="P50" s="365">
        <f t="shared" si="5"/>
        <v>0</v>
      </c>
      <c r="Q50" s="365">
        <f t="shared" si="11"/>
        <v>0</v>
      </c>
      <c r="R50" s="365"/>
      <c r="S50" s="365"/>
      <c r="T50" s="365"/>
      <c r="U50" s="365"/>
      <c r="V50" s="365"/>
      <c r="W50" s="365">
        <f t="shared" si="12"/>
        <v>0</v>
      </c>
      <c r="X50" s="365"/>
      <c r="Y50" s="365"/>
      <c r="Z50" s="365"/>
      <c r="AA50" s="365"/>
      <c r="AB50" s="365"/>
      <c r="AC50" s="365"/>
      <c r="AD50" s="366">
        <v>0</v>
      </c>
      <c r="AE50" s="365">
        <f t="shared" si="2"/>
        <v>0</v>
      </c>
      <c r="AF50" s="365">
        <f t="shared" si="13"/>
        <v>0</v>
      </c>
      <c r="AG50" s="365">
        <f t="shared" si="28"/>
        <v>0</v>
      </c>
      <c r="AH50" s="365">
        <f t="shared" si="29"/>
        <v>0</v>
      </c>
      <c r="AI50" s="365">
        <f t="shared" si="30"/>
        <v>0</v>
      </c>
      <c r="AJ50" s="365">
        <f t="shared" si="31"/>
        <v>0</v>
      </c>
      <c r="AK50" s="365">
        <f t="shared" si="32"/>
        <v>0</v>
      </c>
      <c r="AL50" s="365">
        <f t="shared" si="15"/>
        <v>0</v>
      </c>
      <c r="AM50" s="365">
        <f t="shared" si="33"/>
        <v>0</v>
      </c>
      <c r="AN50" s="365">
        <f t="shared" si="34"/>
        <v>0</v>
      </c>
      <c r="AO50" s="365">
        <f t="shared" si="16"/>
        <v>0</v>
      </c>
      <c r="AP50" s="365">
        <f t="shared" si="35"/>
        <v>0</v>
      </c>
      <c r="AQ50" s="365">
        <f t="shared" si="17"/>
        <v>0</v>
      </c>
      <c r="AR50" s="365">
        <f t="shared" si="36"/>
        <v>0</v>
      </c>
      <c r="AS50" s="365">
        <f t="shared" si="37"/>
        <v>0</v>
      </c>
      <c r="AT50" s="363"/>
      <c r="AU50">
        <v>7.9751</v>
      </c>
    </row>
    <row r="51" ht="24" spans="1:47">
      <c r="A51" s="284" t="s">
        <v>221</v>
      </c>
      <c r="B51" s="284" t="s">
        <v>196</v>
      </c>
      <c r="C51" s="284" t="s">
        <v>250</v>
      </c>
      <c r="D51" s="284" t="s">
        <v>207</v>
      </c>
      <c r="E51" s="365">
        <f t="shared" si="8"/>
        <v>162.088348</v>
      </c>
      <c r="F51" s="365">
        <f t="shared" si="9"/>
        <v>115.58</v>
      </c>
      <c r="G51" s="365">
        <v>58.76</v>
      </c>
      <c r="H51" s="365">
        <v>43.71</v>
      </c>
      <c r="I51" s="365">
        <v>4.9</v>
      </c>
      <c r="J51" s="365">
        <v>7.68</v>
      </c>
      <c r="K51" s="365">
        <v>0.53</v>
      </c>
      <c r="L51" s="365">
        <f t="shared" si="10"/>
        <v>46.508348</v>
      </c>
      <c r="M51" s="365">
        <v>8.508348</v>
      </c>
      <c r="N51" s="365"/>
      <c r="O51" s="366">
        <v>38</v>
      </c>
      <c r="P51" s="365">
        <f t="shared" si="5"/>
        <v>37.9467</v>
      </c>
      <c r="Q51" s="365">
        <f t="shared" si="11"/>
        <v>3.34</v>
      </c>
      <c r="R51" s="365">
        <v>1.36</v>
      </c>
      <c r="S51" s="365">
        <v>1.86</v>
      </c>
      <c r="T51" s="365">
        <v>0.25</v>
      </c>
      <c r="U51" s="365">
        <v>-0.04</v>
      </c>
      <c r="V51" s="365">
        <v>-0.09</v>
      </c>
      <c r="W51" s="365">
        <f t="shared" si="12"/>
        <v>34.6067</v>
      </c>
      <c r="X51" s="365"/>
      <c r="Y51" s="365">
        <v>34.9293</v>
      </c>
      <c r="Z51" s="365">
        <v>24</v>
      </c>
      <c r="AA51" s="365"/>
      <c r="AB51" s="365">
        <v>12.1774</v>
      </c>
      <c r="AC51" s="365">
        <v>1.5</v>
      </c>
      <c r="AD51" s="366">
        <v>-38</v>
      </c>
      <c r="AE51" s="365">
        <f t="shared" si="2"/>
        <v>200.035048</v>
      </c>
      <c r="AF51" s="365">
        <f t="shared" si="13"/>
        <v>118.92</v>
      </c>
      <c r="AG51" s="365">
        <f t="shared" si="28"/>
        <v>60.12</v>
      </c>
      <c r="AH51" s="365">
        <f t="shared" si="29"/>
        <v>45.57</v>
      </c>
      <c r="AI51" s="365">
        <f t="shared" si="30"/>
        <v>5.15</v>
      </c>
      <c r="AJ51" s="365">
        <f t="shared" si="31"/>
        <v>7.64</v>
      </c>
      <c r="AK51" s="365">
        <f t="shared" si="32"/>
        <v>0.44</v>
      </c>
      <c r="AL51" s="365">
        <f t="shared" si="15"/>
        <v>81.115048</v>
      </c>
      <c r="AM51" s="365">
        <f t="shared" si="33"/>
        <v>8.508348</v>
      </c>
      <c r="AN51" s="365">
        <f t="shared" si="34"/>
        <v>34.9293</v>
      </c>
      <c r="AO51" s="365">
        <f t="shared" si="16"/>
        <v>24</v>
      </c>
      <c r="AP51" s="365">
        <f t="shared" si="35"/>
        <v>0</v>
      </c>
      <c r="AQ51" s="365">
        <f t="shared" si="17"/>
        <v>12.1774</v>
      </c>
      <c r="AR51" s="365">
        <f t="shared" si="36"/>
        <v>1.5</v>
      </c>
      <c r="AS51" s="365">
        <f t="shared" si="37"/>
        <v>0</v>
      </c>
      <c r="AT51" s="363"/>
      <c r="AU51">
        <v>12.1774</v>
      </c>
    </row>
    <row r="52" ht="24" spans="1:47">
      <c r="A52" s="284" t="s">
        <v>221</v>
      </c>
      <c r="B52" s="284" t="s">
        <v>199</v>
      </c>
      <c r="C52" s="284" t="s">
        <v>251</v>
      </c>
      <c r="D52" s="284" t="s">
        <v>213</v>
      </c>
      <c r="E52" s="365">
        <f t="shared" si="8"/>
        <v>0</v>
      </c>
      <c r="F52" s="365">
        <f t="shared" si="9"/>
        <v>0</v>
      </c>
      <c r="G52" s="365"/>
      <c r="H52" s="365"/>
      <c r="I52" s="365"/>
      <c r="J52" s="365"/>
      <c r="K52" s="365"/>
      <c r="L52" s="365">
        <f t="shared" si="10"/>
        <v>0</v>
      </c>
      <c r="M52" s="365"/>
      <c r="N52" s="365"/>
      <c r="O52" s="365"/>
      <c r="P52" s="365">
        <f t="shared" si="5"/>
        <v>0</v>
      </c>
      <c r="Q52" s="365">
        <f t="shared" si="11"/>
        <v>0</v>
      </c>
      <c r="R52" s="365"/>
      <c r="S52" s="365"/>
      <c r="T52" s="365"/>
      <c r="U52" s="365"/>
      <c r="V52" s="365"/>
      <c r="W52" s="365">
        <f t="shared" si="12"/>
        <v>0</v>
      </c>
      <c r="X52" s="365"/>
      <c r="Y52" s="365"/>
      <c r="Z52" s="365"/>
      <c r="AA52" s="365"/>
      <c r="AB52" s="365"/>
      <c r="AC52" s="365"/>
      <c r="AD52" s="366">
        <v>0</v>
      </c>
      <c r="AE52" s="365">
        <f t="shared" si="2"/>
        <v>0</v>
      </c>
      <c r="AF52" s="365">
        <f t="shared" si="13"/>
        <v>0</v>
      </c>
      <c r="AG52" s="365">
        <f t="shared" si="28"/>
        <v>0</v>
      </c>
      <c r="AH52" s="365">
        <f t="shared" si="29"/>
        <v>0</v>
      </c>
      <c r="AI52" s="365">
        <f t="shared" si="30"/>
        <v>0</v>
      </c>
      <c r="AJ52" s="365">
        <f t="shared" si="31"/>
        <v>0</v>
      </c>
      <c r="AK52" s="365">
        <f t="shared" si="32"/>
        <v>0</v>
      </c>
      <c r="AL52" s="365">
        <f t="shared" si="15"/>
        <v>0</v>
      </c>
      <c r="AM52" s="365">
        <f t="shared" si="33"/>
        <v>0</v>
      </c>
      <c r="AN52" s="365">
        <f t="shared" si="34"/>
        <v>0</v>
      </c>
      <c r="AO52" s="365">
        <f t="shared" si="16"/>
        <v>0</v>
      </c>
      <c r="AP52" s="365">
        <f t="shared" si="35"/>
        <v>0</v>
      </c>
      <c r="AQ52" s="365">
        <f t="shared" si="17"/>
        <v>0</v>
      </c>
      <c r="AR52" s="365">
        <f t="shared" si="36"/>
        <v>0</v>
      </c>
      <c r="AS52" s="365">
        <f t="shared" si="37"/>
        <v>0</v>
      </c>
      <c r="AT52" s="363"/>
      <c r="AU52">
        <v>3</v>
      </c>
    </row>
    <row r="53" ht="24" spans="1:47">
      <c r="A53" s="284" t="s">
        <v>221</v>
      </c>
      <c r="B53" s="284" t="s">
        <v>199</v>
      </c>
      <c r="C53" s="284" t="s">
        <v>252</v>
      </c>
      <c r="D53" s="284" t="s">
        <v>213</v>
      </c>
      <c r="E53" s="365">
        <f t="shared" si="8"/>
        <v>0</v>
      </c>
      <c r="F53" s="365">
        <f t="shared" si="9"/>
        <v>0</v>
      </c>
      <c r="G53" s="365"/>
      <c r="H53" s="365"/>
      <c r="I53" s="365"/>
      <c r="J53" s="365"/>
      <c r="K53" s="365"/>
      <c r="L53" s="365">
        <f t="shared" si="10"/>
        <v>0</v>
      </c>
      <c r="M53" s="365"/>
      <c r="N53" s="365"/>
      <c r="O53" s="365"/>
      <c r="P53" s="365">
        <f t="shared" si="5"/>
        <v>0</v>
      </c>
      <c r="Q53" s="365">
        <f t="shared" si="11"/>
        <v>0</v>
      </c>
      <c r="R53" s="365"/>
      <c r="S53" s="365"/>
      <c r="T53" s="365"/>
      <c r="U53" s="365"/>
      <c r="V53" s="365"/>
      <c r="W53" s="365">
        <f t="shared" si="12"/>
        <v>0</v>
      </c>
      <c r="X53" s="365"/>
      <c r="Y53" s="365"/>
      <c r="Z53" s="365"/>
      <c r="AA53" s="365"/>
      <c r="AB53" s="365"/>
      <c r="AC53" s="365"/>
      <c r="AD53" s="366">
        <v>0</v>
      </c>
      <c r="AE53" s="365">
        <f t="shared" si="2"/>
        <v>0</v>
      </c>
      <c r="AF53" s="365">
        <f t="shared" si="13"/>
        <v>0</v>
      </c>
      <c r="AG53" s="365">
        <f t="shared" si="28"/>
        <v>0</v>
      </c>
      <c r="AH53" s="365">
        <f t="shared" si="29"/>
        <v>0</v>
      </c>
      <c r="AI53" s="365">
        <f t="shared" si="30"/>
        <v>0</v>
      </c>
      <c r="AJ53" s="365">
        <f t="shared" si="31"/>
        <v>0</v>
      </c>
      <c r="AK53" s="365">
        <f t="shared" si="32"/>
        <v>0</v>
      </c>
      <c r="AL53" s="365">
        <f t="shared" si="15"/>
        <v>0</v>
      </c>
      <c r="AM53" s="365">
        <f t="shared" si="33"/>
        <v>0</v>
      </c>
      <c r="AN53" s="365">
        <f t="shared" si="34"/>
        <v>0</v>
      </c>
      <c r="AO53" s="365">
        <f t="shared" si="16"/>
        <v>0</v>
      </c>
      <c r="AP53" s="365">
        <f t="shared" si="35"/>
        <v>0</v>
      </c>
      <c r="AQ53" s="365">
        <f t="shared" si="17"/>
        <v>0</v>
      </c>
      <c r="AR53" s="365">
        <f t="shared" si="36"/>
        <v>0</v>
      </c>
      <c r="AS53" s="365">
        <f t="shared" si="37"/>
        <v>0</v>
      </c>
      <c r="AT53" s="363"/>
      <c r="AU53">
        <v>2.625</v>
      </c>
    </row>
    <row r="54" ht="24" spans="1:47">
      <c r="A54" s="284" t="s">
        <v>221</v>
      </c>
      <c r="B54" s="284" t="s">
        <v>199</v>
      </c>
      <c r="C54" s="284" t="s">
        <v>253</v>
      </c>
      <c r="D54" s="284" t="s">
        <v>213</v>
      </c>
      <c r="E54" s="365">
        <f t="shared" si="8"/>
        <v>0</v>
      </c>
      <c r="F54" s="365">
        <f t="shared" si="9"/>
        <v>0</v>
      </c>
      <c r="G54" s="365"/>
      <c r="H54" s="365"/>
      <c r="I54" s="365"/>
      <c r="J54" s="365"/>
      <c r="K54" s="365"/>
      <c r="L54" s="365">
        <f t="shared" si="10"/>
        <v>0</v>
      </c>
      <c r="M54" s="365"/>
      <c r="N54" s="365"/>
      <c r="O54" s="365"/>
      <c r="P54" s="365">
        <f t="shared" si="5"/>
        <v>0</v>
      </c>
      <c r="Q54" s="365">
        <f t="shared" si="11"/>
        <v>0</v>
      </c>
      <c r="R54" s="365"/>
      <c r="S54" s="365"/>
      <c r="T54" s="365"/>
      <c r="U54" s="365"/>
      <c r="V54" s="365"/>
      <c r="W54" s="365">
        <f t="shared" si="12"/>
        <v>0</v>
      </c>
      <c r="X54" s="365"/>
      <c r="Y54" s="365"/>
      <c r="Z54" s="365"/>
      <c r="AA54" s="365"/>
      <c r="AB54" s="365"/>
      <c r="AC54" s="365"/>
      <c r="AD54" s="366">
        <v>0</v>
      </c>
      <c r="AE54" s="365">
        <f t="shared" si="2"/>
        <v>0</v>
      </c>
      <c r="AF54" s="365">
        <f t="shared" si="13"/>
        <v>0</v>
      </c>
      <c r="AG54" s="365">
        <f t="shared" si="28"/>
        <v>0</v>
      </c>
      <c r="AH54" s="365">
        <f t="shared" si="29"/>
        <v>0</v>
      </c>
      <c r="AI54" s="365">
        <f t="shared" si="30"/>
        <v>0</v>
      </c>
      <c r="AJ54" s="365">
        <f t="shared" si="31"/>
        <v>0</v>
      </c>
      <c r="AK54" s="365">
        <f t="shared" si="32"/>
        <v>0</v>
      </c>
      <c r="AL54" s="365">
        <f t="shared" si="15"/>
        <v>0</v>
      </c>
      <c r="AM54" s="365">
        <f t="shared" si="33"/>
        <v>0</v>
      </c>
      <c r="AN54" s="365">
        <f t="shared" si="34"/>
        <v>0</v>
      </c>
      <c r="AO54" s="365">
        <f t="shared" si="16"/>
        <v>0</v>
      </c>
      <c r="AP54" s="365">
        <f t="shared" si="35"/>
        <v>0</v>
      </c>
      <c r="AQ54" s="365">
        <f t="shared" si="17"/>
        <v>0</v>
      </c>
      <c r="AR54" s="365">
        <f t="shared" si="36"/>
        <v>0</v>
      </c>
      <c r="AS54" s="365">
        <f t="shared" si="37"/>
        <v>0</v>
      </c>
      <c r="AT54" s="363"/>
      <c r="AU54">
        <v>8.6251</v>
      </c>
    </row>
    <row r="55" ht="24" spans="1:47">
      <c r="A55" s="284" t="s">
        <v>221</v>
      </c>
      <c r="B55" s="284" t="s">
        <v>196</v>
      </c>
      <c r="C55" s="284" t="s">
        <v>254</v>
      </c>
      <c r="D55" s="284" t="s">
        <v>207</v>
      </c>
      <c r="E55" s="365">
        <f t="shared" si="8"/>
        <v>372.19</v>
      </c>
      <c r="F55" s="365">
        <f t="shared" si="9"/>
        <v>266.5</v>
      </c>
      <c r="G55" s="365">
        <v>138.96</v>
      </c>
      <c r="H55" s="365">
        <v>107.56</v>
      </c>
      <c r="I55" s="365">
        <v>10.79</v>
      </c>
      <c r="J55" s="365">
        <v>8.4</v>
      </c>
      <c r="K55" s="365">
        <v>0.79</v>
      </c>
      <c r="L55" s="365">
        <f t="shared" si="10"/>
        <v>105.69</v>
      </c>
      <c r="M55" s="365">
        <v>22.69</v>
      </c>
      <c r="N55" s="365"/>
      <c r="O55" s="366">
        <v>83</v>
      </c>
      <c r="P55" s="365">
        <f t="shared" si="5"/>
        <v>56.2029</v>
      </c>
      <c r="Q55" s="365">
        <f t="shared" si="11"/>
        <v>-17.52</v>
      </c>
      <c r="R55" s="365">
        <v>-12.92</v>
      </c>
      <c r="S55" s="365">
        <v>5.59</v>
      </c>
      <c r="T55" s="365">
        <v>0.64</v>
      </c>
      <c r="U55" s="365">
        <v>-10.68</v>
      </c>
      <c r="V55" s="365">
        <v>-0.15</v>
      </c>
      <c r="W55" s="365">
        <f t="shared" si="12"/>
        <v>73.7229</v>
      </c>
      <c r="X55" s="365">
        <v>3.64</v>
      </c>
      <c r="Y55" s="365">
        <v>70.2075</v>
      </c>
      <c r="Z55" s="365">
        <v>51</v>
      </c>
      <c r="AA55" s="365"/>
      <c r="AB55" s="365">
        <v>30.0754</v>
      </c>
      <c r="AC55" s="365">
        <v>1.8</v>
      </c>
      <c r="AD55" s="366">
        <v>-83</v>
      </c>
      <c r="AE55" s="365">
        <f t="shared" si="2"/>
        <v>428.3929</v>
      </c>
      <c r="AF55" s="365">
        <f t="shared" si="13"/>
        <v>248.98</v>
      </c>
      <c r="AG55" s="365">
        <f t="shared" si="28"/>
        <v>126.04</v>
      </c>
      <c r="AH55" s="365">
        <f t="shared" si="29"/>
        <v>113.15</v>
      </c>
      <c r="AI55" s="365">
        <f t="shared" si="30"/>
        <v>11.43</v>
      </c>
      <c r="AJ55" s="365">
        <f t="shared" si="31"/>
        <v>-2.28</v>
      </c>
      <c r="AK55" s="365">
        <f t="shared" si="32"/>
        <v>0.64</v>
      </c>
      <c r="AL55" s="365">
        <f t="shared" si="15"/>
        <v>179.4129</v>
      </c>
      <c r="AM55" s="365">
        <f t="shared" si="33"/>
        <v>26.33</v>
      </c>
      <c r="AN55" s="365">
        <f t="shared" si="34"/>
        <v>70.2075</v>
      </c>
      <c r="AO55" s="365">
        <f t="shared" si="16"/>
        <v>51</v>
      </c>
      <c r="AP55" s="365">
        <f t="shared" si="35"/>
        <v>0</v>
      </c>
      <c r="AQ55" s="365">
        <f t="shared" si="17"/>
        <v>30.0754</v>
      </c>
      <c r="AR55" s="365">
        <f t="shared" si="36"/>
        <v>1.8</v>
      </c>
      <c r="AS55" s="365">
        <f t="shared" si="37"/>
        <v>0</v>
      </c>
      <c r="AT55" s="363"/>
      <c r="AU55">
        <v>30.0754</v>
      </c>
    </row>
    <row r="56" ht="24" spans="1:47">
      <c r="A56" s="284" t="s">
        <v>221</v>
      </c>
      <c r="B56" s="284" t="s">
        <v>199</v>
      </c>
      <c r="C56" s="284" t="s">
        <v>255</v>
      </c>
      <c r="D56" s="284" t="s">
        <v>213</v>
      </c>
      <c r="E56" s="365">
        <f t="shared" si="8"/>
        <v>0</v>
      </c>
      <c r="F56" s="365">
        <f t="shared" si="9"/>
        <v>0</v>
      </c>
      <c r="G56" s="365"/>
      <c r="H56" s="365"/>
      <c r="I56" s="365"/>
      <c r="J56" s="365"/>
      <c r="K56" s="365"/>
      <c r="L56" s="365">
        <f t="shared" si="10"/>
        <v>0</v>
      </c>
      <c r="M56" s="365"/>
      <c r="N56" s="365"/>
      <c r="O56" s="365"/>
      <c r="P56" s="365">
        <f t="shared" si="5"/>
        <v>0</v>
      </c>
      <c r="Q56" s="365">
        <f t="shared" si="11"/>
        <v>0</v>
      </c>
      <c r="R56" s="365"/>
      <c r="S56" s="365"/>
      <c r="T56" s="365"/>
      <c r="U56" s="365"/>
      <c r="V56" s="365"/>
      <c r="W56" s="365">
        <f t="shared" si="12"/>
        <v>0</v>
      </c>
      <c r="X56" s="365"/>
      <c r="Y56" s="365"/>
      <c r="Z56" s="365"/>
      <c r="AA56" s="365"/>
      <c r="AB56" s="365"/>
      <c r="AC56" s="365"/>
      <c r="AD56" s="366">
        <v>0</v>
      </c>
      <c r="AE56" s="365">
        <f t="shared" si="2"/>
        <v>0</v>
      </c>
      <c r="AF56" s="365">
        <f t="shared" si="13"/>
        <v>0</v>
      </c>
      <c r="AG56" s="365">
        <f t="shared" si="28"/>
        <v>0</v>
      </c>
      <c r="AH56" s="365">
        <f t="shared" si="29"/>
        <v>0</v>
      </c>
      <c r="AI56" s="365">
        <f t="shared" si="30"/>
        <v>0</v>
      </c>
      <c r="AJ56" s="365">
        <f t="shared" si="31"/>
        <v>0</v>
      </c>
      <c r="AK56" s="365">
        <f t="shared" si="32"/>
        <v>0</v>
      </c>
      <c r="AL56" s="365">
        <f t="shared" si="15"/>
        <v>0</v>
      </c>
      <c r="AM56" s="365">
        <f t="shared" si="33"/>
        <v>0</v>
      </c>
      <c r="AN56" s="365">
        <f t="shared" si="34"/>
        <v>0</v>
      </c>
      <c r="AO56" s="365">
        <f t="shared" si="16"/>
        <v>0</v>
      </c>
      <c r="AP56" s="365">
        <f t="shared" si="35"/>
        <v>0</v>
      </c>
      <c r="AQ56" s="365">
        <f t="shared" si="17"/>
        <v>0</v>
      </c>
      <c r="AR56" s="365">
        <f t="shared" si="36"/>
        <v>0</v>
      </c>
      <c r="AS56" s="365">
        <f t="shared" si="37"/>
        <v>0</v>
      </c>
      <c r="AT56" s="363"/>
      <c r="AU56">
        <v>5.0417</v>
      </c>
    </row>
    <row r="57" ht="24" spans="1:47">
      <c r="A57" s="284" t="s">
        <v>221</v>
      </c>
      <c r="B57" s="284" t="s">
        <v>199</v>
      </c>
      <c r="C57" s="284" t="s">
        <v>256</v>
      </c>
      <c r="D57" s="284" t="s">
        <v>213</v>
      </c>
      <c r="E57" s="365">
        <f t="shared" si="8"/>
        <v>0</v>
      </c>
      <c r="F57" s="365">
        <f t="shared" si="9"/>
        <v>0</v>
      </c>
      <c r="G57" s="365"/>
      <c r="H57" s="365"/>
      <c r="I57" s="365"/>
      <c r="J57" s="365"/>
      <c r="K57" s="365"/>
      <c r="L57" s="365">
        <f t="shared" si="10"/>
        <v>0</v>
      </c>
      <c r="M57" s="365"/>
      <c r="N57" s="365"/>
      <c r="O57" s="365"/>
      <c r="P57" s="365">
        <f t="shared" si="5"/>
        <v>0</v>
      </c>
      <c r="Q57" s="365">
        <f t="shared" si="11"/>
        <v>0</v>
      </c>
      <c r="R57" s="365"/>
      <c r="S57" s="365"/>
      <c r="T57" s="365"/>
      <c r="U57" s="365"/>
      <c r="V57" s="365"/>
      <c r="W57" s="365">
        <f t="shared" si="12"/>
        <v>0</v>
      </c>
      <c r="X57" s="365"/>
      <c r="Y57" s="365"/>
      <c r="Z57" s="365"/>
      <c r="AA57" s="365"/>
      <c r="AB57" s="365"/>
      <c r="AC57" s="365"/>
      <c r="AD57" s="366">
        <v>0</v>
      </c>
      <c r="AE57" s="365">
        <f t="shared" si="2"/>
        <v>0</v>
      </c>
      <c r="AF57" s="365">
        <f t="shared" si="13"/>
        <v>0</v>
      </c>
      <c r="AG57" s="365">
        <f t="shared" si="28"/>
        <v>0</v>
      </c>
      <c r="AH57" s="365">
        <f t="shared" si="29"/>
        <v>0</v>
      </c>
      <c r="AI57" s="365">
        <f t="shared" si="30"/>
        <v>0</v>
      </c>
      <c r="AJ57" s="365">
        <f t="shared" si="31"/>
        <v>0</v>
      </c>
      <c r="AK57" s="365">
        <f t="shared" si="32"/>
        <v>0</v>
      </c>
      <c r="AL57" s="365">
        <f t="shared" si="15"/>
        <v>0</v>
      </c>
      <c r="AM57" s="365">
        <f t="shared" si="33"/>
        <v>0</v>
      </c>
      <c r="AN57" s="365">
        <f t="shared" si="34"/>
        <v>0</v>
      </c>
      <c r="AO57" s="365">
        <f t="shared" si="16"/>
        <v>0</v>
      </c>
      <c r="AP57" s="365">
        <f t="shared" si="35"/>
        <v>0</v>
      </c>
      <c r="AQ57" s="365">
        <f t="shared" si="17"/>
        <v>0</v>
      </c>
      <c r="AR57" s="365">
        <f t="shared" si="36"/>
        <v>0</v>
      </c>
      <c r="AS57" s="365">
        <f t="shared" si="37"/>
        <v>0</v>
      </c>
      <c r="AT57" s="363"/>
      <c r="AU57">
        <v>5.0417</v>
      </c>
    </row>
    <row r="58" ht="24" spans="1:47">
      <c r="A58" s="284" t="s">
        <v>221</v>
      </c>
      <c r="B58" s="284" t="s">
        <v>199</v>
      </c>
      <c r="C58" s="284" t="s">
        <v>257</v>
      </c>
      <c r="D58" s="284" t="s">
        <v>213</v>
      </c>
      <c r="E58" s="365">
        <f t="shared" si="8"/>
        <v>0</v>
      </c>
      <c r="F58" s="365">
        <f t="shared" si="9"/>
        <v>0</v>
      </c>
      <c r="G58" s="365"/>
      <c r="H58" s="365"/>
      <c r="I58" s="365"/>
      <c r="J58" s="365"/>
      <c r="K58" s="365"/>
      <c r="L58" s="365">
        <f t="shared" si="10"/>
        <v>0</v>
      </c>
      <c r="M58" s="365"/>
      <c r="N58" s="365"/>
      <c r="O58" s="365"/>
      <c r="P58" s="365">
        <f t="shared" si="5"/>
        <v>0</v>
      </c>
      <c r="Q58" s="365">
        <f t="shared" si="11"/>
        <v>0</v>
      </c>
      <c r="R58" s="365"/>
      <c r="S58" s="365"/>
      <c r="T58" s="365"/>
      <c r="U58" s="365"/>
      <c r="V58" s="365"/>
      <c r="W58" s="365">
        <f t="shared" si="12"/>
        <v>0</v>
      </c>
      <c r="X58" s="365"/>
      <c r="Y58" s="365"/>
      <c r="Z58" s="365"/>
      <c r="AA58" s="365"/>
      <c r="AB58" s="365"/>
      <c r="AC58" s="365"/>
      <c r="AD58" s="366">
        <v>0</v>
      </c>
      <c r="AE58" s="365">
        <f t="shared" si="2"/>
        <v>0</v>
      </c>
      <c r="AF58" s="365">
        <f t="shared" si="13"/>
        <v>0</v>
      </c>
      <c r="AG58" s="365">
        <f t="shared" si="28"/>
        <v>0</v>
      </c>
      <c r="AH58" s="365">
        <f t="shared" si="29"/>
        <v>0</v>
      </c>
      <c r="AI58" s="365">
        <f t="shared" si="30"/>
        <v>0</v>
      </c>
      <c r="AJ58" s="365">
        <f t="shared" si="31"/>
        <v>0</v>
      </c>
      <c r="AK58" s="365">
        <f t="shared" si="32"/>
        <v>0</v>
      </c>
      <c r="AL58" s="365">
        <f t="shared" si="15"/>
        <v>0</v>
      </c>
      <c r="AM58" s="365">
        <f t="shared" si="33"/>
        <v>0</v>
      </c>
      <c r="AN58" s="365">
        <f t="shared" si="34"/>
        <v>0</v>
      </c>
      <c r="AO58" s="365">
        <f t="shared" si="16"/>
        <v>0</v>
      </c>
      <c r="AP58" s="365">
        <f t="shared" si="35"/>
        <v>0</v>
      </c>
      <c r="AQ58" s="365">
        <f t="shared" si="17"/>
        <v>0</v>
      </c>
      <c r="AR58" s="365">
        <f t="shared" si="36"/>
        <v>0</v>
      </c>
      <c r="AS58" s="365">
        <f t="shared" si="37"/>
        <v>0</v>
      </c>
      <c r="AT58" s="363"/>
      <c r="AU58">
        <v>11.5834</v>
      </c>
    </row>
    <row r="59" ht="24" spans="1:47">
      <c r="A59" s="284" t="s">
        <v>221</v>
      </c>
      <c r="B59" s="284" t="s">
        <v>196</v>
      </c>
      <c r="C59" s="284" t="s">
        <v>258</v>
      </c>
      <c r="D59" s="284" t="s">
        <v>207</v>
      </c>
      <c r="E59" s="365">
        <f t="shared" si="8"/>
        <v>160.37</v>
      </c>
      <c r="F59" s="365">
        <f t="shared" si="9"/>
        <v>121.28</v>
      </c>
      <c r="G59" s="365">
        <v>62.85</v>
      </c>
      <c r="H59" s="365">
        <v>47.17</v>
      </c>
      <c r="I59" s="365">
        <v>5.24</v>
      </c>
      <c r="J59" s="365">
        <v>5.76</v>
      </c>
      <c r="K59" s="365">
        <v>0.26</v>
      </c>
      <c r="L59" s="365">
        <f t="shared" si="10"/>
        <v>39.09</v>
      </c>
      <c r="M59" s="365">
        <v>7.09</v>
      </c>
      <c r="N59" s="365"/>
      <c r="O59" s="366">
        <v>32</v>
      </c>
      <c r="P59" s="365">
        <f t="shared" si="5"/>
        <v>69.4046</v>
      </c>
      <c r="Q59" s="365">
        <f t="shared" si="11"/>
        <v>22.01</v>
      </c>
      <c r="R59" s="365">
        <v>10.36</v>
      </c>
      <c r="S59" s="365">
        <v>9.66</v>
      </c>
      <c r="T59" s="365">
        <v>0.79</v>
      </c>
      <c r="U59" s="365">
        <v>1.2</v>
      </c>
      <c r="V59" s="365">
        <v>0</v>
      </c>
      <c r="W59" s="365">
        <f t="shared" si="12"/>
        <v>47.3946</v>
      </c>
      <c r="X59" s="365"/>
      <c r="Y59" s="365">
        <v>42.132</v>
      </c>
      <c r="Z59" s="365">
        <v>19</v>
      </c>
      <c r="AA59" s="365"/>
      <c r="AB59" s="365">
        <v>16.7626</v>
      </c>
      <c r="AC59" s="365">
        <v>1.5</v>
      </c>
      <c r="AD59" s="366">
        <v>-32</v>
      </c>
      <c r="AE59" s="365">
        <f t="shared" si="2"/>
        <v>229.7746</v>
      </c>
      <c r="AF59" s="365">
        <f t="shared" si="13"/>
        <v>143.29</v>
      </c>
      <c r="AG59" s="365">
        <f t="shared" si="28"/>
        <v>73.21</v>
      </c>
      <c r="AH59" s="365">
        <f t="shared" si="29"/>
        <v>56.83</v>
      </c>
      <c r="AI59" s="365">
        <f t="shared" si="30"/>
        <v>6.03</v>
      </c>
      <c r="AJ59" s="365">
        <f t="shared" si="31"/>
        <v>6.96</v>
      </c>
      <c r="AK59" s="365">
        <f t="shared" si="32"/>
        <v>0.26</v>
      </c>
      <c r="AL59" s="365">
        <f t="shared" si="15"/>
        <v>86.4846</v>
      </c>
      <c r="AM59" s="365">
        <f t="shared" si="33"/>
        <v>7.09</v>
      </c>
      <c r="AN59" s="365">
        <f t="shared" si="34"/>
        <v>42.132</v>
      </c>
      <c r="AO59" s="365">
        <f t="shared" si="16"/>
        <v>19</v>
      </c>
      <c r="AP59" s="365">
        <f t="shared" si="35"/>
        <v>0</v>
      </c>
      <c r="AQ59" s="365">
        <f t="shared" si="17"/>
        <v>16.7626</v>
      </c>
      <c r="AR59" s="365">
        <f t="shared" si="36"/>
        <v>1.5</v>
      </c>
      <c r="AS59" s="365">
        <f t="shared" si="37"/>
        <v>0</v>
      </c>
      <c r="AT59" s="363"/>
      <c r="AU59">
        <v>16.7626</v>
      </c>
    </row>
    <row r="60" ht="24" spans="1:47">
      <c r="A60" s="284" t="s">
        <v>221</v>
      </c>
      <c r="B60" s="284" t="s">
        <v>199</v>
      </c>
      <c r="C60" s="284" t="s">
        <v>259</v>
      </c>
      <c r="D60" s="284" t="s">
        <v>213</v>
      </c>
      <c r="E60" s="365">
        <f t="shared" si="8"/>
        <v>0</v>
      </c>
      <c r="F60" s="365">
        <f t="shared" si="9"/>
        <v>0</v>
      </c>
      <c r="G60" s="365"/>
      <c r="H60" s="365"/>
      <c r="I60" s="365"/>
      <c r="J60" s="365"/>
      <c r="K60" s="365"/>
      <c r="L60" s="365">
        <f t="shared" si="10"/>
        <v>0</v>
      </c>
      <c r="M60" s="365"/>
      <c r="N60" s="365"/>
      <c r="O60" s="365"/>
      <c r="P60" s="365">
        <f t="shared" si="5"/>
        <v>0</v>
      </c>
      <c r="Q60" s="365">
        <f t="shared" si="11"/>
        <v>0</v>
      </c>
      <c r="R60" s="365"/>
      <c r="S60" s="365"/>
      <c r="T60" s="365"/>
      <c r="U60" s="365"/>
      <c r="V60" s="365"/>
      <c r="W60" s="365">
        <f t="shared" si="12"/>
        <v>0</v>
      </c>
      <c r="X60" s="365"/>
      <c r="Y60" s="365"/>
      <c r="Z60" s="365"/>
      <c r="AA60" s="365"/>
      <c r="AB60" s="365"/>
      <c r="AC60" s="365"/>
      <c r="AD60" s="366">
        <v>0</v>
      </c>
      <c r="AE60" s="365">
        <f t="shared" si="2"/>
        <v>0</v>
      </c>
      <c r="AF60" s="365">
        <f t="shared" si="13"/>
        <v>0</v>
      </c>
      <c r="AG60" s="365">
        <f t="shared" si="28"/>
        <v>0</v>
      </c>
      <c r="AH60" s="365">
        <f t="shared" si="29"/>
        <v>0</v>
      </c>
      <c r="AI60" s="365">
        <f t="shared" si="30"/>
        <v>0</v>
      </c>
      <c r="AJ60" s="365">
        <f t="shared" si="31"/>
        <v>0</v>
      </c>
      <c r="AK60" s="365">
        <f t="shared" si="32"/>
        <v>0</v>
      </c>
      <c r="AL60" s="365">
        <f t="shared" si="15"/>
        <v>0</v>
      </c>
      <c r="AM60" s="365">
        <f t="shared" si="33"/>
        <v>0</v>
      </c>
      <c r="AN60" s="365">
        <f t="shared" si="34"/>
        <v>0</v>
      </c>
      <c r="AO60" s="365">
        <f t="shared" si="16"/>
        <v>0</v>
      </c>
      <c r="AP60" s="365">
        <f t="shared" si="35"/>
        <v>0</v>
      </c>
      <c r="AQ60" s="365">
        <f t="shared" si="17"/>
        <v>0</v>
      </c>
      <c r="AR60" s="365">
        <f t="shared" si="36"/>
        <v>0</v>
      </c>
      <c r="AS60" s="365">
        <f t="shared" si="37"/>
        <v>0</v>
      </c>
      <c r="AT60" s="363"/>
      <c r="AU60">
        <v>3.5417</v>
      </c>
    </row>
    <row r="61" ht="24" spans="1:47">
      <c r="A61" s="284" t="s">
        <v>221</v>
      </c>
      <c r="B61" s="284" t="s">
        <v>199</v>
      </c>
      <c r="C61" s="284" t="s">
        <v>260</v>
      </c>
      <c r="D61" s="284" t="s">
        <v>213</v>
      </c>
      <c r="E61" s="365">
        <f t="shared" si="8"/>
        <v>0</v>
      </c>
      <c r="F61" s="365">
        <f t="shared" si="9"/>
        <v>0</v>
      </c>
      <c r="G61" s="365"/>
      <c r="H61" s="365"/>
      <c r="I61" s="365"/>
      <c r="J61" s="365"/>
      <c r="K61" s="365"/>
      <c r="L61" s="365">
        <f t="shared" si="10"/>
        <v>0</v>
      </c>
      <c r="M61" s="365"/>
      <c r="N61" s="365"/>
      <c r="O61" s="365"/>
      <c r="P61" s="365">
        <f t="shared" si="5"/>
        <v>0</v>
      </c>
      <c r="Q61" s="365">
        <f t="shared" si="11"/>
        <v>0</v>
      </c>
      <c r="R61" s="365"/>
      <c r="S61" s="365"/>
      <c r="T61" s="365"/>
      <c r="U61" s="365"/>
      <c r="V61" s="365"/>
      <c r="W61" s="365">
        <f t="shared" si="12"/>
        <v>0</v>
      </c>
      <c r="X61" s="365"/>
      <c r="Y61" s="365"/>
      <c r="Z61" s="365"/>
      <c r="AA61" s="365"/>
      <c r="AB61" s="365"/>
      <c r="AC61" s="365"/>
      <c r="AD61" s="366">
        <v>0</v>
      </c>
      <c r="AE61" s="365">
        <f t="shared" si="2"/>
        <v>0</v>
      </c>
      <c r="AF61" s="365">
        <f t="shared" si="13"/>
        <v>0</v>
      </c>
      <c r="AG61" s="365">
        <f t="shared" si="28"/>
        <v>0</v>
      </c>
      <c r="AH61" s="365">
        <f t="shared" si="29"/>
        <v>0</v>
      </c>
      <c r="AI61" s="365">
        <f t="shared" si="30"/>
        <v>0</v>
      </c>
      <c r="AJ61" s="365">
        <f t="shared" si="31"/>
        <v>0</v>
      </c>
      <c r="AK61" s="365">
        <f t="shared" si="32"/>
        <v>0</v>
      </c>
      <c r="AL61" s="365">
        <f t="shared" si="15"/>
        <v>0</v>
      </c>
      <c r="AM61" s="365">
        <f t="shared" si="33"/>
        <v>0</v>
      </c>
      <c r="AN61" s="365">
        <f t="shared" si="34"/>
        <v>0</v>
      </c>
      <c r="AO61" s="365">
        <f t="shared" si="16"/>
        <v>0</v>
      </c>
      <c r="AP61" s="365">
        <f t="shared" si="35"/>
        <v>0</v>
      </c>
      <c r="AQ61" s="365">
        <f t="shared" si="17"/>
        <v>0</v>
      </c>
      <c r="AR61" s="365">
        <f t="shared" si="36"/>
        <v>0</v>
      </c>
      <c r="AS61" s="365">
        <f t="shared" si="37"/>
        <v>0</v>
      </c>
      <c r="AT61" s="363"/>
      <c r="AU61">
        <v>3.625</v>
      </c>
    </row>
    <row r="62" ht="24" spans="1:47">
      <c r="A62" s="284" t="s">
        <v>221</v>
      </c>
      <c r="B62" s="284" t="s">
        <v>199</v>
      </c>
      <c r="C62" s="284" t="s">
        <v>261</v>
      </c>
      <c r="D62" s="284" t="s">
        <v>213</v>
      </c>
      <c r="E62" s="365">
        <f t="shared" si="8"/>
        <v>0</v>
      </c>
      <c r="F62" s="365">
        <f t="shared" si="9"/>
        <v>0</v>
      </c>
      <c r="G62" s="365"/>
      <c r="H62" s="365"/>
      <c r="I62" s="365"/>
      <c r="J62" s="365"/>
      <c r="K62" s="365"/>
      <c r="L62" s="365">
        <f t="shared" si="10"/>
        <v>0</v>
      </c>
      <c r="M62" s="365"/>
      <c r="N62" s="365"/>
      <c r="O62" s="365"/>
      <c r="P62" s="365">
        <f t="shared" si="5"/>
        <v>0</v>
      </c>
      <c r="Q62" s="365">
        <f t="shared" si="11"/>
        <v>0</v>
      </c>
      <c r="R62" s="365"/>
      <c r="S62" s="365"/>
      <c r="T62" s="365"/>
      <c r="U62" s="365"/>
      <c r="V62" s="365"/>
      <c r="W62" s="365">
        <f t="shared" si="12"/>
        <v>0</v>
      </c>
      <c r="X62" s="365"/>
      <c r="Y62" s="365"/>
      <c r="Z62" s="365"/>
      <c r="AA62" s="365"/>
      <c r="AB62" s="365"/>
      <c r="AC62" s="365"/>
      <c r="AD62" s="366">
        <v>0</v>
      </c>
      <c r="AE62" s="365">
        <f t="shared" si="2"/>
        <v>0</v>
      </c>
      <c r="AF62" s="365">
        <f t="shared" si="13"/>
        <v>0</v>
      </c>
      <c r="AG62" s="365">
        <f t="shared" si="28"/>
        <v>0</v>
      </c>
      <c r="AH62" s="365">
        <f t="shared" si="29"/>
        <v>0</v>
      </c>
      <c r="AI62" s="365">
        <f t="shared" si="30"/>
        <v>0</v>
      </c>
      <c r="AJ62" s="365">
        <f t="shared" si="31"/>
        <v>0</v>
      </c>
      <c r="AK62" s="365">
        <f t="shared" si="32"/>
        <v>0</v>
      </c>
      <c r="AL62" s="365">
        <f t="shared" si="15"/>
        <v>0</v>
      </c>
      <c r="AM62" s="365">
        <f t="shared" si="33"/>
        <v>0</v>
      </c>
      <c r="AN62" s="365">
        <f t="shared" si="34"/>
        <v>0</v>
      </c>
      <c r="AO62" s="365">
        <f t="shared" si="16"/>
        <v>0</v>
      </c>
      <c r="AP62" s="365">
        <f t="shared" si="35"/>
        <v>0</v>
      </c>
      <c r="AQ62" s="365">
        <f t="shared" si="17"/>
        <v>0</v>
      </c>
      <c r="AR62" s="365">
        <f t="shared" si="36"/>
        <v>0</v>
      </c>
      <c r="AS62" s="365">
        <f t="shared" si="37"/>
        <v>0</v>
      </c>
      <c r="AT62" s="363"/>
      <c r="AU62">
        <v>7.7084</v>
      </c>
    </row>
    <row r="63" ht="24" spans="1:47">
      <c r="A63" s="284" t="s">
        <v>221</v>
      </c>
      <c r="B63" s="284" t="s">
        <v>196</v>
      </c>
      <c r="C63" s="284" t="s">
        <v>262</v>
      </c>
      <c r="D63" s="284" t="s">
        <v>207</v>
      </c>
      <c r="E63" s="365">
        <f t="shared" si="8"/>
        <v>286.44</v>
      </c>
      <c r="F63" s="365">
        <f t="shared" si="9"/>
        <v>198.75</v>
      </c>
      <c r="G63" s="365">
        <v>105.74</v>
      </c>
      <c r="H63" s="365">
        <v>77.22</v>
      </c>
      <c r="I63" s="365">
        <v>8.81</v>
      </c>
      <c r="J63" s="365">
        <v>6.72</v>
      </c>
      <c r="K63" s="365">
        <v>0.26</v>
      </c>
      <c r="L63" s="365">
        <f t="shared" si="10"/>
        <v>87.69</v>
      </c>
      <c r="M63" s="365">
        <v>22.69</v>
      </c>
      <c r="N63" s="365"/>
      <c r="O63" s="366">
        <v>65</v>
      </c>
      <c r="P63" s="365">
        <f t="shared" si="5"/>
        <v>82.3862</v>
      </c>
      <c r="Q63" s="365">
        <f t="shared" si="11"/>
        <v>21.33</v>
      </c>
      <c r="R63" s="365">
        <v>11.83</v>
      </c>
      <c r="S63" s="365">
        <v>8.84</v>
      </c>
      <c r="T63" s="365">
        <v>0.41</v>
      </c>
      <c r="U63" s="365">
        <v>-0.01</v>
      </c>
      <c r="V63" s="365">
        <v>0.26</v>
      </c>
      <c r="W63" s="365">
        <f t="shared" si="12"/>
        <v>61.0562</v>
      </c>
      <c r="X63" s="365"/>
      <c r="Y63" s="365">
        <v>64.1718</v>
      </c>
      <c r="Z63" s="365">
        <v>34</v>
      </c>
      <c r="AA63" s="365"/>
      <c r="AB63" s="365">
        <v>27.8844</v>
      </c>
      <c r="AC63" s="365"/>
      <c r="AD63" s="366">
        <v>-65</v>
      </c>
      <c r="AE63" s="365">
        <f t="shared" si="2"/>
        <v>368.8262</v>
      </c>
      <c r="AF63" s="365">
        <f t="shared" si="13"/>
        <v>220.08</v>
      </c>
      <c r="AG63" s="365">
        <f t="shared" si="28"/>
        <v>117.57</v>
      </c>
      <c r="AH63" s="365">
        <f t="shared" si="29"/>
        <v>86.06</v>
      </c>
      <c r="AI63" s="365">
        <f t="shared" si="30"/>
        <v>9.22</v>
      </c>
      <c r="AJ63" s="365">
        <f t="shared" si="31"/>
        <v>6.71</v>
      </c>
      <c r="AK63" s="365">
        <f t="shared" si="32"/>
        <v>0.52</v>
      </c>
      <c r="AL63" s="365">
        <f t="shared" si="15"/>
        <v>148.7462</v>
      </c>
      <c r="AM63" s="365">
        <f t="shared" si="33"/>
        <v>22.69</v>
      </c>
      <c r="AN63" s="365">
        <f t="shared" si="34"/>
        <v>64.1718</v>
      </c>
      <c r="AO63" s="365">
        <f t="shared" si="16"/>
        <v>34</v>
      </c>
      <c r="AP63" s="365">
        <f t="shared" si="35"/>
        <v>0</v>
      </c>
      <c r="AQ63" s="365">
        <f t="shared" si="17"/>
        <v>27.8844</v>
      </c>
      <c r="AR63" s="365">
        <f t="shared" si="36"/>
        <v>0</v>
      </c>
      <c r="AS63" s="365">
        <f t="shared" si="37"/>
        <v>0</v>
      </c>
      <c r="AT63" s="363"/>
      <c r="AU63">
        <v>27.8844</v>
      </c>
    </row>
    <row r="64" ht="24" spans="1:47">
      <c r="A64" s="284" t="s">
        <v>221</v>
      </c>
      <c r="B64" s="284" t="s">
        <v>199</v>
      </c>
      <c r="C64" s="284" t="s">
        <v>263</v>
      </c>
      <c r="D64" s="284" t="s">
        <v>213</v>
      </c>
      <c r="E64" s="365">
        <f t="shared" si="8"/>
        <v>0</v>
      </c>
      <c r="F64" s="365">
        <f t="shared" si="9"/>
        <v>0</v>
      </c>
      <c r="G64" s="365"/>
      <c r="H64" s="365"/>
      <c r="I64" s="365"/>
      <c r="J64" s="365"/>
      <c r="K64" s="365"/>
      <c r="L64" s="365">
        <f t="shared" si="10"/>
        <v>0</v>
      </c>
      <c r="M64" s="365"/>
      <c r="N64" s="365"/>
      <c r="O64" s="365"/>
      <c r="P64" s="365">
        <f t="shared" si="5"/>
        <v>0</v>
      </c>
      <c r="Q64" s="365">
        <f t="shared" si="11"/>
        <v>0</v>
      </c>
      <c r="R64" s="365"/>
      <c r="S64" s="365"/>
      <c r="T64" s="365"/>
      <c r="U64" s="365"/>
      <c r="V64" s="365"/>
      <c r="W64" s="365">
        <f t="shared" si="12"/>
        <v>0</v>
      </c>
      <c r="X64" s="365"/>
      <c r="Y64" s="365"/>
      <c r="Z64" s="365"/>
      <c r="AA64" s="365"/>
      <c r="AB64" s="365"/>
      <c r="AC64" s="365"/>
      <c r="AD64" s="366">
        <v>0</v>
      </c>
      <c r="AE64" s="365">
        <f t="shared" si="2"/>
        <v>0</v>
      </c>
      <c r="AF64" s="365">
        <f t="shared" si="13"/>
        <v>0</v>
      </c>
      <c r="AG64" s="365">
        <f t="shared" si="28"/>
        <v>0</v>
      </c>
      <c r="AH64" s="365">
        <f t="shared" si="29"/>
        <v>0</v>
      </c>
      <c r="AI64" s="365">
        <f t="shared" si="30"/>
        <v>0</v>
      </c>
      <c r="AJ64" s="365">
        <f t="shared" si="31"/>
        <v>0</v>
      </c>
      <c r="AK64" s="365">
        <f t="shared" si="32"/>
        <v>0</v>
      </c>
      <c r="AL64" s="365">
        <f t="shared" si="15"/>
        <v>0</v>
      </c>
      <c r="AM64" s="365">
        <f t="shared" si="33"/>
        <v>0</v>
      </c>
      <c r="AN64" s="365">
        <f t="shared" si="34"/>
        <v>0</v>
      </c>
      <c r="AO64" s="365">
        <f t="shared" si="16"/>
        <v>0</v>
      </c>
      <c r="AP64" s="365">
        <f t="shared" si="35"/>
        <v>0</v>
      </c>
      <c r="AQ64" s="365">
        <f t="shared" si="17"/>
        <v>0</v>
      </c>
      <c r="AR64" s="365">
        <f t="shared" si="36"/>
        <v>0</v>
      </c>
      <c r="AS64" s="365">
        <f t="shared" si="37"/>
        <v>0</v>
      </c>
      <c r="AT64" s="363"/>
      <c r="AU64">
        <v>4</v>
      </c>
    </row>
    <row r="65" ht="24" spans="1:47">
      <c r="A65" s="284" t="s">
        <v>221</v>
      </c>
      <c r="B65" s="284" t="s">
        <v>199</v>
      </c>
      <c r="C65" s="284" t="s">
        <v>264</v>
      </c>
      <c r="D65" s="284" t="s">
        <v>213</v>
      </c>
      <c r="E65" s="365">
        <f t="shared" si="8"/>
        <v>0</v>
      </c>
      <c r="F65" s="365">
        <f t="shared" si="9"/>
        <v>0</v>
      </c>
      <c r="G65" s="365"/>
      <c r="H65" s="365"/>
      <c r="I65" s="365"/>
      <c r="J65" s="365"/>
      <c r="K65" s="365"/>
      <c r="L65" s="365">
        <f t="shared" si="10"/>
        <v>0</v>
      </c>
      <c r="M65" s="365"/>
      <c r="N65" s="365"/>
      <c r="O65" s="365"/>
      <c r="P65" s="365">
        <f t="shared" si="5"/>
        <v>0</v>
      </c>
      <c r="Q65" s="365">
        <f t="shared" si="11"/>
        <v>0</v>
      </c>
      <c r="R65" s="365"/>
      <c r="S65" s="365"/>
      <c r="T65" s="365"/>
      <c r="U65" s="365"/>
      <c r="V65" s="365"/>
      <c r="W65" s="365">
        <f t="shared" si="12"/>
        <v>0</v>
      </c>
      <c r="X65" s="365"/>
      <c r="Y65" s="365"/>
      <c r="Z65" s="365"/>
      <c r="AA65" s="365"/>
      <c r="AB65" s="365"/>
      <c r="AC65" s="365"/>
      <c r="AD65" s="366">
        <v>0</v>
      </c>
      <c r="AE65" s="365">
        <f t="shared" si="2"/>
        <v>0</v>
      </c>
      <c r="AF65" s="365">
        <f t="shared" si="13"/>
        <v>0</v>
      </c>
      <c r="AG65" s="365">
        <f t="shared" si="28"/>
        <v>0</v>
      </c>
      <c r="AH65" s="365">
        <f t="shared" si="29"/>
        <v>0</v>
      </c>
      <c r="AI65" s="365">
        <f t="shared" si="30"/>
        <v>0</v>
      </c>
      <c r="AJ65" s="365">
        <f t="shared" si="31"/>
        <v>0</v>
      </c>
      <c r="AK65" s="365">
        <f t="shared" si="32"/>
        <v>0</v>
      </c>
      <c r="AL65" s="365">
        <f t="shared" si="15"/>
        <v>0</v>
      </c>
      <c r="AM65" s="365">
        <f t="shared" si="33"/>
        <v>0</v>
      </c>
      <c r="AN65" s="365">
        <f t="shared" si="34"/>
        <v>0</v>
      </c>
      <c r="AO65" s="365">
        <f t="shared" si="16"/>
        <v>0</v>
      </c>
      <c r="AP65" s="365">
        <f t="shared" si="35"/>
        <v>0</v>
      </c>
      <c r="AQ65" s="365">
        <f t="shared" si="17"/>
        <v>0</v>
      </c>
      <c r="AR65" s="365">
        <f t="shared" si="36"/>
        <v>0</v>
      </c>
      <c r="AS65" s="365">
        <f t="shared" si="37"/>
        <v>0</v>
      </c>
      <c r="AT65" s="363"/>
      <c r="AU65">
        <v>5.125</v>
      </c>
    </row>
    <row r="66" ht="24" spans="1:47">
      <c r="A66" s="284" t="s">
        <v>221</v>
      </c>
      <c r="B66" s="284" t="s">
        <v>199</v>
      </c>
      <c r="C66" s="284" t="s">
        <v>265</v>
      </c>
      <c r="D66" s="284" t="s">
        <v>213</v>
      </c>
      <c r="E66" s="365">
        <f t="shared" si="8"/>
        <v>0</v>
      </c>
      <c r="F66" s="365">
        <f t="shared" si="9"/>
        <v>0</v>
      </c>
      <c r="G66" s="365"/>
      <c r="H66" s="365"/>
      <c r="I66" s="365"/>
      <c r="J66" s="365"/>
      <c r="K66" s="365"/>
      <c r="L66" s="365">
        <f t="shared" si="10"/>
        <v>0</v>
      </c>
      <c r="M66" s="365"/>
      <c r="N66" s="365"/>
      <c r="O66" s="365"/>
      <c r="P66" s="365">
        <f t="shared" si="5"/>
        <v>0</v>
      </c>
      <c r="Q66" s="365">
        <f t="shared" si="11"/>
        <v>0</v>
      </c>
      <c r="R66" s="365"/>
      <c r="S66" s="365"/>
      <c r="T66" s="365"/>
      <c r="U66" s="365"/>
      <c r="V66" s="365"/>
      <c r="W66" s="365">
        <f t="shared" si="12"/>
        <v>0</v>
      </c>
      <c r="X66" s="365"/>
      <c r="Y66" s="365"/>
      <c r="Z66" s="365"/>
      <c r="AA66" s="365"/>
      <c r="AB66" s="365"/>
      <c r="AC66" s="365"/>
      <c r="AD66" s="366">
        <v>0</v>
      </c>
      <c r="AE66" s="365">
        <f t="shared" si="2"/>
        <v>0</v>
      </c>
      <c r="AF66" s="365">
        <f t="shared" si="13"/>
        <v>0</v>
      </c>
      <c r="AG66" s="365">
        <f t="shared" si="28"/>
        <v>0</v>
      </c>
      <c r="AH66" s="365">
        <f t="shared" si="29"/>
        <v>0</v>
      </c>
      <c r="AI66" s="365">
        <f t="shared" si="30"/>
        <v>0</v>
      </c>
      <c r="AJ66" s="365">
        <f t="shared" si="31"/>
        <v>0</v>
      </c>
      <c r="AK66" s="365">
        <f t="shared" si="32"/>
        <v>0</v>
      </c>
      <c r="AL66" s="365">
        <f t="shared" si="15"/>
        <v>0</v>
      </c>
      <c r="AM66" s="365">
        <f t="shared" si="33"/>
        <v>0</v>
      </c>
      <c r="AN66" s="365">
        <f t="shared" si="34"/>
        <v>0</v>
      </c>
      <c r="AO66" s="365">
        <f t="shared" si="16"/>
        <v>0</v>
      </c>
      <c r="AP66" s="365">
        <f t="shared" si="35"/>
        <v>0</v>
      </c>
      <c r="AQ66" s="365">
        <f t="shared" si="17"/>
        <v>0</v>
      </c>
      <c r="AR66" s="365">
        <f t="shared" si="36"/>
        <v>0</v>
      </c>
      <c r="AS66" s="365">
        <f t="shared" si="37"/>
        <v>0</v>
      </c>
      <c r="AT66" s="363"/>
      <c r="AU66">
        <v>12.0001</v>
      </c>
    </row>
    <row r="67" ht="24" spans="1:47">
      <c r="A67" s="284" t="s">
        <v>221</v>
      </c>
      <c r="B67" s="284" t="s">
        <v>196</v>
      </c>
      <c r="C67" s="284" t="s">
        <v>266</v>
      </c>
      <c r="D67" s="284" t="s">
        <v>207</v>
      </c>
      <c r="E67" s="365">
        <f t="shared" si="8"/>
        <v>238.72</v>
      </c>
      <c r="F67" s="365">
        <f t="shared" si="9"/>
        <v>180.21</v>
      </c>
      <c r="G67" s="365">
        <v>92.32</v>
      </c>
      <c r="H67" s="365">
        <v>69.59</v>
      </c>
      <c r="I67" s="365">
        <v>7.69</v>
      </c>
      <c r="J67" s="365">
        <v>10.08</v>
      </c>
      <c r="K67" s="365">
        <v>0.53</v>
      </c>
      <c r="L67" s="365">
        <f t="shared" si="10"/>
        <v>58.51</v>
      </c>
      <c r="M67" s="365">
        <v>8.51</v>
      </c>
      <c r="N67" s="365"/>
      <c r="O67" s="366">
        <v>50</v>
      </c>
      <c r="P67" s="365">
        <f t="shared" si="5"/>
        <v>97.9939</v>
      </c>
      <c r="Q67" s="365">
        <f t="shared" si="11"/>
        <v>32</v>
      </c>
      <c r="R67" s="365">
        <v>18.39</v>
      </c>
      <c r="S67" s="365">
        <v>12.16</v>
      </c>
      <c r="T67" s="365">
        <v>0.31</v>
      </c>
      <c r="U67" s="365">
        <v>1.14</v>
      </c>
      <c r="V67" s="365"/>
      <c r="W67" s="365">
        <f t="shared" si="12"/>
        <v>65.9939</v>
      </c>
      <c r="X67" s="365"/>
      <c r="Y67" s="365">
        <v>60.7248</v>
      </c>
      <c r="Z67" s="365">
        <v>33</v>
      </c>
      <c r="AA67" s="365"/>
      <c r="AB67" s="365">
        <v>20.4691</v>
      </c>
      <c r="AC67" s="365">
        <v>1.8</v>
      </c>
      <c r="AD67" s="366">
        <v>-50</v>
      </c>
      <c r="AE67" s="365">
        <f t="shared" si="2"/>
        <v>336.7139</v>
      </c>
      <c r="AF67" s="365">
        <f t="shared" si="13"/>
        <v>212.21</v>
      </c>
      <c r="AG67" s="365">
        <f t="shared" si="28"/>
        <v>110.71</v>
      </c>
      <c r="AH67" s="365">
        <f t="shared" si="29"/>
        <v>81.75</v>
      </c>
      <c r="AI67" s="365">
        <f t="shared" si="30"/>
        <v>8</v>
      </c>
      <c r="AJ67" s="365">
        <f t="shared" si="31"/>
        <v>11.22</v>
      </c>
      <c r="AK67" s="365">
        <f t="shared" si="32"/>
        <v>0.53</v>
      </c>
      <c r="AL67" s="365">
        <f t="shared" si="15"/>
        <v>124.5039</v>
      </c>
      <c r="AM67" s="365">
        <f t="shared" si="33"/>
        <v>8.51</v>
      </c>
      <c r="AN67" s="365">
        <f t="shared" si="34"/>
        <v>60.7248</v>
      </c>
      <c r="AO67" s="365">
        <f t="shared" si="16"/>
        <v>33</v>
      </c>
      <c r="AP67" s="365">
        <f t="shared" si="35"/>
        <v>0</v>
      </c>
      <c r="AQ67" s="365">
        <f t="shared" si="17"/>
        <v>20.4691</v>
      </c>
      <c r="AR67" s="365">
        <f t="shared" si="36"/>
        <v>1.8</v>
      </c>
      <c r="AS67" s="365">
        <f t="shared" si="37"/>
        <v>0</v>
      </c>
      <c r="AT67" s="363"/>
      <c r="AU67">
        <v>20.4691</v>
      </c>
    </row>
    <row r="68" ht="24" spans="1:47">
      <c r="A68" s="284" t="s">
        <v>221</v>
      </c>
      <c r="B68" s="284" t="s">
        <v>199</v>
      </c>
      <c r="C68" s="284" t="s">
        <v>267</v>
      </c>
      <c r="D68" s="284" t="s">
        <v>213</v>
      </c>
      <c r="E68" s="365">
        <f t="shared" si="8"/>
        <v>0</v>
      </c>
      <c r="F68" s="365">
        <f t="shared" si="9"/>
        <v>0</v>
      </c>
      <c r="G68" s="365"/>
      <c r="H68" s="365"/>
      <c r="I68" s="365"/>
      <c r="J68" s="365"/>
      <c r="K68" s="365"/>
      <c r="L68" s="365">
        <f t="shared" si="10"/>
        <v>0</v>
      </c>
      <c r="M68" s="365"/>
      <c r="N68" s="365"/>
      <c r="O68" s="365"/>
      <c r="P68" s="365">
        <f t="shared" si="5"/>
        <v>0</v>
      </c>
      <c r="Q68" s="365">
        <f t="shared" si="11"/>
        <v>0</v>
      </c>
      <c r="R68" s="365"/>
      <c r="S68" s="365"/>
      <c r="T68" s="365"/>
      <c r="U68" s="365"/>
      <c r="V68" s="365"/>
      <c r="W68" s="365">
        <f t="shared" si="12"/>
        <v>0</v>
      </c>
      <c r="X68" s="365"/>
      <c r="Y68" s="365"/>
      <c r="Z68" s="365"/>
      <c r="AA68" s="365"/>
      <c r="AB68" s="365"/>
      <c r="AC68" s="365"/>
      <c r="AD68" s="366">
        <v>0</v>
      </c>
      <c r="AE68" s="365">
        <f t="shared" si="2"/>
        <v>0</v>
      </c>
      <c r="AF68" s="365">
        <f t="shared" si="13"/>
        <v>0</v>
      </c>
      <c r="AG68" s="365">
        <f t="shared" si="28"/>
        <v>0</v>
      </c>
      <c r="AH68" s="365">
        <f t="shared" si="29"/>
        <v>0</v>
      </c>
      <c r="AI68" s="365">
        <f t="shared" si="30"/>
        <v>0</v>
      </c>
      <c r="AJ68" s="365">
        <f t="shared" si="31"/>
        <v>0</v>
      </c>
      <c r="AK68" s="365">
        <f t="shared" si="32"/>
        <v>0</v>
      </c>
      <c r="AL68" s="365">
        <f t="shared" si="15"/>
        <v>0</v>
      </c>
      <c r="AM68" s="365">
        <f t="shared" si="33"/>
        <v>0</v>
      </c>
      <c r="AN68" s="365">
        <f t="shared" si="34"/>
        <v>0</v>
      </c>
      <c r="AO68" s="365">
        <f t="shared" si="16"/>
        <v>0</v>
      </c>
      <c r="AP68" s="365">
        <f t="shared" si="35"/>
        <v>0</v>
      </c>
      <c r="AQ68" s="365">
        <f t="shared" si="17"/>
        <v>0</v>
      </c>
      <c r="AR68" s="365">
        <f t="shared" si="36"/>
        <v>0</v>
      </c>
      <c r="AS68" s="365">
        <f t="shared" si="37"/>
        <v>0</v>
      </c>
      <c r="AT68" s="363"/>
      <c r="AU68">
        <v>3.6417</v>
      </c>
    </row>
    <row r="69" ht="24" spans="1:47">
      <c r="A69" s="284" t="s">
        <v>221</v>
      </c>
      <c r="B69" s="284" t="s">
        <v>199</v>
      </c>
      <c r="C69" s="284" t="s">
        <v>268</v>
      </c>
      <c r="D69" s="284" t="s">
        <v>213</v>
      </c>
      <c r="E69" s="365">
        <f t="shared" si="8"/>
        <v>0</v>
      </c>
      <c r="F69" s="365">
        <f t="shared" si="9"/>
        <v>0</v>
      </c>
      <c r="G69" s="365"/>
      <c r="H69" s="365"/>
      <c r="I69" s="365"/>
      <c r="J69" s="365"/>
      <c r="K69" s="365"/>
      <c r="L69" s="365">
        <f t="shared" si="10"/>
        <v>0</v>
      </c>
      <c r="M69" s="365"/>
      <c r="N69" s="365"/>
      <c r="O69" s="365"/>
      <c r="P69" s="365">
        <f t="shared" si="5"/>
        <v>0</v>
      </c>
      <c r="Q69" s="365">
        <f t="shared" si="11"/>
        <v>0</v>
      </c>
      <c r="R69" s="365"/>
      <c r="S69" s="365"/>
      <c r="T69" s="365"/>
      <c r="U69" s="365"/>
      <c r="V69" s="365"/>
      <c r="W69" s="365">
        <f t="shared" si="12"/>
        <v>0</v>
      </c>
      <c r="X69" s="365"/>
      <c r="Y69" s="365"/>
      <c r="Z69" s="365"/>
      <c r="AA69" s="365"/>
      <c r="AB69" s="365"/>
      <c r="AC69" s="365"/>
      <c r="AD69" s="366">
        <v>0</v>
      </c>
      <c r="AE69" s="365">
        <f t="shared" si="2"/>
        <v>0</v>
      </c>
      <c r="AF69" s="365">
        <f t="shared" si="13"/>
        <v>0</v>
      </c>
      <c r="AG69" s="365">
        <f t="shared" si="28"/>
        <v>0</v>
      </c>
      <c r="AH69" s="365">
        <f t="shared" si="29"/>
        <v>0</v>
      </c>
      <c r="AI69" s="365">
        <f t="shared" si="30"/>
        <v>0</v>
      </c>
      <c r="AJ69" s="365">
        <f t="shared" si="31"/>
        <v>0</v>
      </c>
      <c r="AK69" s="365">
        <f t="shared" si="32"/>
        <v>0</v>
      </c>
      <c r="AL69" s="365">
        <f t="shared" si="15"/>
        <v>0</v>
      </c>
      <c r="AM69" s="365">
        <f t="shared" si="33"/>
        <v>0</v>
      </c>
      <c r="AN69" s="365">
        <f t="shared" si="34"/>
        <v>0</v>
      </c>
      <c r="AO69" s="365">
        <f t="shared" si="16"/>
        <v>0</v>
      </c>
      <c r="AP69" s="365">
        <f t="shared" si="35"/>
        <v>0</v>
      </c>
      <c r="AQ69" s="365">
        <f t="shared" si="17"/>
        <v>0</v>
      </c>
      <c r="AR69" s="365">
        <f t="shared" si="36"/>
        <v>0</v>
      </c>
      <c r="AS69" s="365">
        <f t="shared" si="37"/>
        <v>0</v>
      </c>
      <c r="AT69" s="363"/>
      <c r="AU69">
        <v>2.5417</v>
      </c>
    </row>
    <row r="70" ht="24" spans="1:47">
      <c r="A70" s="284" t="s">
        <v>221</v>
      </c>
      <c r="B70" s="284" t="s">
        <v>199</v>
      </c>
      <c r="C70" s="284" t="s">
        <v>269</v>
      </c>
      <c r="D70" s="284" t="s">
        <v>213</v>
      </c>
      <c r="E70" s="365">
        <f t="shared" si="8"/>
        <v>0</v>
      </c>
      <c r="F70" s="365">
        <f t="shared" si="9"/>
        <v>0</v>
      </c>
      <c r="G70" s="365"/>
      <c r="H70" s="365"/>
      <c r="I70" s="365"/>
      <c r="J70" s="365"/>
      <c r="K70" s="365"/>
      <c r="L70" s="365">
        <f t="shared" si="10"/>
        <v>0</v>
      </c>
      <c r="M70" s="365"/>
      <c r="N70" s="365"/>
      <c r="O70" s="365"/>
      <c r="P70" s="365">
        <f t="shared" si="5"/>
        <v>0</v>
      </c>
      <c r="Q70" s="365">
        <f t="shared" si="11"/>
        <v>0</v>
      </c>
      <c r="R70" s="365"/>
      <c r="S70" s="365"/>
      <c r="T70" s="365"/>
      <c r="U70" s="365"/>
      <c r="V70" s="365"/>
      <c r="W70" s="365">
        <f t="shared" si="12"/>
        <v>0</v>
      </c>
      <c r="X70" s="365"/>
      <c r="Y70" s="365"/>
      <c r="Z70" s="365"/>
      <c r="AA70" s="365"/>
      <c r="AB70" s="365"/>
      <c r="AC70" s="365"/>
      <c r="AD70" s="366">
        <v>0</v>
      </c>
      <c r="AE70" s="365">
        <f t="shared" ref="AE70:AE133" si="38">AF70+AL70</f>
        <v>0</v>
      </c>
      <c r="AF70" s="365">
        <f t="shared" si="13"/>
        <v>0</v>
      </c>
      <c r="AG70" s="365">
        <f t="shared" si="28"/>
        <v>0</v>
      </c>
      <c r="AH70" s="365">
        <f t="shared" si="29"/>
        <v>0</v>
      </c>
      <c r="AI70" s="365">
        <f t="shared" si="30"/>
        <v>0</v>
      </c>
      <c r="AJ70" s="365">
        <f t="shared" si="31"/>
        <v>0</v>
      </c>
      <c r="AK70" s="365">
        <f t="shared" si="32"/>
        <v>0</v>
      </c>
      <c r="AL70" s="365">
        <f t="shared" si="15"/>
        <v>0</v>
      </c>
      <c r="AM70" s="365">
        <f t="shared" si="33"/>
        <v>0</v>
      </c>
      <c r="AN70" s="365">
        <f t="shared" si="34"/>
        <v>0</v>
      </c>
      <c r="AO70" s="365">
        <f t="shared" si="16"/>
        <v>0</v>
      </c>
      <c r="AP70" s="365">
        <f t="shared" si="35"/>
        <v>0</v>
      </c>
      <c r="AQ70" s="365">
        <f t="shared" si="17"/>
        <v>0</v>
      </c>
      <c r="AR70" s="365">
        <f t="shared" si="36"/>
        <v>0</v>
      </c>
      <c r="AS70" s="365">
        <f t="shared" si="37"/>
        <v>0</v>
      </c>
      <c r="AT70" s="363"/>
      <c r="AU70">
        <v>10.875</v>
      </c>
    </row>
    <row r="71" ht="24" spans="1:47">
      <c r="A71" s="284" t="s">
        <v>221</v>
      </c>
      <c r="B71" s="284" t="s">
        <v>196</v>
      </c>
      <c r="C71" s="284" t="s">
        <v>270</v>
      </c>
      <c r="D71" s="284" t="s">
        <v>207</v>
      </c>
      <c r="E71" s="365">
        <f t="shared" si="8"/>
        <v>264.15</v>
      </c>
      <c r="F71" s="365">
        <f t="shared" si="9"/>
        <v>176.81</v>
      </c>
      <c r="G71" s="365">
        <v>89.59</v>
      </c>
      <c r="H71" s="365">
        <v>69.62</v>
      </c>
      <c r="I71" s="365">
        <v>7.47</v>
      </c>
      <c r="J71" s="365">
        <v>9.6</v>
      </c>
      <c r="K71" s="365">
        <v>0.53</v>
      </c>
      <c r="L71" s="365">
        <f t="shared" si="10"/>
        <v>87.34</v>
      </c>
      <c r="M71" s="365">
        <v>11.34</v>
      </c>
      <c r="N71" s="365"/>
      <c r="O71" s="365">
        <v>76</v>
      </c>
      <c r="P71" s="365">
        <f t="shared" ref="P71:P134" si="39">Q71+W71</f>
        <v>35.2998</v>
      </c>
      <c r="Q71" s="365">
        <f t="shared" si="11"/>
        <v>0.815</v>
      </c>
      <c r="R71" s="365">
        <v>-2.43</v>
      </c>
      <c r="S71" s="365">
        <v>4.71</v>
      </c>
      <c r="T71" s="365">
        <v>-0.19</v>
      </c>
      <c r="U71" s="365">
        <v>-1.275</v>
      </c>
      <c r="V71" s="365"/>
      <c r="W71" s="365">
        <f t="shared" si="12"/>
        <v>34.4848</v>
      </c>
      <c r="X71" s="365"/>
      <c r="Y71" s="365">
        <v>52.5868</v>
      </c>
      <c r="Z71" s="365">
        <v>33</v>
      </c>
      <c r="AA71" s="365"/>
      <c r="AB71" s="365">
        <v>22.648</v>
      </c>
      <c r="AC71" s="365">
        <v>2.25</v>
      </c>
      <c r="AD71" s="366">
        <v>-76</v>
      </c>
      <c r="AE71" s="365">
        <f t="shared" si="38"/>
        <v>299.4498</v>
      </c>
      <c r="AF71" s="365">
        <f t="shared" si="13"/>
        <v>177.625</v>
      </c>
      <c r="AG71" s="365">
        <f t="shared" si="28"/>
        <v>87.16</v>
      </c>
      <c r="AH71" s="365">
        <f t="shared" si="29"/>
        <v>74.33</v>
      </c>
      <c r="AI71" s="365">
        <f t="shared" si="30"/>
        <v>7.28</v>
      </c>
      <c r="AJ71" s="365">
        <f t="shared" si="31"/>
        <v>8.325</v>
      </c>
      <c r="AK71" s="365">
        <f t="shared" si="32"/>
        <v>0.53</v>
      </c>
      <c r="AL71" s="365">
        <f t="shared" si="15"/>
        <v>121.8248</v>
      </c>
      <c r="AM71" s="365">
        <f t="shared" si="33"/>
        <v>11.34</v>
      </c>
      <c r="AN71" s="365">
        <f t="shared" si="34"/>
        <v>52.5868</v>
      </c>
      <c r="AO71" s="365">
        <f t="shared" si="16"/>
        <v>33</v>
      </c>
      <c r="AP71" s="365">
        <f t="shared" si="35"/>
        <v>0</v>
      </c>
      <c r="AQ71" s="365">
        <f t="shared" si="17"/>
        <v>22.648</v>
      </c>
      <c r="AR71" s="365">
        <f t="shared" si="36"/>
        <v>2.25</v>
      </c>
      <c r="AS71" s="365">
        <f t="shared" si="37"/>
        <v>0</v>
      </c>
      <c r="AT71" s="363"/>
      <c r="AU71">
        <v>22.648</v>
      </c>
    </row>
    <row r="72" ht="24" spans="1:47">
      <c r="A72" s="284" t="s">
        <v>221</v>
      </c>
      <c r="B72" s="284" t="s">
        <v>199</v>
      </c>
      <c r="C72" s="284" t="s">
        <v>271</v>
      </c>
      <c r="D72" s="284" t="s">
        <v>213</v>
      </c>
      <c r="E72" s="365">
        <f t="shared" ref="E72:E135" si="40">F72+L72</f>
        <v>0</v>
      </c>
      <c r="F72" s="365">
        <f t="shared" ref="F72:F135" si="41">SUM(G72:K72)</f>
        <v>0</v>
      </c>
      <c r="G72" s="365"/>
      <c r="H72" s="365"/>
      <c r="I72" s="365"/>
      <c r="J72" s="365"/>
      <c r="K72" s="365"/>
      <c r="L72" s="365">
        <f t="shared" ref="L72:L135" si="42">SUM(M72:O72)</f>
        <v>0</v>
      </c>
      <c r="M72" s="365"/>
      <c r="N72" s="365"/>
      <c r="O72" s="366"/>
      <c r="P72" s="365">
        <f t="shared" si="39"/>
        <v>0</v>
      </c>
      <c r="Q72" s="365">
        <f t="shared" ref="Q72:Q135" si="43">SUM(R72:V72)</f>
        <v>0</v>
      </c>
      <c r="R72" s="365"/>
      <c r="S72" s="365"/>
      <c r="T72" s="365"/>
      <c r="U72" s="365"/>
      <c r="V72" s="365"/>
      <c r="W72" s="365">
        <f t="shared" ref="W72:W141" si="44">SUM(X72:AD72)</f>
        <v>0</v>
      </c>
      <c r="X72" s="365"/>
      <c r="Y72" s="365"/>
      <c r="Z72" s="365"/>
      <c r="AA72" s="365"/>
      <c r="AB72" s="365"/>
      <c r="AC72" s="365"/>
      <c r="AD72" s="366">
        <v>0</v>
      </c>
      <c r="AE72" s="365">
        <f t="shared" si="38"/>
        <v>0</v>
      </c>
      <c r="AF72" s="365">
        <f t="shared" ref="AF72:AF135" si="45">SUM(AG72:AK72)</f>
        <v>0</v>
      </c>
      <c r="AG72" s="365">
        <f t="shared" si="28"/>
        <v>0</v>
      </c>
      <c r="AH72" s="365">
        <f t="shared" si="29"/>
        <v>0</v>
      </c>
      <c r="AI72" s="365">
        <f t="shared" si="30"/>
        <v>0</v>
      </c>
      <c r="AJ72" s="365">
        <f t="shared" si="31"/>
        <v>0</v>
      </c>
      <c r="AK72" s="365">
        <f t="shared" si="32"/>
        <v>0</v>
      </c>
      <c r="AL72" s="365">
        <f t="shared" ref="AL72:AL135" si="46">SUM(AM72:AS72)</f>
        <v>0</v>
      </c>
      <c r="AM72" s="365">
        <f t="shared" si="33"/>
        <v>0</v>
      </c>
      <c r="AN72" s="365">
        <f t="shared" si="34"/>
        <v>0</v>
      </c>
      <c r="AO72" s="365">
        <f t="shared" ref="AO72:AO135" si="47">Z72</f>
        <v>0</v>
      </c>
      <c r="AP72" s="365">
        <f t="shared" si="35"/>
        <v>0</v>
      </c>
      <c r="AQ72" s="365">
        <f t="shared" ref="AQ72:AQ135" si="48">AB72</f>
        <v>0</v>
      </c>
      <c r="AR72" s="365">
        <f t="shared" si="36"/>
        <v>0</v>
      </c>
      <c r="AS72" s="365">
        <f t="shared" si="37"/>
        <v>0</v>
      </c>
      <c r="AT72" s="363"/>
      <c r="AU72">
        <v>2.875</v>
      </c>
    </row>
    <row r="73" ht="24" customHeight="1" spans="1:47">
      <c r="A73" s="284" t="s">
        <v>221</v>
      </c>
      <c r="B73" s="284" t="s">
        <v>199</v>
      </c>
      <c r="C73" s="284" t="s">
        <v>272</v>
      </c>
      <c r="D73" s="284" t="s">
        <v>213</v>
      </c>
      <c r="E73" s="365">
        <f t="shared" si="40"/>
        <v>0</v>
      </c>
      <c r="F73" s="365">
        <f t="shared" si="41"/>
        <v>0</v>
      </c>
      <c r="G73" s="365"/>
      <c r="H73" s="365"/>
      <c r="I73" s="365"/>
      <c r="J73" s="365"/>
      <c r="K73" s="365"/>
      <c r="L73" s="365">
        <f t="shared" si="42"/>
        <v>0</v>
      </c>
      <c r="M73" s="365"/>
      <c r="N73" s="365"/>
      <c r="O73" s="366"/>
      <c r="P73" s="365">
        <f t="shared" si="39"/>
        <v>0</v>
      </c>
      <c r="Q73" s="365">
        <f t="shared" si="43"/>
        <v>0</v>
      </c>
      <c r="R73" s="365"/>
      <c r="S73" s="365"/>
      <c r="T73" s="365"/>
      <c r="U73" s="365"/>
      <c r="V73" s="365"/>
      <c r="W73" s="365">
        <f t="shared" si="44"/>
        <v>0</v>
      </c>
      <c r="X73" s="365"/>
      <c r="Y73" s="365"/>
      <c r="Z73" s="365"/>
      <c r="AA73" s="365"/>
      <c r="AB73" s="365"/>
      <c r="AC73" s="365"/>
      <c r="AD73" s="366">
        <v>0</v>
      </c>
      <c r="AE73" s="365">
        <f t="shared" si="38"/>
        <v>0</v>
      </c>
      <c r="AF73" s="365">
        <f t="shared" si="45"/>
        <v>0</v>
      </c>
      <c r="AG73" s="365">
        <f t="shared" ref="AG73:AG104" si="49">G73+R73</f>
        <v>0</v>
      </c>
      <c r="AH73" s="365">
        <f t="shared" ref="AH73:AH104" si="50">H73+S73</f>
        <v>0</v>
      </c>
      <c r="AI73" s="365">
        <f t="shared" ref="AI73:AI104" si="51">I73+T73</f>
        <v>0</v>
      </c>
      <c r="AJ73" s="365">
        <f t="shared" ref="AJ73:AJ104" si="52">J73+U73</f>
        <v>0</v>
      </c>
      <c r="AK73" s="365">
        <f t="shared" ref="AK73:AK104" si="53">K73+V73</f>
        <v>0</v>
      </c>
      <c r="AL73" s="365">
        <f t="shared" si="46"/>
        <v>0</v>
      </c>
      <c r="AM73" s="365">
        <f t="shared" ref="AM73:AM104" si="54">M73+X73</f>
        <v>0</v>
      </c>
      <c r="AN73" s="365">
        <f t="shared" ref="AN73:AN104" si="55">Y73</f>
        <v>0</v>
      </c>
      <c r="AO73" s="365">
        <f t="shared" si="47"/>
        <v>0</v>
      </c>
      <c r="AP73" s="365">
        <f t="shared" ref="AP73:AP104" si="56">AA73</f>
        <v>0</v>
      </c>
      <c r="AQ73" s="365">
        <f t="shared" si="48"/>
        <v>0</v>
      </c>
      <c r="AR73" s="365">
        <f t="shared" ref="AR73:AR104" si="57">N73+AC73</f>
        <v>0</v>
      </c>
      <c r="AS73" s="365">
        <f t="shared" ref="AS73:AS104" si="58">O73+AD73</f>
        <v>0</v>
      </c>
      <c r="AT73" s="363"/>
      <c r="AU73">
        <v>4</v>
      </c>
    </row>
    <row r="74" ht="24" customHeight="1" spans="1:47">
      <c r="A74" s="284" t="s">
        <v>221</v>
      </c>
      <c r="B74" s="284" t="s">
        <v>199</v>
      </c>
      <c r="C74" s="284" t="s">
        <v>273</v>
      </c>
      <c r="D74" s="284" t="s">
        <v>213</v>
      </c>
      <c r="E74" s="365">
        <f t="shared" si="40"/>
        <v>0</v>
      </c>
      <c r="F74" s="365">
        <f t="shared" si="41"/>
        <v>0</v>
      </c>
      <c r="G74" s="365"/>
      <c r="H74" s="365"/>
      <c r="I74" s="365"/>
      <c r="J74" s="365"/>
      <c r="K74" s="365"/>
      <c r="L74" s="365">
        <f t="shared" si="42"/>
        <v>0</v>
      </c>
      <c r="M74" s="365"/>
      <c r="N74" s="365"/>
      <c r="O74" s="366"/>
      <c r="P74" s="365">
        <f t="shared" si="39"/>
        <v>0</v>
      </c>
      <c r="Q74" s="365">
        <f t="shared" si="43"/>
        <v>0</v>
      </c>
      <c r="R74" s="365"/>
      <c r="S74" s="365"/>
      <c r="T74" s="365"/>
      <c r="U74" s="365"/>
      <c r="V74" s="365"/>
      <c r="W74" s="365">
        <f t="shared" si="44"/>
        <v>0</v>
      </c>
      <c r="X74" s="365"/>
      <c r="Y74" s="365"/>
      <c r="Z74" s="365"/>
      <c r="AA74" s="365"/>
      <c r="AB74" s="365"/>
      <c r="AC74" s="365"/>
      <c r="AD74" s="366">
        <v>0</v>
      </c>
      <c r="AE74" s="365">
        <f t="shared" si="38"/>
        <v>0</v>
      </c>
      <c r="AF74" s="365">
        <f t="shared" si="45"/>
        <v>0</v>
      </c>
      <c r="AG74" s="365">
        <f t="shared" si="49"/>
        <v>0</v>
      </c>
      <c r="AH74" s="365">
        <f t="shared" si="50"/>
        <v>0</v>
      </c>
      <c r="AI74" s="365">
        <f t="shared" si="51"/>
        <v>0</v>
      </c>
      <c r="AJ74" s="365">
        <f t="shared" si="52"/>
        <v>0</v>
      </c>
      <c r="AK74" s="365">
        <f t="shared" si="53"/>
        <v>0</v>
      </c>
      <c r="AL74" s="365">
        <f t="shared" si="46"/>
        <v>0</v>
      </c>
      <c r="AM74" s="365">
        <f t="shared" si="54"/>
        <v>0</v>
      </c>
      <c r="AN74" s="365">
        <f t="shared" si="55"/>
        <v>0</v>
      </c>
      <c r="AO74" s="365">
        <f t="shared" si="47"/>
        <v>0</v>
      </c>
      <c r="AP74" s="365">
        <f t="shared" si="56"/>
        <v>0</v>
      </c>
      <c r="AQ74" s="365">
        <f t="shared" si="48"/>
        <v>0</v>
      </c>
      <c r="AR74" s="365">
        <f t="shared" si="57"/>
        <v>0</v>
      </c>
      <c r="AS74" s="365">
        <f t="shared" si="58"/>
        <v>0</v>
      </c>
      <c r="AT74" s="363"/>
      <c r="AU74">
        <v>11.1251</v>
      </c>
    </row>
    <row r="75" ht="24" spans="1:47">
      <c r="A75" s="284" t="s">
        <v>221</v>
      </c>
      <c r="B75" s="284" t="s">
        <v>196</v>
      </c>
      <c r="C75" s="284" t="s">
        <v>274</v>
      </c>
      <c r="D75" s="284" t="s">
        <v>207</v>
      </c>
      <c r="E75" s="365">
        <f t="shared" si="40"/>
        <v>181.51</v>
      </c>
      <c r="F75" s="365">
        <f t="shared" si="41"/>
        <v>143.51</v>
      </c>
      <c r="G75" s="365">
        <v>74.34</v>
      </c>
      <c r="H75" s="365">
        <v>55.15</v>
      </c>
      <c r="I75" s="365">
        <v>6.2</v>
      </c>
      <c r="J75" s="365">
        <v>7.56</v>
      </c>
      <c r="K75" s="365">
        <v>0.26</v>
      </c>
      <c r="L75" s="365">
        <f t="shared" si="42"/>
        <v>38</v>
      </c>
      <c r="M75" s="365"/>
      <c r="N75" s="365"/>
      <c r="O75" s="365">
        <v>38</v>
      </c>
      <c r="P75" s="365">
        <f t="shared" si="39"/>
        <v>59.0636</v>
      </c>
      <c r="Q75" s="365">
        <f t="shared" si="43"/>
        <v>7.27</v>
      </c>
      <c r="R75" s="365">
        <v>0.19</v>
      </c>
      <c r="S75" s="365">
        <v>6.12</v>
      </c>
      <c r="T75" s="365">
        <v>0.33</v>
      </c>
      <c r="U75" s="365">
        <v>0.27</v>
      </c>
      <c r="V75" s="365">
        <v>0.36</v>
      </c>
      <c r="W75" s="365">
        <f t="shared" si="44"/>
        <v>51.7936</v>
      </c>
      <c r="X75" s="365"/>
      <c r="Y75" s="365">
        <v>44.71</v>
      </c>
      <c r="Z75" s="365">
        <v>26</v>
      </c>
      <c r="AA75" s="365"/>
      <c r="AB75" s="365">
        <v>17.1336</v>
      </c>
      <c r="AC75" s="365">
        <v>1.95</v>
      </c>
      <c r="AD75" s="366">
        <v>-38</v>
      </c>
      <c r="AE75" s="365">
        <f t="shared" si="38"/>
        <v>240.5736</v>
      </c>
      <c r="AF75" s="365">
        <f t="shared" si="45"/>
        <v>150.78</v>
      </c>
      <c r="AG75" s="365">
        <f t="shared" si="49"/>
        <v>74.53</v>
      </c>
      <c r="AH75" s="365">
        <f t="shared" si="50"/>
        <v>61.27</v>
      </c>
      <c r="AI75" s="365">
        <f t="shared" si="51"/>
        <v>6.53</v>
      </c>
      <c r="AJ75" s="365">
        <f t="shared" si="52"/>
        <v>7.83</v>
      </c>
      <c r="AK75" s="365">
        <f t="shared" si="53"/>
        <v>0.62</v>
      </c>
      <c r="AL75" s="365">
        <f t="shared" si="46"/>
        <v>89.7936</v>
      </c>
      <c r="AM75" s="365">
        <f t="shared" si="54"/>
        <v>0</v>
      </c>
      <c r="AN75" s="365">
        <f t="shared" si="55"/>
        <v>44.71</v>
      </c>
      <c r="AO75" s="365">
        <f t="shared" si="47"/>
        <v>26</v>
      </c>
      <c r="AP75" s="365">
        <f t="shared" si="56"/>
        <v>0</v>
      </c>
      <c r="AQ75" s="365">
        <f t="shared" si="48"/>
        <v>17.1336</v>
      </c>
      <c r="AR75" s="365">
        <f t="shared" si="57"/>
        <v>1.95</v>
      </c>
      <c r="AS75" s="365">
        <f t="shared" si="58"/>
        <v>0</v>
      </c>
      <c r="AT75" s="363"/>
      <c r="AU75">
        <v>17.1336</v>
      </c>
    </row>
    <row r="76" ht="24" spans="1:47">
      <c r="A76" s="284" t="s">
        <v>221</v>
      </c>
      <c r="B76" s="284" t="s">
        <v>199</v>
      </c>
      <c r="C76" s="284" t="s">
        <v>275</v>
      </c>
      <c r="D76" s="284" t="s">
        <v>213</v>
      </c>
      <c r="E76" s="365">
        <f t="shared" si="40"/>
        <v>0</v>
      </c>
      <c r="F76" s="365">
        <f t="shared" si="41"/>
        <v>0</v>
      </c>
      <c r="G76" s="365"/>
      <c r="H76" s="365"/>
      <c r="I76" s="365"/>
      <c r="J76" s="365"/>
      <c r="K76" s="365"/>
      <c r="L76" s="365">
        <f t="shared" si="42"/>
        <v>0</v>
      </c>
      <c r="M76" s="365"/>
      <c r="N76" s="365"/>
      <c r="O76" s="365"/>
      <c r="P76" s="365">
        <f t="shared" si="39"/>
        <v>0</v>
      </c>
      <c r="Q76" s="365">
        <f t="shared" si="43"/>
        <v>0</v>
      </c>
      <c r="R76" s="365"/>
      <c r="S76" s="365"/>
      <c r="T76" s="365"/>
      <c r="U76" s="365"/>
      <c r="V76" s="365"/>
      <c r="W76" s="365">
        <f t="shared" si="44"/>
        <v>0</v>
      </c>
      <c r="X76" s="365"/>
      <c r="Y76" s="365"/>
      <c r="Z76" s="365"/>
      <c r="AA76" s="365"/>
      <c r="AB76" s="365"/>
      <c r="AC76" s="365"/>
      <c r="AD76" s="366">
        <v>0</v>
      </c>
      <c r="AE76" s="365">
        <f t="shared" si="38"/>
        <v>0</v>
      </c>
      <c r="AF76" s="365">
        <f t="shared" si="45"/>
        <v>0</v>
      </c>
      <c r="AG76" s="365">
        <f t="shared" si="49"/>
        <v>0</v>
      </c>
      <c r="AH76" s="365">
        <f t="shared" si="50"/>
        <v>0</v>
      </c>
      <c r="AI76" s="365">
        <f t="shared" si="51"/>
        <v>0</v>
      </c>
      <c r="AJ76" s="365">
        <f t="shared" si="52"/>
        <v>0</v>
      </c>
      <c r="AK76" s="365">
        <f t="shared" si="53"/>
        <v>0</v>
      </c>
      <c r="AL76" s="365">
        <f t="shared" si="46"/>
        <v>0</v>
      </c>
      <c r="AM76" s="365">
        <f t="shared" si="54"/>
        <v>0</v>
      </c>
      <c r="AN76" s="365">
        <f t="shared" si="55"/>
        <v>0</v>
      </c>
      <c r="AO76" s="365">
        <f t="shared" si="47"/>
        <v>0</v>
      </c>
      <c r="AP76" s="365">
        <f t="shared" si="56"/>
        <v>0</v>
      </c>
      <c r="AQ76" s="365">
        <f t="shared" si="48"/>
        <v>0</v>
      </c>
      <c r="AR76" s="365">
        <f t="shared" si="57"/>
        <v>0</v>
      </c>
      <c r="AS76" s="365">
        <f t="shared" si="58"/>
        <v>0</v>
      </c>
      <c r="AT76" s="363"/>
      <c r="AU76">
        <v>2.5417</v>
      </c>
    </row>
    <row r="77" ht="24" spans="1:47">
      <c r="A77" s="284" t="s">
        <v>221</v>
      </c>
      <c r="B77" s="284" t="s">
        <v>199</v>
      </c>
      <c r="C77" s="284" t="s">
        <v>276</v>
      </c>
      <c r="D77" s="284" t="s">
        <v>213</v>
      </c>
      <c r="E77" s="365">
        <f t="shared" si="40"/>
        <v>0</v>
      </c>
      <c r="F77" s="365">
        <f t="shared" si="41"/>
        <v>0</v>
      </c>
      <c r="G77" s="365"/>
      <c r="H77" s="365"/>
      <c r="I77" s="365"/>
      <c r="J77" s="365"/>
      <c r="K77" s="365"/>
      <c r="L77" s="365">
        <f t="shared" si="42"/>
        <v>0</v>
      </c>
      <c r="M77" s="365"/>
      <c r="N77" s="365"/>
      <c r="O77" s="365"/>
      <c r="P77" s="365">
        <f t="shared" si="39"/>
        <v>0</v>
      </c>
      <c r="Q77" s="365">
        <f t="shared" si="43"/>
        <v>0</v>
      </c>
      <c r="R77" s="365"/>
      <c r="S77" s="365"/>
      <c r="T77" s="365"/>
      <c r="U77" s="365"/>
      <c r="V77" s="365"/>
      <c r="W77" s="365">
        <f t="shared" si="44"/>
        <v>0</v>
      </c>
      <c r="X77" s="365"/>
      <c r="Y77" s="365"/>
      <c r="Z77" s="365"/>
      <c r="AA77" s="365"/>
      <c r="AB77" s="365"/>
      <c r="AC77" s="365"/>
      <c r="AD77" s="366">
        <v>0</v>
      </c>
      <c r="AE77" s="365">
        <f t="shared" si="38"/>
        <v>0</v>
      </c>
      <c r="AF77" s="365">
        <f t="shared" si="45"/>
        <v>0</v>
      </c>
      <c r="AG77" s="365">
        <f t="shared" si="49"/>
        <v>0</v>
      </c>
      <c r="AH77" s="365">
        <f t="shared" si="50"/>
        <v>0</v>
      </c>
      <c r="AI77" s="365">
        <f t="shared" si="51"/>
        <v>0</v>
      </c>
      <c r="AJ77" s="365">
        <f t="shared" si="52"/>
        <v>0</v>
      </c>
      <c r="AK77" s="365">
        <f t="shared" si="53"/>
        <v>0</v>
      </c>
      <c r="AL77" s="365">
        <f t="shared" si="46"/>
        <v>0</v>
      </c>
      <c r="AM77" s="365">
        <f t="shared" si="54"/>
        <v>0</v>
      </c>
      <c r="AN77" s="365">
        <f t="shared" si="55"/>
        <v>0</v>
      </c>
      <c r="AO77" s="365">
        <f t="shared" si="47"/>
        <v>0</v>
      </c>
      <c r="AP77" s="365">
        <f t="shared" si="56"/>
        <v>0</v>
      </c>
      <c r="AQ77" s="365">
        <f t="shared" si="48"/>
        <v>0</v>
      </c>
      <c r="AR77" s="365">
        <f t="shared" si="57"/>
        <v>0</v>
      </c>
      <c r="AS77" s="365">
        <f t="shared" si="58"/>
        <v>0</v>
      </c>
      <c r="AT77" s="363"/>
      <c r="AU77">
        <v>2.5417</v>
      </c>
    </row>
    <row r="78" ht="24" spans="1:47">
      <c r="A78" s="284" t="s">
        <v>221</v>
      </c>
      <c r="B78" s="284" t="s">
        <v>199</v>
      </c>
      <c r="C78" s="284" t="s">
        <v>277</v>
      </c>
      <c r="D78" s="284" t="s">
        <v>213</v>
      </c>
      <c r="E78" s="365">
        <f t="shared" si="40"/>
        <v>0</v>
      </c>
      <c r="F78" s="365">
        <f t="shared" si="41"/>
        <v>0</v>
      </c>
      <c r="G78" s="365"/>
      <c r="H78" s="365"/>
      <c r="I78" s="365"/>
      <c r="J78" s="365"/>
      <c r="K78" s="365"/>
      <c r="L78" s="365">
        <f t="shared" si="42"/>
        <v>0</v>
      </c>
      <c r="M78" s="365"/>
      <c r="N78" s="365"/>
      <c r="O78" s="365"/>
      <c r="P78" s="365">
        <f t="shared" si="39"/>
        <v>0</v>
      </c>
      <c r="Q78" s="365">
        <f t="shared" si="43"/>
        <v>0</v>
      </c>
      <c r="R78" s="365"/>
      <c r="S78" s="365"/>
      <c r="T78" s="365"/>
      <c r="U78" s="365"/>
      <c r="V78" s="365"/>
      <c r="W78" s="365">
        <f t="shared" si="44"/>
        <v>0</v>
      </c>
      <c r="X78" s="365"/>
      <c r="Y78" s="365"/>
      <c r="Z78" s="365"/>
      <c r="AA78" s="365"/>
      <c r="AB78" s="365"/>
      <c r="AC78" s="365"/>
      <c r="AD78" s="366">
        <v>0</v>
      </c>
      <c r="AE78" s="365">
        <f t="shared" si="38"/>
        <v>0</v>
      </c>
      <c r="AF78" s="365">
        <f t="shared" si="45"/>
        <v>0</v>
      </c>
      <c r="AG78" s="365">
        <f t="shared" si="49"/>
        <v>0</v>
      </c>
      <c r="AH78" s="365">
        <f t="shared" si="50"/>
        <v>0</v>
      </c>
      <c r="AI78" s="365">
        <f t="shared" si="51"/>
        <v>0</v>
      </c>
      <c r="AJ78" s="365">
        <f t="shared" si="52"/>
        <v>0</v>
      </c>
      <c r="AK78" s="365">
        <f t="shared" si="53"/>
        <v>0</v>
      </c>
      <c r="AL78" s="365">
        <f t="shared" si="46"/>
        <v>0</v>
      </c>
      <c r="AM78" s="365">
        <f t="shared" si="54"/>
        <v>0</v>
      </c>
      <c r="AN78" s="365">
        <f t="shared" si="55"/>
        <v>0</v>
      </c>
      <c r="AO78" s="365">
        <f t="shared" si="47"/>
        <v>0</v>
      </c>
      <c r="AP78" s="365">
        <f t="shared" si="56"/>
        <v>0</v>
      </c>
      <c r="AQ78" s="365">
        <f t="shared" si="48"/>
        <v>0</v>
      </c>
      <c r="AR78" s="365">
        <f t="shared" si="57"/>
        <v>0</v>
      </c>
      <c r="AS78" s="365">
        <f t="shared" si="58"/>
        <v>0</v>
      </c>
      <c r="AT78" s="363"/>
      <c r="AU78">
        <v>10.875</v>
      </c>
    </row>
    <row r="79" ht="24" spans="1:47">
      <c r="A79" s="284" t="s">
        <v>221</v>
      </c>
      <c r="B79" s="284" t="s">
        <v>196</v>
      </c>
      <c r="C79" s="284" t="s">
        <v>278</v>
      </c>
      <c r="D79" s="284" t="s">
        <v>207</v>
      </c>
      <c r="E79" s="365">
        <f t="shared" si="40"/>
        <v>204.63</v>
      </c>
      <c r="F79" s="365">
        <f t="shared" si="41"/>
        <v>147.54</v>
      </c>
      <c r="G79" s="365">
        <v>76.13</v>
      </c>
      <c r="H79" s="365">
        <v>56.89</v>
      </c>
      <c r="I79" s="365">
        <v>6.34</v>
      </c>
      <c r="J79" s="365">
        <v>7.92</v>
      </c>
      <c r="K79" s="365">
        <v>0.26</v>
      </c>
      <c r="L79" s="365">
        <f t="shared" si="42"/>
        <v>57.09</v>
      </c>
      <c r="M79" s="365">
        <v>7.09</v>
      </c>
      <c r="N79" s="365"/>
      <c r="O79" s="365">
        <v>50</v>
      </c>
      <c r="P79" s="365">
        <f t="shared" si="39"/>
        <v>56.2428</v>
      </c>
      <c r="Q79" s="365">
        <f t="shared" si="43"/>
        <v>11.03</v>
      </c>
      <c r="R79" s="365">
        <v>0.809999999999999</v>
      </c>
      <c r="S79" s="365">
        <v>8.36</v>
      </c>
      <c r="T79" s="365">
        <v>0.34</v>
      </c>
      <c r="U79" s="365">
        <v>1.28</v>
      </c>
      <c r="V79" s="365">
        <v>0.24</v>
      </c>
      <c r="W79" s="365">
        <f t="shared" si="44"/>
        <v>45.2128</v>
      </c>
      <c r="X79" s="365">
        <v>0.72</v>
      </c>
      <c r="Y79" s="365">
        <v>43.28</v>
      </c>
      <c r="Z79" s="365">
        <v>32</v>
      </c>
      <c r="AA79" s="365"/>
      <c r="AB79" s="365">
        <v>17.2628</v>
      </c>
      <c r="AC79" s="365">
        <v>1.95</v>
      </c>
      <c r="AD79" s="366">
        <v>-50</v>
      </c>
      <c r="AE79" s="365">
        <f t="shared" si="38"/>
        <v>260.8728</v>
      </c>
      <c r="AF79" s="365">
        <f t="shared" si="45"/>
        <v>158.57</v>
      </c>
      <c r="AG79" s="365">
        <f t="shared" si="49"/>
        <v>76.94</v>
      </c>
      <c r="AH79" s="365">
        <f t="shared" si="50"/>
        <v>65.25</v>
      </c>
      <c r="AI79" s="365">
        <f t="shared" si="51"/>
        <v>6.68</v>
      </c>
      <c r="AJ79" s="365">
        <f t="shared" si="52"/>
        <v>9.2</v>
      </c>
      <c r="AK79" s="365">
        <f t="shared" si="53"/>
        <v>0.5</v>
      </c>
      <c r="AL79" s="365">
        <f t="shared" si="46"/>
        <v>102.3028</v>
      </c>
      <c r="AM79" s="365">
        <f t="shared" si="54"/>
        <v>7.81</v>
      </c>
      <c r="AN79" s="365">
        <f t="shared" si="55"/>
        <v>43.28</v>
      </c>
      <c r="AO79" s="365">
        <f t="shared" si="47"/>
        <v>32</v>
      </c>
      <c r="AP79" s="365">
        <f t="shared" si="56"/>
        <v>0</v>
      </c>
      <c r="AQ79" s="365">
        <f t="shared" si="48"/>
        <v>17.2628</v>
      </c>
      <c r="AR79" s="365">
        <f t="shared" si="57"/>
        <v>1.95</v>
      </c>
      <c r="AS79" s="365">
        <f t="shared" si="58"/>
        <v>0</v>
      </c>
      <c r="AT79" s="363"/>
      <c r="AU79">
        <v>17.2628</v>
      </c>
    </row>
    <row r="80" ht="24" spans="1:47">
      <c r="A80" s="284" t="s">
        <v>221</v>
      </c>
      <c r="B80" s="284" t="s">
        <v>199</v>
      </c>
      <c r="C80" s="284" t="s">
        <v>279</v>
      </c>
      <c r="D80" s="284" t="s">
        <v>213</v>
      </c>
      <c r="E80" s="365">
        <f t="shared" si="40"/>
        <v>0</v>
      </c>
      <c r="F80" s="365">
        <f t="shared" si="41"/>
        <v>0</v>
      </c>
      <c r="G80" s="365"/>
      <c r="H80" s="365"/>
      <c r="I80" s="365"/>
      <c r="J80" s="365"/>
      <c r="K80" s="365"/>
      <c r="L80" s="365">
        <f t="shared" si="42"/>
        <v>0</v>
      </c>
      <c r="M80" s="365"/>
      <c r="N80" s="365"/>
      <c r="O80" s="365"/>
      <c r="P80" s="365">
        <f t="shared" si="39"/>
        <v>0</v>
      </c>
      <c r="Q80" s="365">
        <f t="shared" si="43"/>
        <v>0</v>
      </c>
      <c r="R80" s="365"/>
      <c r="S80" s="365"/>
      <c r="T80" s="365"/>
      <c r="U80" s="365"/>
      <c r="V80" s="365"/>
      <c r="W80" s="365">
        <f t="shared" si="44"/>
        <v>0</v>
      </c>
      <c r="X80" s="365"/>
      <c r="Y80" s="365"/>
      <c r="Z80" s="365"/>
      <c r="AA80" s="365"/>
      <c r="AB80" s="365"/>
      <c r="AC80" s="365"/>
      <c r="AD80" s="366">
        <v>0</v>
      </c>
      <c r="AE80" s="365">
        <f t="shared" si="38"/>
        <v>0</v>
      </c>
      <c r="AF80" s="365">
        <f t="shared" si="45"/>
        <v>0</v>
      </c>
      <c r="AG80" s="365">
        <f t="shared" si="49"/>
        <v>0</v>
      </c>
      <c r="AH80" s="365">
        <f t="shared" si="50"/>
        <v>0</v>
      </c>
      <c r="AI80" s="365">
        <f t="shared" si="51"/>
        <v>0</v>
      </c>
      <c r="AJ80" s="365">
        <f t="shared" si="52"/>
        <v>0</v>
      </c>
      <c r="AK80" s="365">
        <f t="shared" si="53"/>
        <v>0</v>
      </c>
      <c r="AL80" s="365">
        <f t="shared" si="46"/>
        <v>0</v>
      </c>
      <c r="AM80" s="365">
        <f t="shared" si="54"/>
        <v>0</v>
      </c>
      <c r="AN80" s="365">
        <f t="shared" si="55"/>
        <v>0</v>
      </c>
      <c r="AO80" s="365">
        <f t="shared" si="47"/>
        <v>0</v>
      </c>
      <c r="AP80" s="365">
        <f t="shared" si="56"/>
        <v>0</v>
      </c>
      <c r="AQ80" s="365">
        <f t="shared" si="48"/>
        <v>0</v>
      </c>
      <c r="AR80" s="365">
        <f t="shared" si="57"/>
        <v>0</v>
      </c>
      <c r="AS80" s="365">
        <f t="shared" si="58"/>
        <v>0</v>
      </c>
      <c r="AT80" s="363"/>
      <c r="AU80">
        <v>2.5834</v>
      </c>
    </row>
    <row r="81" ht="24" spans="1:47">
      <c r="A81" s="284" t="s">
        <v>221</v>
      </c>
      <c r="B81" s="284" t="s">
        <v>199</v>
      </c>
      <c r="C81" s="284" t="s">
        <v>280</v>
      </c>
      <c r="D81" s="284" t="s">
        <v>213</v>
      </c>
      <c r="E81" s="365">
        <f t="shared" si="40"/>
        <v>0</v>
      </c>
      <c r="F81" s="365">
        <f t="shared" si="41"/>
        <v>0</v>
      </c>
      <c r="G81" s="365"/>
      <c r="H81" s="365"/>
      <c r="I81" s="365"/>
      <c r="J81" s="365"/>
      <c r="K81" s="365"/>
      <c r="L81" s="365">
        <f t="shared" si="42"/>
        <v>0</v>
      </c>
      <c r="M81" s="365"/>
      <c r="N81" s="365"/>
      <c r="O81" s="365"/>
      <c r="P81" s="365">
        <f t="shared" si="39"/>
        <v>0</v>
      </c>
      <c r="Q81" s="365">
        <f t="shared" si="43"/>
        <v>0</v>
      </c>
      <c r="R81" s="365"/>
      <c r="S81" s="365"/>
      <c r="T81" s="365"/>
      <c r="U81" s="365"/>
      <c r="V81" s="365"/>
      <c r="W81" s="365">
        <f t="shared" si="44"/>
        <v>0</v>
      </c>
      <c r="X81" s="365"/>
      <c r="Y81" s="365"/>
      <c r="Z81" s="365"/>
      <c r="AA81" s="365"/>
      <c r="AB81" s="365"/>
      <c r="AC81" s="365"/>
      <c r="AD81" s="366">
        <v>0</v>
      </c>
      <c r="AE81" s="365">
        <f t="shared" si="38"/>
        <v>0</v>
      </c>
      <c r="AF81" s="365">
        <f t="shared" si="45"/>
        <v>0</v>
      </c>
      <c r="AG81" s="365">
        <f t="shared" si="49"/>
        <v>0</v>
      </c>
      <c r="AH81" s="365">
        <f t="shared" si="50"/>
        <v>0</v>
      </c>
      <c r="AI81" s="365">
        <f t="shared" si="51"/>
        <v>0</v>
      </c>
      <c r="AJ81" s="365">
        <f t="shared" si="52"/>
        <v>0</v>
      </c>
      <c r="AK81" s="365">
        <f t="shared" si="53"/>
        <v>0</v>
      </c>
      <c r="AL81" s="365">
        <f t="shared" si="46"/>
        <v>0</v>
      </c>
      <c r="AM81" s="365">
        <f t="shared" si="54"/>
        <v>0</v>
      </c>
      <c r="AN81" s="365">
        <f t="shared" si="55"/>
        <v>0</v>
      </c>
      <c r="AO81" s="365">
        <f t="shared" si="47"/>
        <v>0</v>
      </c>
      <c r="AP81" s="365">
        <f t="shared" si="56"/>
        <v>0</v>
      </c>
      <c r="AQ81" s="365">
        <f t="shared" si="48"/>
        <v>0</v>
      </c>
      <c r="AR81" s="365">
        <f t="shared" si="57"/>
        <v>0</v>
      </c>
      <c r="AS81" s="365">
        <f t="shared" si="58"/>
        <v>0</v>
      </c>
      <c r="AT81" s="363"/>
      <c r="AU81">
        <v>2.6667</v>
      </c>
    </row>
    <row r="82" ht="24" spans="1:47">
      <c r="A82" s="284" t="s">
        <v>221</v>
      </c>
      <c r="B82" s="284" t="s">
        <v>199</v>
      </c>
      <c r="C82" s="284" t="s">
        <v>281</v>
      </c>
      <c r="D82" s="284" t="s">
        <v>213</v>
      </c>
      <c r="E82" s="365">
        <f t="shared" si="40"/>
        <v>0</v>
      </c>
      <c r="F82" s="365">
        <f t="shared" si="41"/>
        <v>0</v>
      </c>
      <c r="G82" s="365"/>
      <c r="H82" s="365"/>
      <c r="I82" s="365"/>
      <c r="J82" s="365"/>
      <c r="K82" s="365"/>
      <c r="L82" s="365">
        <f t="shared" si="42"/>
        <v>0</v>
      </c>
      <c r="M82" s="365"/>
      <c r="N82" s="365"/>
      <c r="O82" s="365"/>
      <c r="P82" s="365">
        <f t="shared" si="39"/>
        <v>0</v>
      </c>
      <c r="Q82" s="365">
        <f t="shared" si="43"/>
        <v>0</v>
      </c>
      <c r="R82" s="365"/>
      <c r="S82" s="365"/>
      <c r="T82" s="365"/>
      <c r="U82" s="365"/>
      <c r="V82" s="365"/>
      <c r="W82" s="365">
        <f t="shared" si="44"/>
        <v>0</v>
      </c>
      <c r="X82" s="365"/>
      <c r="Y82" s="365"/>
      <c r="Z82" s="365"/>
      <c r="AA82" s="365"/>
      <c r="AB82" s="365"/>
      <c r="AC82" s="365"/>
      <c r="AD82" s="366">
        <v>0</v>
      </c>
      <c r="AE82" s="365">
        <f t="shared" si="38"/>
        <v>0</v>
      </c>
      <c r="AF82" s="365">
        <f t="shared" si="45"/>
        <v>0</v>
      </c>
      <c r="AG82" s="365">
        <f t="shared" si="49"/>
        <v>0</v>
      </c>
      <c r="AH82" s="365">
        <f t="shared" si="50"/>
        <v>0</v>
      </c>
      <c r="AI82" s="365">
        <f t="shared" si="51"/>
        <v>0</v>
      </c>
      <c r="AJ82" s="365">
        <f t="shared" si="52"/>
        <v>0</v>
      </c>
      <c r="AK82" s="365">
        <f t="shared" si="53"/>
        <v>0</v>
      </c>
      <c r="AL82" s="365">
        <f t="shared" si="46"/>
        <v>0</v>
      </c>
      <c r="AM82" s="365">
        <f t="shared" si="54"/>
        <v>0</v>
      </c>
      <c r="AN82" s="365">
        <f t="shared" si="55"/>
        <v>0</v>
      </c>
      <c r="AO82" s="365">
        <f t="shared" si="47"/>
        <v>0</v>
      </c>
      <c r="AP82" s="365">
        <f t="shared" si="56"/>
        <v>0</v>
      </c>
      <c r="AQ82" s="365">
        <f t="shared" si="48"/>
        <v>0</v>
      </c>
      <c r="AR82" s="365">
        <f t="shared" si="57"/>
        <v>0</v>
      </c>
      <c r="AS82" s="365">
        <f t="shared" si="58"/>
        <v>0</v>
      </c>
      <c r="AT82" s="363"/>
      <c r="AU82">
        <v>10.5</v>
      </c>
    </row>
    <row r="83" ht="24" spans="1:47">
      <c r="A83" s="284" t="s">
        <v>221</v>
      </c>
      <c r="B83" s="284" t="s">
        <v>196</v>
      </c>
      <c r="C83" s="284" t="s">
        <v>282</v>
      </c>
      <c r="D83" s="284" t="s">
        <v>207</v>
      </c>
      <c r="E83" s="365">
        <f t="shared" si="40"/>
        <v>206.53</v>
      </c>
      <c r="F83" s="365">
        <f t="shared" si="41"/>
        <v>141.19</v>
      </c>
      <c r="G83" s="365">
        <v>71.87</v>
      </c>
      <c r="H83" s="365">
        <v>54.43</v>
      </c>
      <c r="I83" s="365">
        <v>5.99</v>
      </c>
      <c r="J83" s="365">
        <v>8.64</v>
      </c>
      <c r="K83" s="365">
        <v>0.26</v>
      </c>
      <c r="L83" s="365">
        <f t="shared" si="42"/>
        <v>65.34</v>
      </c>
      <c r="M83" s="365">
        <v>11.34</v>
      </c>
      <c r="N83" s="365"/>
      <c r="O83" s="366">
        <v>54</v>
      </c>
      <c r="P83" s="365">
        <f t="shared" si="39"/>
        <v>26.977</v>
      </c>
      <c r="Q83" s="365">
        <f t="shared" si="43"/>
        <v>-5.45</v>
      </c>
      <c r="R83" s="365">
        <v>-10.11</v>
      </c>
      <c r="S83" s="365">
        <v>5.85</v>
      </c>
      <c r="T83" s="365">
        <v>-0.47</v>
      </c>
      <c r="U83" s="365">
        <v>-0.98</v>
      </c>
      <c r="V83" s="365">
        <v>0.26</v>
      </c>
      <c r="W83" s="365">
        <f t="shared" si="44"/>
        <v>32.427</v>
      </c>
      <c r="X83" s="365"/>
      <c r="Y83" s="365">
        <v>39.5316</v>
      </c>
      <c r="Z83" s="365">
        <v>29</v>
      </c>
      <c r="AA83" s="365"/>
      <c r="AB83" s="365">
        <v>16.2454</v>
      </c>
      <c r="AC83" s="365">
        <v>1.65</v>
      </c>
      <c r="AD83" s="366">
        <v>-54</v>
      </c>
      <c r="AE83" s="365">
        <f t="shared" si="38"/>
        <v>233.507</v>
      </c>
      <c r="AF83" s="365">
        <f t="shared" si="45"/>
        <v>135.74</v>
      </c>
      <c r="AG83" s="365">
        <f t="shared" si="49"/>
        <v>61.76</v>
      </c>
      <c r="AH83" s="365">
        <f t="shared" si="50"/>
        <v>60.28</v>
      </c>
      <c r="AI83" s="365">
        <f t="shared" si="51"/>
        <v>5.52</v>
      </c>
      <c r="AJ83" s="365">
        <f t="shared" si="52"/>
        <v>7.66</v>
      </c>
      <c r="AK83" s="365">
        <f t="shared" si="53"/>
        <v>0.52</v>
      </c>
      <c r="AL83" s="365">
        <f t="shared" si="46"/>
        <v>97.767</v>
      </c>
      <c r="AM83" s="365">
        <f t="shared" si="54"/>
        <v>11.34</v>
      </c>
      <c r="AN83" s="365">
        <f t="shared" si="55"/>
        <v>39.5316</v>
      </c>
      <c r="AO83" s="365">
        <f t="shared" si="47"/>
        <v>29</v>
      </c>
      <c r="AP83" s="365">
        <f t="shared" si="56"/>
        <v>0</v>
      </c>
      <c r="AQ83" s="365">
        <f t="shared" si="48"/>
        <v>16.2454</v>
      </c>
      <c r="AR83" s="365">
        <f t="shared" si="57"/>
        <v>1.65</v>
      </c>
      <c r="AS83" s="365">
        <f t="shared" si="58"/>
        <v>0</v>
      </c>
      <c r="AT83" s="363"/>
      <c r="AU83">
        <v>16.2454</v>
      </c>
    </row>
    <row r="84" ht="24" spans="1:47">
      <c r="A84" s="284" t="s">
        <v>221</v>
      </c>
      <c r="B84" s="284" t="s">
        <v>199</v>
      </c>
      <c r="C84" s="284" t="s">
        <v>283</v>
      </c>
      <c r="D84" s="284" t="s">
        <v>213</v>
      </c>
      <c r="E84" s="365">
        <f t="shared" si="40"/>
        <v>0</v>
      </c>
      <c r="F84" s="365">
        <f t="shared" si="41"/>
        <v>0</v>
      </c>
      <c r="G84" s="365"/>
      <c r="H84" s="365"/>
      <c r="I84" s="365"/>
      <c r="J84" s="365"/>
      <c r="K84" s="365"/>
      <c r="L84" s="365">
        <f t="shared" si="42"/>
        <v>0</v>
      </c>
      <c r="M84" s="365"/>
      <c r="N84" s="365"/>
      <c r="O84" s="365"/>
      <c r="P84" s="365">
        <f t="shared" si="39"/>
        <v>0</v>
      </c>
      <c r="Q84" s="365">
        <f t="shared" si="43"/>
        <v>0</v>
      </c>
      <c r="R84" s="365"/>
      <c r="S84" s="365"/>
      <c r="T84" s="365"/>
      <c r="U84" s="365"/>
      <c r="V84" s="365"/>
      <c r="W84" s="365">
        <f t="shared" si="44"/>
        <v>0</v>
      </c>
      <c r="X84" s="365"/>
      <c r="Y84" s="365"/>
      <c r="Z84" s="365"/>
      <c r="AA84" s="365"/>
      <c r="AB84" s="365"/>
      <c r="AC84" s="365"/>
      <c r="AD84" s="366">
        <v>0</v>
      </c>
      <c r="AE84" s="365">
        <f t="shared" si="38"/>
        <v>0</v>
      </c>
      <c r="AF84" s="365">
        <f t="shared" si="45"/>
        <v>0</v>
      </c>
      <c r="AG84" s="365">
        <f t="shared" si="49"/>
        <v>0</v>
      </c>
      <c r="AH84" s="365">
        <f t="shared" si="50"/>
        <v>0</v>
      </c>
      <c r="AI84" s="365">
        <f t="shared" si="51"/>
        <v>0</v>
      </c>
      <c r="AJ84" s="365">
        <f t="shared" si="52"/>
        <v>0</v>
      </c>
      <c r="AK84" s="365">
        <f t="shared" si="53"/>
        <v>0</v>
      </c>
      <c r="AL84" s="365">
        <f t="shared" si="46"/>
        <v>0</v>
      </c>
      <c r="AM84" s="365">
        <f t="shared" si="54"/>
        <v>0</v>
      </c>
      <c r="AN84" s="365">
        <f t="shared" si="55"/>
        <v>0</v>
      </c>
      <c r="AO84" s="365">
        <f t="shared" si="47"/>
        <v>0</v>
      </c>
      <c r="AP84" s="365">
        <f t="shared" si="56"/>
        <v>0</v>
      </c>
      <c r="AQ84" s="365">
        <f t="shared" si="48"/>
        <v>0</v>
      </c>
      <c r="AR84" s="365">
        <f t="shared" si="57"/>
        <v>0</v>
      </c>
      <c r="AS84" s="365">
        <f t="shared" si="58"/>
        <v>0</v>
      </c>
      <c r="AT84" s="363"/>
      <c r="AU84">
        <v>2.5</v>
      </c>
    </row>
    <row r="85" ht="24" spans="1:47">
      <c r="A85" s="284" t="s">
        <v>221</v>
      </c>
      <c r="B85" s="284" t="s">
        <v>199</v>
      </c>
      <c r="C85" s="284" t="s">
        <v>284</v>
      </c>
      <c r="D85" s="284" t="s">
        <v>213</v>
      </c>
      <c r="E85" s="365">
        <f t="shared" si="40"/>
        <v>0</v>
      </c>
      <c r="F85" s="365">
        <f t="shared" si="41"/>
        <v>0</v>
      </c>
      <c r="G85" s="365"/>
      <c r="H85" s="365"/>
      <c r="I85" s="365"/>
      <c r="J85" s="365"/>
      <c r="K85" s="365"/>
      <c r="L85" s="365">
        <f t="shared" si="42"/>
        <v>0</v>
      </c>
      <c r="M85" s="365"/>
      <c r="N85" s="365"/>
      <c r="O85" s="365"/>
      <c r="P85" s="365">
        <f t="shared" si="39"/>
        <v>0</v>
      </c>
      <c r="Q85" s="365">
        <f t="shared" si="43"/>
        <v>0</v>
      </c>
      <c r="R85" s="365"/>
      <c r="S85" s="365"/>
      <c r="T85" s="365"/>
      <c r="U85" s="365"/>
      <c r="V85" s="365"/>
      <c r="W85" s="365">
        <f t="shared" si="44"/>
        <v>0</v>
      </c>
      <c r="X85" s="365"/>
      <c r="Y85" s="365"/>
      <c r="Z85" s="365"/>
      <c r="AA85" s="365"/>
      <c r="AB85" s="365"/>
      <c r="AC85" s="365"/>
      <c r="AD85" s="366">
        <v>0</v>
      </c>
      <c r="AE85" s="365">
        <f t="shared" si="38"/>
        <v>0</v>
      </c>
      <c r="AF85" s="365">
        <f t="shared" si="45"/>
        <v>0</v>
      </c>
      <c r="AG85" s="365">
        <f t="shared" si="49"/>
        <v>0</v>
      </c>
      <c r="AH85" s="365">
        <f t="shared" si="50"/>
        <v>0</v>
      </c>
      <c r="AI85" s="365">
        <f t="shared" si="51"/>
        <v>0</v>
      </c>
      <c r="AJ85" s="365">
        <f t="shared" si="52"/>
        <v>0</v>
      </c>
      <c r="AK85" s="365">
        <f t="shared" si="53"/>
        <v>0</v>
      </c>
      <c r="AL85" s="365">
        <f t="shared" si="46"/>
        <v>0</v>
      </c>
      <c r="AM85" s="365">
        <f t="shared" si="54"/>
        <v>0</v>
      </c>
      <c r="AN85" s="365">
        <f t="shared" si="55"/>
        <v>0</v>
      </c>
      <c r="AO85" s="365">
        <f t="shared" si="47"/>
        <v>0</v>
      </c>
      <c r="AP85" s="365">
        <f t="shared" si="56"/>
        <v>0</v>
      </c>
      <c r="AQ85" s="365">
        <f t="shared" si="48"/>
        <v>0</v>
      </c>
      <c r="AR85" s="365">
        <f t="shared" si="57"/>
        <v>0</v>
      </c>
      <c r="AS85" s="365">
        <f t="shared" si="58"/>
        <v>0</v>
      </c>
      <c r="AT85" s="363"/>
      <c r="AU85">
        <v>2.4584</v>
      </c>
    </row>
    <row r="86" ht="24" spans="1:47">
      <c r="A86" s="284" t="s">
        <v>221</v>
      </c>
      <c r="B86" s="284" t="s">
        <v>199</v>
      </c>
      <c r="C86" s="284" t="s">
        <v>285</v>
      </c>
      <c r="D86" s="284" t="s">
        <v>213</v>
      </c>
      <c r="E86" s="365">
        <f t="shared" si="40"/>
        <v>0</v>
      </c>
      <c r="F86" s="365">
        <f t="shared" si="41"/>
        <v>0</v>
      </c>
      <c r="G86" s="365"/>
      <c r="H86" s="365"/>
      <c r="I86" s="365"/>
      <c r="J86" s="365"/>
      <c r="K86" s="365"/>
      <c r="L86" s="365">
        <f t="shared" si="42"/>
        <v>0</v>
      </c>
      <c r="M86" s="365"/>
      <c r="N86" s="365"/>
      <c r="O86" s="365"/>
      <c r="P86" s="365">
        <f t="shared" si="39"/>
        <v>0</v>
      </c>
      <c r="Q86" s="365">
        <f t="shared" si="43"/>
        <v>0</v>
      </c>
      <c r="R86" s="365"/>
      <c r="S86" s="365"/>
      <c r="T86" s="365"/>
      <c r="U86" s="365"/>
      <c r="V86" s="365"/>
      <c r="W86" s="365">
        <f t="shared" si="44"/>
        <v>0</v>
      </c>
      <c r="X86" s="365"/>
      <c r="Y86" s="365"/>
      <c r="Z86" s="365"/>
      <c r="AA86" s="365"/>
      <c r="AB86" s="365"/>
      <c r="AC86" s="365"/>
      <c r="AD86" s="366">
        <v>0</v>
      </c>
      <c r="AE86" s="365">
        <f t="shared" si="38"/>
        <v>0</v>
      </c>
      <c r="AF86" s="365">
        <f t="shared" si="45"/>
        <v>0</v>
      </c>
      <c r="AG86" s="365">
        <f t="shared" si="49"/>
        <v>0</v>
      </c>
      <c r="AH86" s="365">
        <f t="shared" si="50"/>
        <v>0</v>
      </c>
      <c r="AI86" s="365">
        <f t="shared" si="51"/>
        <v>0</v>
      </c>
      <c r="AJ86" s="365">
        <f t="shared" si="52"/>
        <v>0</v>
      </c>
      <c r="AK86" s="365">
        <f t="shared" si="53"/>
        <v>0</v>
      </c>
      <c r="AL86" s="365">
        <f t="shared" si="46"/>
        <v>0</v>
      </c>
      <c r="AM86" s="365">
        <f t="shared" si="54"/>
        <v>0</v>
      </c>
      <c r="AN86" s="365">
        <f t="shared" si="55"/>
        <v>0</v>
      </c>
      <c r="AO86" s="365">
        <f t="shared" si="47"/>
        <v>0</v>
      </c>
      <c r="AP86" s="365">
        <f t="shared" si="56"/>
        <v>0</v>
      </c>
      <c r="AQ86" s="365">
        <f t="shared" si="48"/>
        <v>0</v>
      </c>
      <c r="AR86" s="365">
        <f t="shared" si="57"/>
        <v>0</v>
      </c>
      <c r="AS86" s="365">
        <f t="shared" si="58"/>
        <v>0</v>
      </c>
      <c r="AT86" s="363"/>
      <c r="AU86">
        <v>7.0834</v>
      </c>
    </row>
    <row r="87" ht="24" spans="1:47">
      <c r="A87" s="284" t="s">
        <v>221</v>
      </c>
      <c r="B87" s="284" t="s">
        <v>196</v>
      </c>
      <c r="C87" s="284" t="s">
        <v>286</v>
      </c>
      <c r="D87" s="284" t="s">
        <v>207</v>
      </c>
      <c r="E87" s="365">
        <f t="shared" si="40"/>
        <v>124.03</v>
      </c>
      <c r="F87" s="365">
        <f t="shared" si="41"/>
        <v>83.69</v>
      </c>
      <c r="G87" s="365">
        <v>41.3</v>
      </c>
      <c r="H87" s="365">
        <v>32.66</v>
      </c>
      <c r="I87" s="365">
        <v>3.44</v>
      </c>
      <c r="J87" s="365">
        <v>5.76</v>
      </c>
      <c r="K87" s="365">
        <v>0.53</v>
      </c>
      <c r="L87" s="365">
        <f t="shared" si="42"/>
        <v>40.34</v>
      </c>
      <c r="M87" s="365">
        <v>11.34</v>
      </c>
      <c r="N87" s="365"/>
      <c r="O87" s="366">
        <v>29</v>
      </c>
      <c r="P87" s="365">
        <f t="shared" si="39"/>
        <v>39.7304</v>
      </c>
      <c r="Q87" s="365">
        <f t="shared" si="43"/>
        <v>12.55</v>
      </c>
      <c r="R87" s="365">
        <v>5.23</v>
      </c>
      <c r="S87" s="365">
        <v>6.26</v>
      </c>
      <c r="T87" s="365">
        <v>0.34</v>
      </c>
      <c r="U87" s="365">
        <v>0.72</v>
      </c>
      <c r="V87" s="365"/>
      <c r="W87" s="365">
        <f t="shared" si="44"/>
        <v>27.1804</v>
      </c>
      <c r="X87" s="365"/>
      <c r="Y87" s="365">
        <v>29.2734</v>
      </c>
      <c r="Z87" s="365">
        <v>17</v>
      </c>
      <c r="AA87" s="365"/>
      <c r="AB87" s="365">
        <v>9.157</v>
      </c>
      <c r="AC87" s="365">
        <v>0.75</v>
      </c>
      <c r="AD87" s="366">
        <v>-29</v>
      </c>
      <c r="AE87" s="365">
        <f t="shared" si="38"/>
        <v>163.7604</v>
      </c>
      <c r="AF87" s="365">
        <f t="shared" si="45"/>
        <v>96.24</v>
      </c>
      <c r="AG87" s="365">
        <f t="shared" si="49"/>
        <v>46.53</v>
      </c>
      <c r="AH87" s="365">
        <f t="shared" si="50"/>
        <v>38.92</v>
      </c>
      <c r="AI87" s="365">
        <f t="shared" si="51"/>
        <v>3.78</v>
      </c>
      <c r="AJ87" s="365">
        <f t="shared" si="52"/>
        <v>6.48</v>
      </c>
      <c r="AK87" s="365">
        <f t="shared" si="53"/>
        <v>0.53</v>
      </c>
      <c r="AL87" s="365">
        <f t="shared" si="46"/>
        <v>67.5204</v>
      </c>
      <c r="AM87" s="365">
        <f t="shared" si="54"/>
        <v>11.34</v>
      </c>
      <c r="AN87" s="365">
        <f t="shared" si="55"/>
        <v>29.2734</v>
      </c>
      <c r="AO87" s="365">
        <f t="shared" si="47"/>
        <v>17</v>
      </c>
      <c r="AP87" s="365">
        <f t="shared" si="56"/>
        <v>0</v>
      </c>
      <c r="AQ87" s="365">
        <f t="shared" si="48"/>
        <v>9.157</v>
      </c>
      <c r="AR87" s="365">
        <f t="shared" si="57"/>
        <v>0.75</v>
      </c>
      <c r="AS87" s="365">
        <f t="shared" si="58"/>
        <v>0</v>
      </c>
      <c r="AT87" s="363"/>
      <c r="AU87">
        <v>9.157</v>
      </c>
    </row>
    <row r="88" ht="24" spans="1:47">
      <c r="A88" s="284" t="s">
        <v>221</v>
      </c>
      <c r="B88" s="284" t="s">
        <v>199</v>
      </c>
      <c r="C88" s="284" t="s">
        <v>287</v>
      </c>
      <c r="D88" s="284" t="s">
        <v>213</v>
      </c>
      <c r="E88" s="365">
        <f t="shared" si="40"/>
        <v>0</v>
      </c>
      <c r="F88" s="365">
        <f t="shared" si="41"/>
        <v>0</v>
      </c>
      <c r="G88" s="365"/>
      <c r="H88" s="365"/>
      <c r="I88" s="365"/>
      <c r="J88" s="365"/>
      <c r="K88" s="365"/>
      <c r="L88" s="365">
        <f t="shared" si="42"/>
        <v>0</v>
      </c>
      <c r="M88" s="365"/>
      <c r="N88" s="365"/>
      <c r="O88" s="365"/>
      <c r="P88" s="365">
        <f t="shared" si="39"/>
        <v>0</v>
      </c>
      <c r="Q88" s="365">
        <f t="shared" si="43"/>
        <v>0</v>
      </c>
      <c r="R88" s="365"/>
      <c r="S88" s="365"/>
      <c r="T88" s="365"/>
      <c r="U88" s="365"/>
      <c r="V88" s="365"/>
      <c r="W88" s="365">
        <f t="shared" si="44"/>
        <v>0</v>
      </c>
      <c r="X88" s="365"/>
      <c r="Y88" s="365"/>
      <c r="Z88" s="365"/>
      <c r="AA88" s="365"/>
      <c r="AB88" s="365"/>
      <c r="AC88" s="365"/>
      <c r="AD88" s="366">
        <v>0</v>
      </c>
      <c r="AE88" s="365">
        <f t="shared" si="38"/>
        <v>0</v>
      </c>
      <c r="AF88" s="365">
        <f t="shared" si="45"/>
        <v>0</v>
      </c>
      <c r="AG88" s="365">
        <f t="shared" si="49"/>
        <v>0</v>
      </c>
      <c r="AH88" s="365">
        <f t="shared" si="50"/>
        <v>0</v>
      </c>
      <c r="AI88" s="365">
        <f t="shared" si="51"/>
        <v>0</v>
      </c>
      <c r="AJ88" s="365">
        <f t="shared" si="52"/>
        <v>0</v>
      </c>
      <c r="AK88" s="365">
        <f t="shared" si="53"/>
        <v>0</v>
      </c>
      <c r="AL88" s="365">
        <f t="shared" si="46"/>
        <v>0</v>
      </c>
      <c r="AM88" s="365">
        <f t="shared" si="54"/>
        <v>0</v>
      </c>
      <c r="AN88" s="365">
        <f t="shared" si="55"/>
        <v>0</v>
      </c>
      <c r="AO88" s="365">
        <f t="shared" si="47"/>
        <v>0</v>
      </c>
      <c r="AP88" s="365">
        <f t="shared" si="56"/>
        <v>0</v>
      </c>
      <c r="AQ88" s="365">
        <f t="shared" si="48"/>
        <v>0</v>
      </c>
      <c r="AR88" s="365">
        <f t="shared" si="57"/>
        <v>0</v>
      </c>
      <c r="AS88" s="365">
        <f t="shared" si="58"/>
        <v>0</v>
      </c>
      <c r="AT88" s="363"/>
      <c r="AU88">
        <v>2.375</v>
      </c>
    </row>
    <row r="89" ht="24" spans="1:47">
      <c r="A89" s="284" t="s">
        <v>221</v>
      </c>
      <c r="B89" s="284" t="s">
        <v>199</v>
      </c>
      <c r="C89" s="284" t="s">
        <v>288</v>
      </c>
      <c r="D89" s="284" t="s">
        <v>213</v>
      </c>
      <c r="E89" s="365">
        <f t="shared" si="40"/>
        <v>0</v>
      </c>
      <c r="F89" s="365">
        <f t="shared" si="41"/>
        <v>0</v>
      </c>
      <c r="G89" s="365"/>
      <c r="H89" s="365"/>
      <c r="I89" s="365"/>
      <c r="J89" s="365"/>
      <c r="K89" s="365"/>
      <c r="L89" s="365">
        <f t="shared" si="42"/>
        <v>0</v>
      </c>
      <c r="M89" s="365"/>
      <c r="N89" s="365"/>
      <c r="O89" s="365"/>
      <c r="P89" s="365">
        <f t="shared" si="39"/>
        <v>0</v>
      </c>
      <c r="Q89" s="365">
        <f t="shared" si="43"/>
        <v>0</v>
      </c>
      <c r="R89" s="365"/>
      <c r="S89" s="365"/>
      <c r="T89" s="365"/>
      <c r="U89" s="365"/>
      <c r="V89" s="365"/>
      <c r="W89" s="365">
        <f t="shared" si="44"/>
        <v>0</v>
      </c>
      <c r="X89" s="365"/>
      <c r="Y89" s="365"/>
      <c r="Z89" s="365"/>
      <c r="AA89" s="365"/>
      <c r="AB89" s="365"/>
      <c r="AC89" s="365"/>
      <c r="AD89" s="366">
        <v>0</v>
      </c>
      <c r="AE89" s="365">
        <f t="shared" si="38"/>
        <v>0</v>
      </c>
      <c r="AF89" s="365">
        <f t="shared" si="45"/>
        <v>0</v>
      </c>
      <c r="AG89" s="365">
        <f t="shared" si="49"/>
        <v>0</v>
      </c>
      <c r="AH89" s="365">
        <f t="shared" si="50"/>
        <v>0</v>
      </c>
      <c r="AI89" s="365">
        <f t="shared" si="51"/>
        <v>0</v>
      </c>
      <c r="AJ89" s="365">
        <f t="shared" si="52"/>
        <v>0</v>
      </c>
      <c r="AK89" s="365">
        <f t="shared" si="53"/>
        <v>0</v>
      </c>
      <c r="AL89" s="365">
        <f t="shared" si="46"/>
        <v>0</v>
      </c>
      <c r="AM89" s="365">
        <f t="shared" si="54"/>
        <v>0</v>
      </c>
      <c r="AN89" s="365">
        <f t="shared" si="55"/>
        <v>0</v>
      </c>
      <c r="AO89" s="365">
        <f t="shared" si="47"/>
        <v>0</v>
      </c>
      <c r="AP89" s="365">
        <f t="shared" si="56"/>
        <v>0</v>
      </c>
      <c r="AQ89" s="365">
        <f t="shared" si="48"/>
        <v>0</v>
      </c>
      <c r="AR89" s="365">
        <f t="shared" si="57"/>
        <v>0</v>
      </c>
      <c r="AS89" s="365">
        <f t="shared" si="58"/>
        <v>0</v>
      </c>
      <c r="AT89" s="363"/>
      <c r="AU89">
        <v>2.5</v>
      </c>
    </row>
    <row r="90" ht="24" spans="1:47">
      <c r="A90" s="284" t="s">
        <v>221</v>
      </c>
      <c r="B90" s="284" t="s">
        <v>199</v>
      </c>
      <c r="C90" s="284" t="s">
        <v>289</v>
      </c>
      <c r="D90" s="284" t="s">
        <v>213</v>
      </c>
      <c r="E90" s="365">
        <f t="shared" si="40"/>
        <v>0</v>
      </c>
      <c r="F90" s="365">
        <f t="shared" si="41"/>
        <v>0</v>
      </c>
      <c r="G90" s="365"/>
      <c r="H90" s="365"/>
      <c r="I90" s="365"/>
      <c r="J90" s="365"/>
      <c r="K90" s="365"/>
      <c r="L90" s="365">
        <f t="shared" si="42"/>
        <v>0</v>
      </c>
      <c r="M90" s="365"/>
      <c r="N90" s="365"/>
      <c r="O90" s="365"/>
      <c r="P90" s="365">
        <f t="shared" si="39"/>
        <v>0</v>
      </c>
      <c r="Q90" s="365">
        <f t="shared" si="43"/>
        <v>0</v>
      </c>
      <c r="R90" s="365"/>
      <c r="S90" s="365"/>
      <c r="T90" s="365"/>
      <c r="U90" s="365"/>
      <c r="V90" s="365"/>
      <c r="W90" s="365">
        <f t="shared" si="44"/>
        <v>0</v>
      </c>
      <c r="X90" s="365"/>
      <c r="Y90" s="365"/>
      <c r="Z90" s="365"/>
      <c r="AA90" s="365"/>
      <c r="AB90" s="365"/>
      <c r="AC90" s="365"/>
      <c r="AD90" s="366">
        <v>0</v>
      </c>
      <c r="AE90" s="365">
        <f t="shared" si="38"/>
        <v>0</v>
      </c>
      <c r="AF90" s="365">
        <f t="shared" si="45"/>
        <v>0</v>
      </c>
      <c r="AG90" s="365">
        <f t="shared" si="49"/>
        <v>0</v>
      </c>
      <c r="AH90" s="365">
        <f t="shared" si="50"/>
        <v>0</v>
      </c>
      <c r="AI90" s="365">
        <f t="shared" si="51"/>
        <v>0</v>
      </c>
      <c r="AJ90" s="365">
        <f t="shared" si="52"/>
        <v>0</v>
      </c>
      <c r="AK90" s="365">
        <f t="shared" si="53"/>
        <v>0</v>
      </c>
      <c r="AL90" s="365">
        <f t="shared" si="46"/>
        <v>0</v>
      </c>
      <c r="AM90" s="365">
        <f t="shared" si="54"/>
        <v>0</v>
      </c>
      <c r="AN90" s="365">
        <f t="shared" si="55"/>
        <v>0</v>
      </c>
      <c r="AO90" s="365">
        <f t="shared" si="47"/>
        <v>0</v>
      </c>
      <c r="AP90" s="365">
        <f t="shared" si="56"/>
        <v>0</v>
      </c>
      <c r="AQ90" s="365">
        <f t="shared" si="48"/>
        <v>0</v>
      </c>
      <c r="AR90" s="365">
        <f t="shared" si="57"/>
        <v>0</v>
      </c>
      <c r="AS90" s="365">
        <f t="shared" si="58"/>
        <v>0</v>
      </c>
      <c r="AT90" s="363"/>
      <c r="AU90">
        <v>5.4168</v>
      </c>
    </row>
    <row r="91" ht="24" spans="1:47">
      <c r="A91" s="284" t="s">
        <v>290</v>
      </c>
      <c r="B91" s="284" t="s">
        <v>196</v>
      </c>
      <c r="C91" s="284" t="s">
        <v>291</v>
      </c>
      <c r="D91" s="284" t="s">
        <v>292</v>
      </c>
      <c r="E91" s="365">
        <f t="shared" si="40"/>
        <v>281.25</v>
      </c>
      <c r="F91" s="365">
        <f t="shared" si="41"/>
        <v>155.11</v>
      </c>
      <c r="G91" s="365">
        <v>90.81</v>
      </c>
      <c r="H91" s="365">
        <v>56.47</v>
      </c>
      <c r="I91" s="365">
        <v>7.3</v>
      </c>
      <c r="J91" s="365"/>
      <c r="K91" s="365">
        <v>0.53</v>
      </c>
      <c r="L91" s="365">
        <f t="shared" si="42"/>
        <v>126.14</v>
      </c>
      <c r="M91" s="365">
        <v>37.14</v>
      </c>
      <c r="N91" s="365"/>
      <c r="O91" s="366">
        <v>89</v>
      </c>
      <c r="P91" s="365">
        <f t="shared" si="39"/>
        <v>56.2762</v>
      </c>
      <c r="Q91" s="365">
        <f t="shared" si="43"/>
        <v>-3.29</v>
      </c>
      <c r="R91" s="386">
        <v>-3.29</v>
      </c>
      <c r="S91" s="386"/>
      <c r="T91" s="386"/>
      <c r="U91" s="386"/>
      <c r="V91" s="386"/>
      <c r="W91" s="386">
        <f t="shared" si="44"/>
        <v>59.5662</v>
      </c>
      <c r="X91" s="386"/>
      <c r="Y91" s="386">
        <v>41.574</v>
      </c>
      <c r="Z91" s="386">
        <v>80</v>
      </c>
      <c r="AA91" s="386"/>
      <c r="AB91" s="386">
        <v>23.1922</v>
      </c>
      <c r="AC91" s="386">
        <v>3.8</v>
      </c>
      <c r="AD91" s="370">
        <v>-89</v>
      </c>
      <c r="AE91" s="365">
        <f t="shared" si="38"/>
        <v>337.5262</v>
      </c>
      <c r="AF91" s="365">
        <f t="shared" si="45"/>
        <v>151.82</v>
      </c>
      <c r="AG91" s="365">
        <f t="shared" si="49"/>
        <v>87.52</v>
      </c>
      <c r="AH91" s="365">
        <f t="shared" si="50"/>
        <v>56.47</v>
      </c>
      <c r="AI91" s="365">
        <f t="shared" si="51"/>
        <v>7.3</v>
      </c>
      <c r="AJ91" s="365">
        <f t="shared" si="52"/>
        <v>0</v>
      </c>
      <c r="AK91" s="365">
        <f t="shared" si="53"/>
        <v>0.53</v>
      </c>
      <c r="AL91" s="365">
        <f t="shared" si="46"/>
        <v>185.7062</v>
      </c>
      <c r="AM91" s="365">
        <f t="shared" si="54"/>
        <v>37.14</v>
      </c>
      <c r="AN91" s="365">
        <f t="shared" si="55"/>
        <v>41.574</v>
      </c>
      <c r="AO91" s="365">
        <f t="shared" si="47"/>
        <v>80</v>
      </c>
      <c r="AP91" s="365">
        <f t="shared" si="56"/>
        <v>0</v>
      </c>
      <c r="AQ91" s="365">
        <f t="shared" si="48"/>
        <v>23.1922</v>
      </c>
      <c r="AR91" s="365">
        <f t="shared" si="57"/>
        <v>3.8</v>
      </c>
      <c r="AS91" s="365">
        <f t="shared" si="58"/>
        <v>0</v>
      </c>
      <c r="AT91" s="363" t="s">
        <v>771</v>
      </c>
      <c r="AU91">
        <v>23.1922</v>
      </c>
    </row>
    <row r="92" ht="24" spans="1:47">
      <c r="A92" s="284" t="s">
        <v>290</v>
      </c>
      <c r="B92" s="284" t="s">
        <v>199</v>
      </c>
      <c r="C92" s="284" t="s">
        <v>293</v>
      </c>
      <c r="D92" s="284" t="s">
        <v>294</v>
      </c>
      <c r="E92" s="365">
        <f t="shared" si="40"/>
        <v>0</v>
      </c>
      <c r="F92" s="365">
        <f t="shared" si="41"/>
        <v>0</v>
      </c>
      <c r="G92" s="365"/>
      <c r="H92" s="365"/>
      <c r="I92" s="365"/>
      <c r="J92" s="365"/>
      <c r="K92" s="365"/>
      <c r="L92" s="365">
        <f t="shared" si="42"/>
        <v>0</v>
      </c>
      <c r="M92" s="365"/>
      <c r="N92" s="365"/>
      <c r="O92" s="365"/>
      <c r="P92" s="365">
        <f t="shared" si="39"/>
        <v>0</v>
      </c>
      <c r="Q92" s="365">
        <f t="shared" si="43"/>
        <v>0</v>
      </c>
      <c r="R92" s="386"/>
      <c r="S92" s="386"/>
      <c r="T92" s="386"/>
      <c r="U92" s="386"/>
      <c r="V92" s="386"/>
      <c r="W92" s="386">
        <f t="shared" si="44"/>
        <v>0</v>
      </c>
      <c r="X92" s="386"/>
      <c r="Y92" s="386"/>
      <c r="Z92" s="386"/>
      <c r="AA92" s="386"/>
      <c r="AB92" s="386"/>
      <c r="AC92" s="386"/>
      <c r="AD92" s="370">
        <v>0</v>
      </c>
      <c r="AE92" s="365">
        <f t="shared" si="38"/>
        <v>0</v>
      </c>
      <c r="AF92" s="365">
        <f t="shared" si="45"/>
        <v>0</v>
      </c>
      <c r="AG92" s="365">
        <f t="shared" si="49"/>
        <v>0</v>
      </c>
      <c r="AH92" s="365">
        <f t="shared" si="50"/>
        <v>0</v>
      </c>
      <c r="AI92" s="365">
        <f t="shared" si="51"/>
        <v>0</v>
      </c>
      <c r="AJ92" s="365">
        <f t="shared" si="52"/>
        <v>0</v>
      </c>
      <c r="AK92" s="365">
        <f t="shared" si="53"/>
        <v>0</v>
      </c>
      <c r="AL92" s="365">
        <f t="shared" si="46"/>
        <v>0</v>
      </c>
      <c r="AM92" s="365">
        <f t="shared" si="54"/>
        <v>0</v>
      </c>
      <c r="AN92" s="365">
        <f t="shared" si="55"/>
        <v>0</v>
      </c>
      <c r="AO92" s="365">
        <f t="shared" si="47"/>
        <v>0</v>
      </c>
      <c r="AP92" s="365">
        <f t="shared" si="56"/>
        <v>0</v>
      </c>
      <c r="AQ92" s="365">
        <f t="shared" si="48"/>
        <v>0</v>
      </c>
      <c r="AR92" s="365">
        <f t="shared" si="57"/>
        <v>0</v>
      </c>
      <c r="AS92" s="365">
        <f t="shared" si="58"/>
        <v>0</v>
      </c>
      <c r="AT92" s="363"/>
      <c r="AU92">
        <v>3.69</v>
      </c>
    </row>
    <row r="93" ht="24" spans="1:47">
      <c r="A93" s="284" t="s">
        <v>290</v>
      </c>
      <c r="B93" s="284" t="s">
        <v>199</v>
      </c>
      <c r="C93" s="284" t="s">
        <v>295</v>
      </c>
      <c r="D93" s="284" t="s">
        <v>294</v>
      </c>
      <c r="E93" s="365">
        <f t="shared" si="40"/>
        <v>0</v>
      </c>
      <c r="F93" s="365">
        <f t="shared" si="41"/>
        <v>0</v>
      </c>
      <c r="G93" s="365"/>
      <c r="H93" s="365"/>
      <c r="I93" s="365"/>
      <c r="J93" s="365"/>
      <c r="K93" s="365"/>
      <c r="L93" s="365">
        <f t="shared" si="42"/>
        <v>0</v>
      </c>
      <c r="M93" s="365"/>
      <c r="N93" s="365"/>
      <c r="O93" s="365"/>
      <c r="P93" s="365">
        <f t="shared" si="39"/>
        <v>0</v>
      </c>
      <c r="Q93" s="365">
        <f t="shared" si="43"/>
        <v>0</v>
      </c>
      <c r="R93" s="386"/>
      <c r="S93" s="386"/>
      <c r="T93" s="386"/>
      <c r="U93" s="386"/>
      <c r="V93" s="386"/>
      <c r="W93" s="386">
        <f t="shared" si="44"/>
        <v>0</v>
      </c>
      <c r="X93" s="386"/>
      <c r="Y93" s="386"/>
      <c r="Z93" s="386"/>
      <c r="AA93" s="386"/>
      <c r="AB93" s="386"/>
      <c r="AC93" s="386"/>
      <c r="AD93" s="370">
        <v>0</v>
      </c>
      <c r="AE93" s="365">
        <f t="shared" si="38"/>
        <v>0</v>
      </c>
      <c r="AF93" s="365">
        <f t="shared" si="45"/>
        <v>0</v>
      </c>
      <c r="AG93" s="365">
        <f t="shared" si="49"/>
        <v>0</v>
      </c>
      <c r="AH93" s="365">
        <f t="shared" si="50"/>
        <v>0</v>
      </c>
      <c r="AI93" s="365">
        <f t="shared" si="51"/>
        <v>0</v>
      </c>
      <c r="AJ93" s="365">
        <f t="shared" si="52"/>
        <v>0</v>
      </c>
      <c r="AK93" s="365">
        <f t="shared" si="53"/>
        <v>0</v>
      </c>
      <c r="AL93" s="365">
        <f t="shared" si="46"/>
        <v>0</v>
      </c>
      <c r="AM93" s="365">
        <f t="shared" si="54"/>
        <v>0</v>
      </c>
      <c r="AN93" s="365">
        <f t="shared" si="55"/>
        <v>0</v>
      </c>
      <c r="AO93" s="365">
        <f t="shared" si="47"/>
        <v>0</v>
      </c>
      <c r="AP93" s="365">
        <f t="shared" si="56"/>
        <v>0</v>
      </c>
      <c r="AQ93" s="365">
        <f t="shared" si="48"/>
        <v>0</v>
      </c>
      <c r="AR93" s="365">
        <f t="shared" si="57"/>
        <v>0</v>
      </c>
      <c r="AS93" s="365">
        <f t="shared" si="58"/>
        <v>0</v>
      </c>
      <c r="AT93" s="351"/>
      <c r="AU93">
        <v>2.5</v>
      </c>
    </row>
    <row r="94" ht="24" spans="1:47">
      <c r="A94" s="284" t="s">
        <v>290</v>
      </c>
      <c r="B94" s="284" t="s">
        <v>199</v>
      </c>
      <c r="C94" s="284" t="s">
        <v>296</v>
      </c>
      <c r="D94" s="284" t="s">
        <v>294</v>
      </c>
      <c r="E94" s="365">
        <f t="shared" si="40"/>
        <v>0</v>
      </c>
      <c r="F94" s="365">
        <f t="shared" si="41"/>
        <v>0</v>
      </c>
      <c r="G94" s="365"/>
      <c r="H94" s="365"/>
      <c r="I94" s="365"/>
      <c r="J94" s="365"/>
      <c r="K94" s="365"/>
      <c r="L94" s="365">
        <f t="shared" si="42"/>
        <v>0</v>
      </c>
      <c r="M94" s="365"/>
      <c r="N94" s="365"/>
      <c r="O94" s="365"/>
      <c r="P94" s="365">
        <f t="shared" si="39"/>
        <v>0</v>
      </c>
      <c r="Q94" s="365">
        <f t="shared" si="43"/>
        <v>0</v>
      </c>
      <c r="R94" s="386"/>
      <c r="S94" s="386"/>
      <c r="T94" s="386"/>
      <c r="U94" s="386"/>
      <c r="V94" s="386"/>
      <c r="W94" s="386">
        <f t="shared" si="44"/>
        <v>0</v>
      </c>
      <c r="X94" s="386"/>
      <c r="Y94" s="386"/>
      <c r="Z94" s="386"/>
      <c r="AA94" s="386"/>
      <c r="AB94" s="386"/>
      <c r="AC94" s="386"/>
      <c r="AD94" s="370">
        <v>0</v>
      </c>
      <c r="AE94" s="365">
        <f t="shared" si="38"/>
        <v>0</v>
      </c>
      <c r="AF94" s="365">
        <f t="shared" si="45"/>
        <v>0</v>
      </c>
      <c r="AG94" s="365">
        <f t="shared" si="49"/>
        <v>0</v>
      </c>
      <c r="AH94" s="365">
        <f t="shared" si="50"/>
        <v>0</v>
      </c>
      <c r="AI94" s="365">
        <f t="shared" si="51"/>
        <v>0</v>
      </c>
      <c r="AJ94" s="365">
        <f t="shared" si="52"/>
        <v>0</v>
      </c>
      <c r="AK94" s="365">
        <f t="shared" si="53"/>
        <v>0</v>
      </c>
      <c r="AL94" s="365">
        <f t="shared" si="46"/>
        <v>0</v>
      </c>
      <c r="AM94" s="365">
        <f t="shared" si="54"/>
        <v>0</v>
      </c>
      <c r="AN94" s="365">
        <f t="shared" si="55"/>
        <v>0</v>
      </c>
      <c r="AO94" s="365">
        <f t="shared" si="47"/>
        <v>0</v>
      </c>
      <c r="AP94" s="365">
        <f t="shared" si="56"/>
        <v>0</v>
      </c>
      <c r="AQ94" s="365">
        <f t="shared" si="48"/>
        <v>0</v>
      </c>
      <c r="AR94" s="365">
        <f t="shared" si="57"/>
        <v>0</v>
      </c>
      <c r="AS94" s="365">
        <f t="shared" si="58"/>
        <v>0</v>
      </c>
      <c r="AT94" s="363"/>
      <c r="AU94">
        <v>1.5</v>
      </c>
    </row>
    <row r="95" ht="24" spans="1:47">
      <c r="A95" s="284" t="s">
        <v>290</v>
      </c>
      <c r="B95" s="284" t="s">
        <v>199</v>
      </c>
      <c r="C95" s="284" t="s">
        <v>297</v>
      </c>
      <c r="D95" s="284" t="s">
        <v>294</v>
      </c>
      <c r="E95" s="365">
        <f t="shared" si="40"/>
        <v>0</v>
      </c>
      <c r="F95" s="365">
        <f t="shared" si="41"/>
        <v>0</v>
      </c>
      <c r="G95" s="365"/>
      <c r="H95" s="365"/>
      <c r="I95" s="365"/>
      <c r="J95" s="365"/>
      <c r="K95" s="365"/>
      <c r="L95" s="365">
        <f t="shared" si="42"/>
        <v>0</v>
      </c>
      <c r="M95" s="365"/>
      <c r="N95" s="365"/>
      <c r="O95" s="365"/>
      <c r="P95" s="365">
        <f t="shared" si="39"/>
        <v>0</v>
      </c>
      <c r="Q95" s="365">
        <f t="shared" si="43"/>
        <v>0</v>
      </c>
      <c r="R95" s="386"/>
      <c r="S95" s="386"/>
      <c r="T95" s="386"/>
      <c r="U95" s="386"/>
      <c r="V95" s="386"/>
      <c r="W95" s="386">
        <f t="shared" si="44"/>
        <v>0</v>
      </c>
      <c r="X95" s="386"/>
      <c r="Y95" s="386"/>
      <c r="Z95" s="386"/>
      <c r="AA95" s="386"/>
      <c r="AB95" s="386"/>
      <c r="AC95" s="386"/>
      <c r="AD95" s="370">
        <v>0</v>
      </c>
      <c r="AE95" s="365">
        <f t="shared" si="38"/>
        <v>0</v>
      </c>
      <c r="AF95" s="365">
        <f t="shared" si="45"/>
        <v>0</v>
      </c>
      <c r="AG95" s="365">
        <f t="shared" si="49"/>
        <v>0</v>
      </c>
      <c r="AH95" s="365">
        <f t="shared" si="50"/>
        <v>0</v>
      </c>
      <c r="AI95" s="365">
        <f t="shared" si="51"/>
        <v>0</v>
      </c>
      <c r="AJ95" s="365">
        <f t="shared" si="52"/>
        <v>0</v>
      </c>
      <c r="AK95" s="365">
        <f t="shared" si="53"/>
        <v>0</v>
      </c>
      <c r="AL95" s="365">
        <f t="shared" si="46"/>
        <v>0</v>
      </c>
      <c r="AM95" s="365">
        <f t="shared" si="54"/>
        <v>0</v>
      </c>
      <c r="AN95" s="365">
        <f t="shared" si="55"/>
        <v>0</v>
      </c>
      <c r="AO95" s="365">
        <f t="shared" si="47"/>
        <v>0</v>
      </c>
      <c r="AP95" s="365">
        <f t="shared" si="56"/>
        <v>0</v>
      </c>
      <c r="AQ95" s="365">
        <f t="shared" si="48"/>
        <v>0</v>
      </c>
      <c r="AR95" s="365">
        <f t="shared" si="57"/>
        <v>0</v>
      </c>
      <c r="AS95" s="365">
        <f t="shared" si="58"/>
        <v>0</v>
      </c>
      <c r="AT95" s="351"/>
      <c r="AU95">
        <v>3</v>
      </c>
    </row>
    <row r="96" ht="24" spans="1:47">
      <c r="A96" s="284" t="s">
        <v>290</v>
      </c>
      <c r="B96" s="284" t="s">
        <v>199</v>
      </c>
      <c r="C96" s="284" t="s">
        <v>298</v>
      </c>
      <c r="D96" s="284" t="s">
        <v>294</v>
      </c>
      <c r="E96" s="365">
        <f t="shared" si="40"/>
        <v>0</v>
      </c>
      <c r="F96" s="365">
        <f t="shared" si="41"/>
        <v>0</v>
      </c>
      <c r="G96" s="365"/>
      <c r="H96" s="365"/>
      <c r="I96" s="365"/>
      <c r="J96" s="365"/>
      <c r="K96" s="365"/>
      <c r="L96" s="365">
        <f t="shared" si="42"/>
        <v>0</v>
      </c>
      <c r="M96" s="365"/>
      <c r="N96" s="365"/>
      <c r="O96" s="365"/>
      <c r="P96" s="365">
        <f t="shared" si="39"/>
        <v>0</v>
      </c>
      <c r="Q96" s="365">
        <f t="shared" si="43"/>
        <v>0</v>
      </c>
      <c r="R96" s="386"/>
      <c r="S96" s="386"/>
      <c r="T96" s="386"/>
      <c r="U96" s="386"/>
      <c r="V96" s="386"/>
      <c r="W96" s="386">
        <f t="shared" si="44"/>
        <v>0</v>
      </c>
      <c r="X96" s="386"/>
      <c r="Y96" s="386"/>
      <c r="Z96" s="386"/>
      <c r="AA96" s="386"/>
      <c r="AB96" s="386"/>
      <c r="AC96" s="386"/>
      <c r="AD96" s="370">
        <v>0</v>
      </c>
      <c r="AE96" s="365">
        <f t="shared" si="38"/>
        <v>0</v>
      </c>
      <c r="AF96" s="365">
        <f t="shared" si="45"/>
        <v>0</v>
      </c>
      <c r="AG96" s="365">
        <f t="shared" si="49"/>
        <v>0</v>
      </c>
      <c r="AH96" s="365">
        <f t="shared" si="50"/>
        <v>0</v>
      </c>
      <c r="AI96" s="365">
        <f t="shared" si="51"/>
        <v>0</v>
      </c>
      <c r="AJ96" s="365">
        <f t="shared" si="52"/>
        <v>0</v>
      </c>
      <c r="AK96" s="365">
        <f t="shared" si="53"/>
        <v>0</v>
      </c>
      <c r="AL96" s="365">
        <f t="shared" si="46"/>
        <v>0</v>
      </c>
      <c r="AM96" s="365">
        <f t="shared" si="54"/>
        <v>0</v>
      </c>
      <c r="AN96" s="365">
        <f t="shared" si="55"/>
        <v>0</v>
      </c>
      <c r="AO96" s="365">
        <f t="shared" si="47"/>
        <v>0</v>
      </c>
      <c r="AP96" s="365">
        <f t="shared" si="56"/>
        <v>0</v>
      </c>
      <c r="AQ96" s="365">
        <f t="shared" si="48"/>
        <v>0</v>
      </c>
      <c r="AR96" s="365">
        <f t="shared" si="57"/>
        <v>0</v>
      </c>
      <c r="AS96" s="365">
        <f t="shared" si="58"/>
        <v>0</v>
      </c>
      <c r="AT96" s="363"/>
      <c r="AU96">
        <v>3.5</v>
      </c>
    </row>
    <row r="97" ht="24" spans="1:47">
      <c r="A97" s="284" t="s">
        <v>195</v>
      </c>
      <c r="B97" s="284" t="s">
        <v>196</v>
      </c>
      <c r="C97" s="284" t="s">
        <v>299</v>
      </c>
      <c r="D97" s="284" t="s">
        <v>300</v>
      </c>
      <c r="E97" s="365">
        <f t="shared" si="40"/>
        <v>291.99</v>
      </c>
      <c r="F97" s="365">
        <f t="shared" si="41"/>
        <v>79.56</v>
      </c>
      <c r="G97" s="365">
        <v>45.49</v>
      </c>
      <c r="H97" s="365">
        <v>30.28</v>
      </c>
      <c r="I97" s="365">
        <v>3.79</v>
      </c>
      <c r="J97" s="365"/>
      <c r="K97" s="365"/>
      <c r="L97" s="365">
        <f t="shared" si="42"/>
        <v>212.43</v>
      </c>
      <c r="M97" s="365">
        <v>7.43</v>
      </c>
      <c r="N97" s="365"/>
      <c r="O97" s="365">
        <v>205</v>
      </c>
      <c r="P97" s="365">
        <f t="shared" si="39"/>
        <v>-152.0057</v>
      </c>
      <c r="Q97" s="365">
        <f t="shared" si="43"/>
        <v>-5.18</v>
      </c>
      <c r="R97" s="365">
        <v>-6.91</v>
      </c>
      <c r="S97" s="365">
        <v>1.82</v>
      </c>
      <c r="T97" s="365">
        <v>-0.09</v>
      </c>
      <c r="U97" s="365"/>
      <c r="V97" s="365"/>
      <c r="W97" s="386">
        <f t="shared" ref="W97:W102" si="59">SUM(X97:AD97)</f>
        <v>-146.8257</v>
      </c>
      <c r="X97" s="365"/>
      <c r="Y97" s="365">
        <v>25.89</v>
      </c>
      <c r="Z97" s="365">
        <v>9</v>
      </c>
      <c r="AA97" s="365"/>
      <c r="AB97" s="365">
        <v>22.3843</v>
      </c>
      <c r="AC97" s="365">
        <v>0.9</v>
      </c>
      <c r="AD97" s="366">
        <v>-205</v>
      </c>
      <c r="AE97" s="365">
        <f t="shared" si="38"/>
        <v>139.9843</v>
      </c>
      <c r="AF97" s="365">
        <f t="shared" si="45"/>
        <v>74.38</v>
      </c>
      <c r="AG97" s="365">
        <f t="shared" si="49"/>
        <v>38.58</v>
      </c>
      <c r="AH97" s="365">
        <f t="shared" si="50"/>
        <v>32.1</v>
      </c>
      <c r="AI97" s="365">
        <f t="shared" si="51"/>
        <v>3.7</v>
      </c>
      <c r="AJ97" s="365">
        <f t="shared" si="52"/>
        <v>0</v>
      </c>
      <c r="AK97" s="365">
        <f t="shared" si="53"/>
        <v>0</v>
      </c>
      <c r="AL97" s="365">
        <f t="shared" si="46"/>
        <v>65.6043</v>
      </c>
      <c r="AM97" s="365">
        <f t="shared" si="54"/>
        <v>7.43</v>
      </c>
      <c r="AN97" s="365">
        <f t="shared" si="55"/>
        <v>25.89</v>
      </c>
      <c r="AO97" s="365">
        <f t="shared" si="47"/>
        <v>9</v>
      </c>
      <c r="AP97" s="365">
        <f t="shared" si="56"/>
        <v>0</v>
      </c>
      <c r="AQ97" s="365">
        <f t="shared" si="48"/>
        <v>22.3843</v>
      </c>
      <c r="AR97" s="365">
        <f t="shared" si="57"/>
        <v>0.9</v>
      </c>
      <c r="AS97" s="365">
        <f t="shared" si="58"/>
        <v>0</v>
      </c>
      <c r="AT97" s="350" t="s">
        <v>772</v>
      </c>
      <c r="AU97">
        <v>22.3843</v>
      </c>
    </row>
    <row r="98" ht="24" spans="1:46">
      <c r="A98" s="284" t="s">
        <v>195</v>
      </c>
      <c r="B98" s="284" t="s">
        <v>196</v>
      </c>
      <c r="C98" s="284" t="s">
        <v>301</v>
      </c>
      <c r="D98" s="284" t="s">
        <v>300</v>
      </c>
      <c r="E98" s="365">
        <f t="shared" si="40"/>
        <v>42.41</v>
      </c>
      <c r="F98" s="365">
        <f t="shared" si="41"/>
        <v>42.41</v>
      </c>
      <c r="G98" s="365">
        <v>24.11</v>
      </c>
      <c r="H98" s="365">
        <v>16.29</v>
      </c>
      <c r="I98" s="365">
        <v>2.01</v>
      </c>
      <c r="J98" s="365"/>
      <c r="K98" s="365"/>
      <c r="L98" s="365">
        <f t="shared" si="42"/>
        <v>0</v>
      </c>
      <c r="M98" s="365"/>
      <c r="N98" s="365"/>
      <c r="O98" s="365"/>
      <c r="P98" s="365">
        <f t="shared" si="39"/>
        <v>19.7</v>
      </c>
      <c r="Q98" s="365">
        <f t="shared" si="43"/>
        <v>-1.32</v>
      </c>
      <c r="R98" s="365">
        <v>-1.6</v>
      </c>
      <c r="S98" s="365">
        <v>0.12</v>
      </c>
      <c r="T98" s="365">
        <v>0.16</v>
      </c>
      <c r="U98" s="365"/>
      <c r="V98" s="365"/>
      <c r="W98" s="386">
        <f t="shared" si="59"/>
        <v>21.02</v>
      </c>
      <c r="X98" s="365"/>
      <c r="Y98" s="365">
        <v>15.02</v>
      </c>
      <c r="Z98" s="365">
        <v>6</v>
      </c>
      <c r="AA98" s="365"/>
      <c r="AB98" s="365"/>
      <c r="AC98" s="365"/>
      <c r="AD98" s="366">
        <v>0</v>
      </c>
      <c r="AE98" s="365">
        <f t="shared" si="38"/>
        <v>62.11</v>
      </c>
      <c r="AF98" s="365">
        <f t="shared" si="45"/>
        <v>41.09</v>
      </c>
      <c r="AG98" s="365">
        <f t="shared" si="49"/>
        <v>22.51</v>
      </c>
      <c r="AH98" s="365">
        <f t="shared" si="50"/>
        <v>16.41</v>
      </c>
      <c r="AI98" s="365">
        <f t="shared" si="51"/>
        <v>2.17</v>
      </c>
      <c r="AJ98" s="365">
        <f t="shared" si="52"/>
        <v>0</v>
      </c>
      <c r="AK98" s="365">
        <f t="shared" si="53"/>
        <v>0</v>
      </c>
      <c r="AL98" s="365">
        <f t="shared" si="46"/>
        <v>21.02</v>
      </c>
      <c r="AM98" s="365">
        <f t="shared" si="54"/>
        <v>0</v>
      </c>
      <c r="AN98" s="365">
        <f t="shared" si="55"/>
        <v>15.02</v>
      </c>
      <c r="AO98" s="365">
        <f t="shared" si="47"/>
        <v>6</v>
      </c>
      <c r="AP98" s="365">
        <f t="shared" si="56"/>
        <v>0</v>
      </c>
      <c r="AQ98" s="365">
        <f t="shared" si="48"/>
        <v>0</v>
      </c>
      <c r="AR98" s="365">
        <f t="shared" si="57"/>
        <v>0</v>
      </c>
      <c r="AS98" s="365">
        <f t="shared" si="58"/>
        <v>0</v>
      </c>
      <c r="AT98" s="363"/>
    </row>
    <row r="99" ht="24" spans="1:46">
      <c r="A99" s="284" t="s">
        <v>195</v>
      </c>
      <c r="B99" s="284" t="s">
        <v>196</v>
      </c>
      <c r="C99" s="284" t="s">
        <v>302</v>
      </c>
      <c r="D99" s="284" t="s">
        <v>300</v>
      </c>
      <c r="E99" s="365">
        <f t="shared" si="40"/>
        <v>30.15</v>
      </c>
      <c r="F99" s="365">
        <f t="shared" si="41"/>
        <v>30.15</v>
      </c>
      <c r="G99" s="365">
        <v>17.48</v>
      </c>
      <c r="H99" s="365">
        <v>11.21</v>
      </c>
      <c r="I99" s="365">
        <v>1.46</v>
      </c>
      <c r="J99" s="365"/>
      <c r="K99" s="365"/>
      <c r="L99" s="365">
        <f t="shared" si="42"/>
        <v>0</v>
      </c>
      <c r="M99" s="365"/>
      <c r="N99" s="365"/>
      <c r="O99" s="365"/>
      <c r="P99" s="365">
        <f t="shared" si="39"/>
        <v>21</v>
      </c>
      <c r="Q99" s="365">
        <f t="shared" si="43"/>
        <v>6.66</v>
      </c>
      <c r="R99" s="365">
        <v>4.76</v>
      </c>
      <c r="S99" s="365">
        <v>1.77</v>
      </c>
      <c r="T99" s="365">
        <v>0.13</v>
      </c>
      <c r="U99" s="365"/>
      <c r="V99" s="365"/>
      <c r="W99" s="386">
        <f t="shared" si="59"/>
        <v>14.34</v>
      </c>
      <c r="X99" s="365"/>
      <c r="Y99" s="365">
        <v>11.34</v>
      </c>
      <c r="Z99" s="365">
        <v>3</v>
      </c>
      <c r="AA99" s="365"/>
      <c r="AB99" s="365"/>
      <c r="AC99" s="365"/>
      <c r="AD99" s="366">
        <v>0</v>
      </c>
      <c r="AE99" s="365">
        <f t="shared" si="38"/>
        <v>51.15</v>
      </c>
      <c r="AF99" s="365">
        <f t="shared" si="45"/>
        <v>36.81</v>
      </c>
      <c r="AG99" s="365">
        <f t="shared" si="49"/>
        <v>22.24</v>
      </c>
      <c r="AH99" s="365">
        <f t="shared" si="50"/>
        <v>12.98</v>
      </c>
      <c r="AI99" s="365">
        <f t="shared" si="51"/>
        <v>1.59</v>
      </c>
      <c r="AJ99" s="365">
        <f t="shared" si="52"/>
        <v>0</v>
      </c>
      <c r="AK99" s="365">
        <f t="shared" si="53"/>
        <v>0</v>
      </c>
      <c r="AL99" s="365">
        <f t="shared" si="46"/>
        <v>14.34</v>
      </c>
      <c r="AM99" s="365">
        <f t="shared" si="54"/>
        <v>0</v>
      </c>
      <c r="AN99" s="365">
        <f t="shared" si="55"/>
        <v>11.34</v>
      </c>
      <c r="AO99" s="365">
        <f t="shared" si="47"/>
        <v>3</v>
      </c>
      <c r="AP99" s="365">
        <f t="shared" si="56"/>
        <v>0</v>
      </c>
      <c r="AQ99" s="365">
        <f t="shared" si="48"/>
        <v>0</v>
      </c>
      <c r="AR99" s="365">
        <f t="shared" si="57"/>
        <v>0</v>
      </c>
      <c r="AS99" s="365">
        <f t="shared" si="58"/>
        <v>0</v>
      </c>
      <c r="AT99" s="363"/>
    </row>
    <row r="100" ht="24" spans="1:46">
      <c r="A100" s="284" t="s">
        <v>195</v>
      </c>
      <c r="B100" s="284" t="s">
        <v>196</v>
      </c>
      <c r="C100" s="284" t="s">
        <v>303</v>
      </c>
      <c r="D100" s="284" t="s">
        <v>300</v>
      </c>
      <c r="E100" s="365">
        <f t="shared" si="40"/>
        <v>12.92</v>
      </c>
      <c r="F100" s="365">
        <f t="shared" si="41"/>
        <v>12.92</v>
      </c>
      <c r="G100" s="365">
        <v>7.03</v>
      </c>
      <c r="H100" s="365">
        <v>5.3</v>
      </c>
      <c r="I100" s="365">
        <v>0.59</v>
      </c>
      <c r="J100" s="365"/>
      <c r="K100" s="365"/>
      <c r="L100" s="365">
        <f t="shared" si="42"/>
        <v>0</v>
      </c>
      <c r="M100" s="365"/>
      <c r="N100" s="365"/>
      <c r="O100" s="365"/>
      <c r="P100" s="365">
        <f t="shared" si="39"/>
        <v>6.5</v>
      </c>
      <c r="Q100" s="365">
        <f t="shared" si="43"/>
        <v>-1</v>
      </c>
      <c r="R100" s="365">
        <v>-1.11</v>
      </c>
      <c r="S100" s="365">
        <v>0.06</v>
      </c>
      <c r="T100" s="365">
        <v>0.05</v>
      </c>
      <c r="U100" s="365"/>
      <c r="V100" s="365"/>
      <c r="W100" s="386">
        <f t="shared" si="59"/>
        <v>7.5</v>
      </c>
      <c r="X100" s="365"/>
      <c r="Y100" s="365">
        <v>5.5</v>
      </c>
      <c r="Z100" s="365">
        <v>2</v>
      </c>
      <c r="AA100" s="365"/>
      <c r="AB100" s="365"/>
      <c r="AC100" s="365"/>
      <c r="AD100" s="366">
        <v>0</v>
      </c>
      <c r="AE100" s="365">
        <f t="shared" si="38"/>
        <v>19.42</v>
      </c>
      <c r="AF100" s="365">
        <f t="shared" si="45"/>
        <v>11.92</v>
      </c>
      <c r="AG100" s="365">
        <f t="shared" si="49"/>
        <v>5.92</v>
      </c>
      <c r="AH100" s="365">
        <f t="shared" si="50"/>
        <v>5.36</v>
      </c>
      <c r="AI100" s="365">
        <f t="shared" si="51"/>
        <v>0.64</v>
      </c>
      <c r="AJ100" s="365">
        <f t="shared" si="52"/>
        <v>0</v>
      </c>
      <c r="AK100" s="365">
        <f t="shared" si="53"/>
        <v>0</v>
      </c>
      <c r="AL100" s="365">
        <f t="shared" si="46"/>
        <v>7.5</v>
      </c>
      <c r="AM100" s="365">
        <f t="shared" si="54"/>
        <v>0</v>
      </c>
      <c r="AN100" s="365">
        <f t="shared" si="55"/>
        <v>5.5</v>
      </c>
      <c r="AO100" s="365">
        <f t="shared" si="47"/>
        <v>2</v>
      </c>
      <c r="AP100" s="365">
        <f t="shared" si="56"/>
        <v>0</v>
      </c>
      <c r="AQ100" s="365">
        <f t="shared" si="48"/>
        <v>0</v>
      </c>
      <c r="AR100" s="365">
        <f t="shared" si="57"/>
        <v>0</v>
      </c>
      <c r="AS100" s="365">
        <f t="shared" si="58"/>
        <v>0</v>
      </c>
      <c r="AT100" s="363"/>
    </row>
    <row r="101" ht="24" spans="1:46">
      <c r="A101" s="284" t="s">
        <v>195</v>
      </c>
      <c r="B101" s="284" t="s">
        <v>199</v>
      </c>
      <c r="C101" s="284" t="s">
        <v>304</v>
      </c>
      <c r="D101" s="284" t="s">
        <v>305</v>
      </c>
      <c r="E101" s="365">
        <f t="shared" si="40"/>
        <v>0</v>
      </c>
      <c r="F101" s="365">
        <f t="shared" si="41"/>
        <v>0</v>
      </c>
      <c r="G101" s="365"/>
      <c r="H101" s="365"/>
      <c r="I101" s="365"/>
      <c r="J101" s="365"/>
      <c r="K101" s="365"/>
      <c r="L101" s="365">
        <f t="shared" si="42"/>
        <v>0</v>
      </c>
      <c r="M101" s="365"/>
      <c r="N101" s="365"/>
      <c r="O101" s="365"/>
      <c r="P101" s="365">
        <f t="shared" si="39"/>
        <v>0</v>
      </c>
      <c r="Q101" s="365">
        <f t="shared" si="43"/>
        <v>0</v>
      </c>
      <c r="R101" s="365"/>
      <c r="S101" s="365"/>
      <c r="T101" s="365"/>
      <c r="U101" s="365"/>
      <c r="V101" s="365"/>
      <c r="W101" s="386">
        <f t="shared" si="59"/>
        <v>0</v>
      </c>
      <c r="X101" s="365"/>
      <c r="Y101" s="365"/>
      <c r="Z101" s="365"/>
      <c r="AA101" s="365"/>
      <c r="AB101" s="365"/>
      <c r="AC101" s="365"/>
      <c r="AD101" s="366">
        <v>0</v>
      </c>
      <c r="AE101" s="365">
        <f t="shared" si="38"/>
        <v>0</v>
      </c>
      <c r="AF101" s="365">
        <f t="shared" si="45"/>
        <v>0</v>
      </c>
      <c r="AG101" s="365">
        <f t="shared" si="49"/>
        <v>0</v>
      </c>
      <c r="AH101" s="365">
        <f t="shared" si="50"/>
        <v>0</v>
      </c>
      <c r="AI101" s="365">
        <f t="shared" si="51"/>
        <v>0</v>
      </c>
      <c r="AJ101" s="365">
        <f t="shared" si="52"/>
        <v>0</v>
      </c>
      <c r="AK101" s="365">
        <f t="shared" si="53"/>
        <v>0</v>
      </c>
      <c r="AL101" s="365">
        <f t="shared" si="46"/>
        <v>0</v>
      </c>
      <c r="AM101" s="365">
        <f t="shared" si="54"/>
        <v>0</v>
      </c>
      <c r="AN101" s="365">
        <f t="shared" si="55"/>
        <v>0</v>
      </c>
      <c r="AO101" s="365">
        <f t="shared" si="47"/>
        <v>0</v>
      </c>
      <c r="AP101" s="365">
        <f t="shared" si="56"/>
        <v>0</v>
      </c>
      <c r="AQ101" s="365">
        <f t="shared" si="48"/>
        <v>0</v>
      </c>
      <c r="AR101" s="365">
        <f t="shared" si="57"/>
        <v>0</v>
      </c>
      <c r="AS101" s="365">
        <f t="shared" si="58"/>
        <v>0</v>
      </c>
      <c r="AT101" s="363"/>
    </row>
    <row r="102" ht="24" spans="1:47">
      <c r="A102" s="284" t="s">
        <v>221</v>
      </c>
      <c r="B102" s="284" t="s">
        <v>196</v>
      </c>
      <c r="C102" s="284" t="s">
        <v>306</v>
      </c>
      <c r="D102" s="284" t="s">
        <v>307</v>
      </c>
      <c r="E102" s="365">
        <f t="shared" si="40"/>
        <v>308.35</v>
      </c>
      <c r="F102" s="365">
        <f t="shared" si="41"/>
        <v>188.44</v>
      </c>
      <c r="G102" s="365">
        <v>107.14</v>
      </c>
      <c r="H102" s="365">
        <v>70.69</v>
      </c>
      <c r="I102" s="365">
        <v>9.82</v>
      </c>
      <c r="J102" s="365"/>
      <c r="K102" s="365">
        <v>0.79</v>
      </c>
      <c r="L102" s="365">
        <f t="shared" si="42"/>
        <v>119.91</v>
      </c>
      <c r="M102" s="365">
        <v>9.91</v>
      </c>
      <c r="N102" s="365"/>
      <c r="O102" s="366">
        <v>110</v>
      </c>
      <c r="P102" s="365">
        <f t="shared" si="39"/>
        <v>-12.559</v>
      </c>
      <c r="Q102" s="365">
        <f t="shared" si="43"/>
        <v>-11.48</v>
      </c>
      <c r="R102" s="365">
        <v>-10.38</v>
      </c>
      <c r="S102" s="365"/>
      <c r="T102" s="365">
        <v>-1.1</v>
      </c>
      <c r="U102" s="365"/>
      <c r="V102" s="365"/>
      <c r="W102" s="386">
        <f t="shared" si="59"/>
        <v>-1.07899999999999</v>
      </c>
      <c r="X102" s="365"/>
      <c r="Y102" s="365">
        <v>46.8952</v>
      </c>
      <c r="Z102" s="365">
        <v>40</v>
      </c>
      <c r="AA102" s="365"/>
      <c r="AB102" s="365">
        <v>21.1258</v>
      </c>
      <c r="AC102" s="365">
        <v>0.9</v>
      </c>
      <c r="AD102" s="366">
        <v>-110</v>
      </c>
      <c r="AE102" s="365">
        <f t="shared" si="38"/>
        <v>295.791</v>
      </c>
      <c r="AF102" s="365">
        <f t="shared" si="45"/>
        <v>176.96</v>
      </c>
      <c r="AG102" s="365">
        <f t="shared" si="49"/>
        <v>96.76</v>
      </c>
      <c r="AH102" s="365">
        <f t="shared" si="50"/>
        <v>70.69</v>
      </c>
      <c r="AI102" s="365">
        <f t="shared" si="51"/>
        <v>8.72</v>
      </c>
      <c r="AJ102" s="365">
        <f t="shared" si="52"/>
        <v>0</v>
      </c>
      <c r="AK102" s="365">
        <f t="shared" si="53"/>
        <v>0.79</v>
      </c>
      <c r="AL102" s="365">
        <f t="shared" si="46"/>
        <v>118.831</v>
      </c>
      <c r="AM102" s="365">
        <f t="shared" si="54"/>
        <v>9.91</v>
      </c>
      <c r="AN102" s="365">
        <f t="shared" si="55"/>
        <v>46.8952</v>
      </c>
      <c r="AO102" s="365">
        <f t="shared" si="47"/>
        <v>40</v>
      </c>
      <c r="AP102" s="365">
        <f t="shared" si="56"/>
        <v>0</v>
      </c>
      <c r="AQ102" s="365">
        <f t="shared" si="48"/>
        <v>21.1258</v>
      </c>
      <c r="AR102" s="365">
        <f t="shared" si="57"/>
        <v>0.9</v>
      </c>
      <c r="AS102" s="365">
        <f t="shared" si="58"/>
        <v>0</v>
      </c>
      <c r="AT102" s="363"/>
      <c r="AU102">
        <v>21.1258</v>
      </c>
    </row>
    <row r="103" ht="36" spans="1:47">
      <c r="A103" s="284" t="s">
        <v>221</v>
      </c>
      <c r="B103" s="284" t="s">
        <v>199</v>
      </c>
      <c r="C103" s="284" t="s">
        <v>308</v>
      </c>
      <c r="D103" s="284" t="s">
        <v>309</v>
      </c>
      <c r="E103" s="365">
        <f t="shared" si="40"/>
        <v>0</v>
      </c>
      <c r="F103" s="365">
        <f t="shared" si="41"/>
        <v>0</v>
      </c>
      <c r="G103" s="365"/>
      <c r="H103" s="365"/>
      <c r="I103" s="365"/>
      <c r="J103" s="365"/>
      <c r="K103" s="365"/>
      <c r="L103" s="365">
        <f t="shared" si="42"/>
        <v>0</v>
      </c>
      <c r="M103" s="365"/>
      <c r="N103" s="365"/>
      <c r="O103" s="365"/>
      <c r="P103" s="365">
        <f t="shared" si="39"/>
        <v>0</v>
      </c>
      <c r="Q103" s="365">
        <f t="shared" si="43"/>
        <v>0</v>
      </c>
      <c r="R103" s="365"/>
      <c r="S103" s="365"/>
      <c r="T103" s="365"/>
      <c r="U103" s="365"/>
      <c r="V103" s="365"/>
      <c r="W103" s="365">
        <f t="shared" si="44"/>
        <v>0</v>
      </c>
      <c r="X103" s="365"/>
      <c r="Y103" s="365"/>
      <c r="Z103" s="365"/>
      <c r="AA103" s="365"/>
      <c r="AB103" s="365"/>
      <c r="AC103" s="365"/>
      <c r="AD103" s="366">
        <v>0</v>
      </c>
      <c r="AE103" s="365">
        <f t="shared" si="38"/>
        <v>0</v>
      </c>
      <c r="AF103" s="365">
        <f t="shared" si="45"/>
        <v>0</v>
      </c>
      <c r="AG103" s="365">
        <f t="shared" si="49"/>
        <v>0</v>
      </c>
      <c r="AH103" s="365">
        <f t="shared" si="50"/>
        <v>0</v>
      </c>
      <c r="AI103" s="365">
        <f t="shared" si="51"/>
        <v>0</v>
      </c>
      <c r="AJ103" s="365">
        <f t="shared" si="52"/>
        <v>0</v>
      </c>
      <c r="AK103" s="365">
        <f t="shared" si="53"/>
        <v>0</v>
      </c>
      <c r="AL103" s="365">
        <f t="shared" si="46"/>
        <v>0</v>
      </c>
      <c r="AM103" s="365">
        <f t="shared" si="54"/>
        <v>0</v>
      </c>
      <c r="AN103" s="365">
        <f t="shared" si="55"/>
        <v>0</v>
      </c>
      <c r="AO103" s="365">
        <f t="shared" si="47"/>
        <v>0</v>
      </c>
      <c r="AP103" s="365">
        <f t="shared" si="56"/>
        <v>0</v>
      </c>
      <c r="AQ103" s="365">
        <f t="shared" si="48"/>
        <v>0</v>
      </c>
      <c r="AR103" s="365">
        <f t="shared" si="57"/>
        <v>0</v>
      </c>
      <c r="AS103" s="365">
        <f t="shared" si="58"/>
        <v>0</v>
      </c>
      <c r="AT103" s="363"/>
      <c r="AU103">
        <v>4.8367</v>
      </c>
    </row>
    <row r="104" ht="24" spans="1:47">
      <c r="A104" s="284" t="s">
        <v>221</v>
      </c>
      <c r="B104" s="284" t="s">
        <v>199</v>
      </c>
      <c r="C104" s="284" t="s">
        <v>310</v>
      </c>
      <c r="D104" s="284" t="s">
        <v>311</v>
      </c>
      <c r="E104" s="365">
        <f t="shared" si="40"/>
        <v>0</v>
      </c>
      <c r="F104" s="365">
        <f t="shared" si="41"/>
        <v>0</v>
      </c>
      <c r="G104" s="365"/>
      <c r="H104" s="365"/>
      <c r="I104" s="365"/>
      <c r="J104" s="365"/>
      <c r="K104" s="365"/>
      <c r="L104" s="365">
        <f t="shared" si="42"/>
        <v>0</v>
      </c>
      <c r="M104" s="365"/>
      <c r="N104" s="365"/>
      <c r="O104" s="366"/>
      <c r="P104" s="365">
        <f t="shared" si="39"/>
        <v>0</v>
      </c>
      <c r="Q104" s="365">
        <f t="shared" si="43"/>
        <v>0</v>
      </c>
      <c r="R104" s="365"/>
      <c r="S104" s="365"/>
      <c r="T104" s="365"/>
      <c r="U104" s="365"/>
      <c r="V104" s="365"/>
      <c r="W104" s="365">
        <f t="shared" si="44"/>
        <v>0</v>
      </c>
      <c r="X104" s="365"/>
      <c r="Y104" s="365"/>
      <c r="Z104" s="365"/>
      <c r="AA104" s="365"/>
      <c r="AB104" s="365"/>
      <c r="AC104" s="365"/>
      <c r="AD104" s="366">
        <v>0</v>
      </c>
      <c r="AE104" s="365">
        <f t="shared" si="38"/>
        <v>0</v>
      </c>
      <c r="AF104" s="365">
        <f t="shared" si="45"/>
        <v>0</v>
      </c>
      <c r="AG104" s="365">
        <f t="shared" si="49"/>
        <v>0</v>
      </c>
      <c r="AH104" s="365">
        <f t="shared" si="50"/>
        <v>0</v>
      </c>
      <c r="AI104" s="365">
        <f t="shared" si="51"/>
        <v>0</v>
      </c>
      <c r="AJ104" s="365">
        <f t="shared" si="52"/>
        <v>0</v>
      </c>
      <c r="AK104" s="365">
        <f t="shared" si="53"/>
        <v>0</v>
      </c>
      <c r="AL104" s="365">
        <f t="shared" si="46"/>
        <v>0</v>
      </c>
      <c r="AM104" s="365">
        <f t="shared" si="54"/>
        <v>0</v>
      </c>
      <c r="AN104" s="365">
        <f t="shared" si="55"/>
        <v>0</v>
      </c>
      <c r="AO104" s="365">
        <f t="shared" si="47"/>
        <v>0</v>
      </c>
      <c r="AP104" s="365">
        <f t="shared" si="56"/>
        <v>0</v>
      </c>
      <c r="AQ104" s="365">
        <f t="shared" si="48"/>
        <v>0</v>
      </c>
      <c r="AR104" s="365">
        <f t="shared" si="57"/>
        <v>0</v>
      </c>
      <c r="AS104" s="365">
        <f t="shared" si="58"/>
        <v>0</v>
      </c>
      <c r="AT104" s="363"/>
      <c r="AU104">
        <v>8.84</v>
      </c>
    </row>
    <row r="105" ht="24" spans="1:47">
      <c r="A105" s="284" t="s">
        <v>221</v>
      </c>
      <c r="B105" s="284" t="s">
        <v>199</v>
      </c>
      <c r="C105" s="284" t="s">
        <v>312</v>
      </c>
      <c r="D105" s="284" t="s">
        <v>311</v>
      </c>
      <c r="E105" s="365">
        <f t="shared" si="40"/>
        <v>0</v>
      </c>
      <c r="F105" s="365">
        <f t="shared" si="41"/>
        <v>0</v>
      </c>
      <c r="G105" s="365"/>
      <c r="H105" s="365"/>
      <c r="I105" s="365"/>
      <c r="J105" s="365"/>
      <c r="K105" s="365"/>
      <c r="L105" s="365">
        <f t="shared" si="42"/>
        <v>0</v>
      </c>
      <c r="M105" s="365"/>
      <c r="N105" s="365"/>
      <c r="O105" s="365"/>
      <c r="P105" s="365">
        <f t="shared" si="39"/>
        <v>0</v>
      </c>
      <c r="Q105" s="365">
        <f t="shared" si="43"/>
        <v>0</v>
      </c>
      <c r="R105" s="365"/>
      <c r="S105" s="365"/>
      <c r="T105" s="365"/>
      <c r="U105" s="365"/>
      <c r="V105" s="365"/>
      <c r="W105" s="365">
        <f t="shared" si="44"/>
        <v>0</v>
      </c>
      <c r="X105" s="365"/>
      <c r="Y105" s="365"/>
      <c r="Z105" s="365"/>
      <c r="AA105" s="365"/>
      <c r="AB105" s="365"/>
      <c r="AC105" s="365"/>
      <c r="AD105" s="366">
        <v>0</v>
      </c>
      <c r="AE105" s="365">
        <f t="shared" si="38"/>
        <v>0</v>
      </c>
      <c r="AF105" s="365">
        <f t="shared" si="45"/>
        <v>0</v>
      </c>
      <c r="AG105" s="365">
        <f t="shared" ref="AG105:AG150" si="60">G105+R105</f>
        <v>0</v>
      </c>
      <c r="AH105" s="365">
        <f t="shared" ref="AH105:AH150" si="61">H105+S105</f>
        <v>0</v>
      </c>
      <c r="AI105" s="365">
        <f t="shared" ref="AI105:AI150" si="62">I105+T105</f>
        <v>0</v>
      </c>
      <c r="AJ105" s="365">
        <f t="shared" ref="AJ105:AJ150" si="63">J105+U105</f>
        <v>0</v>
      </c>
      <c r="AK105" s="365">
        <f t="shared" ref="AK105:AK150" si="64">K105+V105</f>
        <v>0</v>
      </c>
      <c r="AL105" s="365">
        <f t="shared" si="46"/>
        <v>0</v>
      </c>
      <c r="AM105" s="365">
        <f t="shared" ref="AM105:AM150" si="65">M105+X105</f>
        <v>0</v>
      </c>
      <c r="AN105" s="365">
        <f t="shared" ref="AN105:AN150" si="66">Y105</f>
        <v>0</v>
      </c>
      <c r="AO105" s="365">
        <f t="shared" si="47"/>
        <v>0</v>
      </c>
      <c r="AP105" s="365">
        <f t="shared" ref="AP105:AP150" si="67">AA105</f>
        <v>0</v>
      </c>
      <c r="AQ105" s="365">
        <f t="shared" si="48"/>
        <v>0</v>
      </c>
      <c r="AR105" s="365">
        <f t="shared" ref="AR105:AR150" si="68">N105+AC105</f>
        <v>0</v>
      </c>
      <c r="AS105" s="365">
        <f t="shared" ref="AS105:AS150" si="69">O105+AD105</f>
        <v>0</v>
      </c>
      <c r="AT105" s="363"/>
      <c r="AU105">
        <v>3.2117</v>
      </c>
    </row>
    <row r="106" ht="24" spans="1:47">
      <c r="A106" s="284" t="s">
        <v>221</v>
      </c>
      <c r="B106" s="284" t="s">
        <v>199</v>
      </c>
      <c r="C106" s="284" t="s">
        <v>313</v>
      </c>
      <c r="D106" s="284" t="s">
        <v>311</v>
      </c>
      <c r="E106" s="365">
        <f t="shared" si="40"/>
        <v>0</v>
      </c>
      <c r="F106" s="365">
        <f t="shared" si="41"/>
        <v>0</v>
      </c>
      <c r="G106" s="365"/>
      <c r="H106" s="365"/>
      <c r="I106" s="365"/>
      <c r="J106" s="365"/>
      <c r="K106" s="365"/>
      <c r="L106" s="365">
        <f t="shared" si="42"/>
        <v>0</v>
      </c>
      <c r="M106" s="365"/>
      <c r="N106" s="365"/>
      <c r="O106" s="366"/>
      <c r="P106" s="365">
        <f t="shared" si="39"/>
        <v>0</v>
      </c>
      <c r="Q106" s="365">
        <f t="shared" si="43"/>
        <v>0</v>
      </c>
      <c r="R106" s="365"/>
      <c r="S106" s="365"/>
      <c r="T106" s="365"/>
      <c r="U106" s="365"/>
      <c r="V106" s="365"/>
      <c r="W106" s="365">
        <f t="shared" si="44"/>
        <v>0</v>
      </c>
      <c r="X106" s="365"/>
      <c r="Y106" s="365"/>
      <c r="Z106" s="365"/>
      <c r="AA106" s="365"/>
      <c r="AB106" s="365"/>
      <c r="AC106" s="365"/>
      <c r="AD106" s="366">
        <v>0</v>
      </c>
      <c r="AE106" s="365">
        <f t="shared" si="38"/>
        <v>0</v>
      </c>
      <c r="AF106" s="365">
        <f t="shared" si="45"/>
        <v>0</v>
      </c>
      <c r="AG106" s="365">
        <f t="shared" si="60"/>
        <v>0</v>
      </c>
      <c r="AH106" s="365">
        <f t="shared" si="61"/>
        <v>0</v>
      </c>
      <c r="AI106" s="365">
        <f t="shared" si="62"/>
        <v>0</v>
      </c>
      <c r="AJ106" s="365">
        <f t="shared" si="63"/>
        <v>0</v>
      </c>
      <c r="AK106" s="365">
        <f t="shared" si="64"/>
        <v>0</v>
      </c>
      <c r="AL106" s="365">
        <f t="shared" si="46"/>
        <v>0</v>
      </c>
      <c r="AM106" s="365">
        <f t="shared" si="65"/>
        <v>0</v>
      </c>
      <c r="AN106" s="365">
        <f t="shared" si="66"/>
        <v>0</v>
      </c>
      <c r="AO106" s="365">
        <f t="shared" si="47"/>
        <v>0</v>
      </c>
      <c r="AP106" s="365">
        <f t="shared" si="67"/>
        <v>0</v>
      </c>
      <c r="AQ106" s="365">
        <f t="shared" si="48"/>
        <v>0</v>
      </c>
      <c r="AR106" s="365">
        <f t="shared" si="68"/>
        <v>0</v>
      </c>
      <c r="AS106" s="365">
        <f t="shared" si="69"/>
        <v>0</v>
      </c>
      <c r="AT106" s="363"/>
      <c r="AU106">
        <v>8.4167</v>
      </c>
    </row>
    <row r="107" ht="24" spans="1:47">
      <c r="A107" s="284" t="s">
        <v>221</v>
      </c>
      <c r="B107" s="284" t="s">
        <v>199</v>
      </c>
      <c r="C107" s="284" t="s">
        <v>314</v>
      </c>
      <c r="D107" s="284" t="s">
        <v>311</v>
      </c>
      <c r="E107" s="365">
        <f t="shared" si="40"/>
        <v>0</v>
      </c>
      <c r="F107" s="365">
        <f t="shared" si="41"/>
        <v>0</v>
      </c>
      <c r="G107" s="365"/>
      <c r="H107" s="365"/>
      <c r="I107" s="365"/>
      <c r="J107" s="365"/>
      <c r="K107" s="365"/>
      <c r="L107" s="365">
        <f t="shared" si="42"/>
        <v>0</v>
      </c>
      <c r="M107" s="365"/>
      <c r="N107" s="365"/>
      <c r="O107" s="365"/>
      <c r="P107" s="365">
        <f t="shared" si="39"/>
        <v>0</v>
      </c>
      <c r="Q107" s="365">
        <f t="shared" si="43"/>
        <v>0</v>
      </c>
      <c r="R107" s="365"/>
      <c r="S107" s="365"/>
      <c r="T107" s="365"/>
      <c r="U107" s="365"/>
      <c r="V107" s="365"/>
      <c r="W107" s="365">
        <f t="shared" si="44"/>
        <v>0</v>
      </c>
      <c r="X107" s="365"/>
      <c r="Y107" s="365"/>
      <c r="Z107" s="365"/>
      <c r="AA107" s="365"/>
      <c r="AB107" s="365"/>
      <c r="AC107" s="365"/>
      <c r="AD107" s="366">
        <v>0</v>
      </c>
      <c r="AE107" s="365">
        <f t="shared" si="38"/>
        <v>0</v>
      </c>
      <c r="AF107" s="365">
        <f t="shared" si="45"/>
        <v>0</v>
      </c>
      <c r="AG107" s="365">
        <f t="shared" si="60"/>
        <v>0</v>
      </c>
      <c r="AH107" s="365">
        <f t="shared" si="61"/>
        <v>0</v>
      </c>
      <c r="AI107" s="365">
        <f t="shared" si="62"/>
        <v>0</v>
      </c>
      <c r="AJ107" s="365">
        <f t="shared" si="63"/>
        <v>0</v>
      </c>
      <c r="AK107" s="365">
        <f t="shared" si="64"/>
        <v>0</v>
      </c>
      <c r="AL107" s="365">
        <f t="shared" si="46"/>
        <v>0</v>
      </c>
      <c r="AM107" s="365">
        <f t="shared" si="65"/>
        <v>0</v>
      </c>
      <c r="AN107" s="365">
        <f t="shared" si="66"/>
        <v>0</v>
      </c>
      <c r="AO107" s="365">
        <f t="shared" si="47"/>
        <v>0</v>
      </c>
      <c r="AP107" s="365">
        <f t="shared" si="67"/>
        <v>0</v>
      </c>
      <c r="AQ107" s="365">
        <f t="shared" si="48"/>
        <v>0</v>
      </c>
      <c r="AR107" s="365">
        <f t="shared" si="68"/>
        <v>0</v>
      </c>
      <c r="AS107" s="365">
        <f t="shared" si="69"/>
        <v>0</v>
      </c>
      <c r="AT107" s="363"/>
      <c r="AU107">
        <v>3.5001</v>
      </c>
    </row>
    <row r="108" ht="24" spans="1:47">
      <c r="A108" s="284" t="s">
        <v>221</v>
      </c>
      <c r="B108" s="284" t="s">
        <v>199</v>
      </c>
      <c r="C108" s="284" t="s">
        <v>315</v>
      </c>
      <c r="D108" s="284" t="s">
        <v>311</v>
      </c>
      <c r="E108" s="365">
        <f t="shared" si="40"/>
        <v>0</v>
      </c>
      <c r="F108" s="365">
        <f t="shared" si="41"/>
        <v>0</v>
      </c>
      <c r="G108" s="365"/>
      <c r="H108" s="365"/>
      <c r="I108" s="365"/>
      <c r="J108" s="365"/>
      <c r="K108" s="365"/>
      <c r="L108" s="365">
        <f t="shared" si="42"/>
        <v>0</v>
      </c>
      <c r="M108" s="365"/>
      <c r="N108" s="365"/>
      <c r="O108" s="365"/>
      <c r="P108" s="365">
        <f t="shared" si="39"/>
        <v>0</v>
      </c>
      <c r="Q108" s="365">
        <f t="shared" si="43"/>
        <v>0</v>
      </c>
      <c r="R108" s="365"/>
      <c r="S108" s="365"/>
      <c r="T108" s="365"/>
      <c r="U108" s="365"/>
      <c r="V108" s="365"/>
      <c r="W108" s="365">
        <f t="shared" si="44"/>
        <v>0</v>
      </c>
      <c r="X108" s="365"/>
      <c r="Y108" s="365"/>
      <c r="Z108" s="365"/>
      <c r="AA108" s="365"/>
      <c r="AB108" s="365"/>
      <c r="AC108" s="365"/>
      <c r="AD108" s="366">
        <v>0</v>
      </c>
      <c r="AE108" s="365">
        <f t="shared" si="38"/>
        <v>0</v>
      </c>
      <c r="AF108" s="365">
        <f t="shared" si="45"/>
        <v>0</v>
      </c>
      <c r="AG108" s="365">
        <f t="shared" si="60"/>
        <v>0</v>
      </c>
      <c r="AH108" s="365">
        <f t="shared" si="61"/>
        <v>0</v>
      </c>
      <c r="AI108" s="365">
        <f t="shared" si="62"/>
        <v>0</v>
      </c>
      <c r="AJ108" s="365">
        <f t="shared" si="63"/>
        <v>0</v>
      </c>
      <c r="AK108" s="365">
        <f t="shared" si="64"/>
        <v>0</v>
      </c>
      <c r="AL108" s="365">
        <f t="shared" si="46"/>
        <v>0</v>
      </c>
      <c r="AM108" s="365">
        <f t="shared" si="65"/>
        <v>0</v>
      </c>
      <c r="AN108" s="365">
        <f t="shared" si="66"/>
        <v>0</v>
      </c>
      <c r="AO108" s="365">
        <f t="shared" si="47"/>
        <v>0</v>
      </c>
      <c r="AP108" s="365">
        <f t="shared" si="67"/>
        <v>0</v>
      </c>
      <c r="AQ108" s="365">
        <f t="shared" si="48"/>
        <v>0</v>
      </c>
      <c r="AR108" s="365">
        <f t="shared" si="68"/>
        <v>0</v>
      </c>
      <c r="AS108" s="365">
        <f t="shared" si="69"/>
        <v>0</v>
      </c>
      <c r="AT108" s="363"/>
      <c r="AU108">
        <v>3</v>
      </c>
    </row>
    <row r="109" ht="24" spans="1:47">
      <c r="A109" s="284" t="s">
        <v>195</v>
      </c>
      <c r="B109" s="284" t="s">
        <v>196</v>
      </c>
      <c r="C109" s="284" t="s">
        <v>316</v>
      </c>
      <c r="D109" s="284" t="s">
        <v>317</v>
      </c>
      <c r="E109" s="365">
        <f t="shared" si="40"/>
        <v>228.7</v>
      </c>
      <c r="F109" s="365">
        <f t="shared" si="41"/>
        <v>70.7</v>
      </c>
      <c r="G109" s="365">
        <v>39.3</v>
      </c>
      <c r="H109" s="365">
        <v>25.75</v>
      </c>
      <c r="I109" s="365">
        <v>3.27</v>
      </c>
      <c r="J109" s="365"/>
      <c r="K109" s="365">
        <v>2.38</v>
      </c>
      <c r="L109" s="365">
        <f t="shared" si="42"/>
        <v>158</v>
      </c>
      <c r="M109" s="365"/>
      <c r="N109" s="365"/>
      <c r="O109" s="366">
        <v>158</v>
      </c>
      <c r="P109" s="365">
        <f t="shared" si="39"/>
        <v>-105.4708</v>
      </c>
      <c r="Q109" s="365">
        <f t="shared" si="43"/>
        <v>3.94</v>
      </c>
      <c r="R109" s="365">
        <v>3.39</v>
      </c>
      <c r="S109" s="365">
        <v>0.28</v>
      </c>
      <c r="T109" s="365">
        <v>0.27</v>
      </c>
      <c r="U109" s="365"/>
      <c r="V109" s="365"/>
      <c r="W109" s="365">
        <f t="shared" si="44"/>
        <v>-109.4108</v>
      </c>
      <c r="X109" s="365"/>
      <c r="Y109" s="365">
        <f>19.9+5.76</f>
        <v>25.66</v>
      </c>
      <c r="Z109" s="365">
        <v>7</v>
      </c>
      <c r="AA109" s="365"/>
      <c r="AB109" s="365">
        <v>15.7792</v>
      </c>
      <c r="AC109" s="365">
        <v>0.15</v>
      </c>
      <c r="AD109" s="366">
        <v>-158</v>
      </c>
      <c r="AE109" s="365">
        <f t="shared" si="38"/>
        <v>123.2292</v>
      </c>
      <c r="AF109" s="365">
        <f t="shared" si="45"/>
        <v>74.64</v>
      </c>
      <c r="AG109" s="365">
        <f t="shared" si="60"/>
        <v>42.69</v>
      </c>
      <c r="AH109" s="365">
        <f t="shared" si="61"/>
        <v>26.03</v>
      </c>
      <c r="AI109" s="365">
        <f t="shared" si="62"/>
        <v>3.54</v>
      </c>
      <c r="AJ109" s="365">
        <f t="shared" si="63"/>
        <v>0</v>
      </c>
      <c r="AK109" s="365">
        <f t="shared" si="64"/>
        <v>2.38</v>
      </c>
      <c r="AL109" s="365">
        <f t="shared" si="46"/>
        <v>48.5892</v>
      </c>
      <c r="AM109" s="365">
        <f t="shared" si="65"/>
        <v>0</v>
      </c>
      <c r="AN109" s="365">
        <f t="shared" si="66"/>
        <v>25.66</v>
      </c>
      <c r="AO109" s="365">
        <f t="shared" si="47"/>
        <v>7</v>
      </c>
      <c r="AP109" s="365">
        <f t="shared" si="67"/>
        <v>0</v>
      </c>
      <c r="AQ109" s="365">
        <f t="shared" si="48"/>
        <v>15.7792</v>
      </c>
      <c r="AR109" s="365">
        <f t="shared" si="68"/>
        <v>0.15</v>
      </c>
      <c r="AS109" s="365">
        <f t="shared" si="69"/>
        <v>0</v>
      </c>
      <c r="AT109" s="350" t="s">
        <v>773</v>
      </c>
      <c r="AU109">
        <v>15.7792</v>
      </c>
    </row>
    <row r="110" ht="24" spans="1:46">
      <c r="A110" s="284" t="s">
        <v>195</v>
      </c>
      <c r="B110" s="284" t="s">
        <v>199</v>
      </c>
      <c r="C110" s="284" t="s">
        <v>318</v>
      </c>
      <c r="D110" s="284" t="s">
        <v>319</v>
      </c>
      <c r="E110" s="365">
        <f t="shared" si="40"/>
        <v>0</v>
      </c>
      <c r="F110" s="365">
        <f t="shared" si="41"/>
        <v>0</v>
      </c>
      <c r="G110" s="365"/>
      <c r="H110" s="365"/>
      <c r="I110" s="365"/>
      <c r="J110" s="365"/>
      <c r="K110" s="365"/>
      <c r="L110" s="365">
        <f t="shared" si="42"/>
        <v>0</v>
      </c>
      <c r="M110" s="365"/>
      <c r="N110" s="365"/>
      <c r="O110" s="365"/>
      <c r="P110" s="365">
        <f t="shared" si="39"/>
        <v>0</v>
      </c>
      <c r="Q110" s="365">
        <f t="shared" si="43"/>
        <v>0</v>
      </c>
      <c r="R110" s="365"/>
      <c r="S110" s="365"/>
      <c r="T110" s="365"/>
      <c r="U110" s="365"/>
      <c r="V110" s="365"/>
      <c r="W110" s="365">
        <f t="shared" si="44"/>
        <v>0</v>
      </c>
      <c r="X110" s="365"/>
      <c r="Y110" s="365"/>
      <c r="Z110" s="365"/>
      <c r="AA110" s="365"/>
      <c r="AB110" s="365"/>
      <c r="AC110" s="365"/>
      <c r="AD110" s="366">
        <v>0</v>
      </c>
      <c r="AE110" s="365">
        <f t="shared" si="38"/>
        <v>0</v>
      </c>
      <c r="AF110" s="365">
        <f t="shared" si="45"/>
        <v>0</v>
      </c>
      <c r="AG110" s="365">
        <f t="shared" si="60"/>
        <v>0</v>
      </c>
      <c r="AH110" s="365">
        <f t="shared" si="61"/>
        <v>0</v>
      </c>
      <c r="AI110" s="365">
        <f t="shared" si="62"/>
        <v>0</v>
      </c>
      <c r="AJ110" s="365">
        <f t="shared" si="63"/>
        <v>0</v>
      </c>
      <c r="AK110" s="365">
        <f t="shared" si="64"/>
        <v>0</v>
      </c>
      <c r="AL110" s="365">
        <f t="shared" si="46"/>
        <v>0</v>
      </c>
      <c r="AM110" s="365">
        <f t="shared" si="65"/>
        <v>0</v>
      </c>
      <c r="AN110" s="365">
        <f t="shared" si="66"/>
        <v>0</v>
      </c>
      <c r="AO110" s="365">
        <f t="shared" si="47"/>
        <v>0</v>
      </c>
      <c r="AP110" s="365">
        <f t="shared" si="67"/>
        <v>0</v>
      </c>
      <c r="AQ110" s="365">
        <f t="shared" si="48"/>
        <v>0</v>
      </c>
      <c r="AR110" s="365">
        <f t="shared" si="68"/>
        <v>0</v>
      </c>
      <c r="AS110" s="365">
        <f t="shared" si="69"/>
        <v>0</v>
      </c>
      <c r="AT110" s="363"/>
    </row>
    <row r="111" ht="24" spans="1:46">
      <c r="A111" s="284" t="s">
        <v>195</v>
      </c>
      <c r="B111" s="284" t="s">
        <v>199</v>
      </c>
      <c r="C111" s="284" t="s">
        <v>320</v>
      </c>
      <c r="D111" s="284" t="s">
        <v>319</v>
      </c>
      <c r="E111" s="365">
        <f t="shared" si="40"/>
        <v>0</v>
      </c>
      <c r="F111" s="365">
        <f t="shared" si="41"/>
        <v>0</v>
      </c>
      <c r="G111" s="365"/>
      <c r="H111" s="365"/>
      <c r="I111" s="365"/>
      <c r="J111" s="365"/>
      <c r="K111" s="365"/>
      <c r="L111" s="365">
        <f t="shared" si="42"/>
        <v>0</v>
      </c>
      <c r="M111" s="365"/>
      <c r="N111" s="365"/>
      <c r="O111" s="365"/>
      <c r="P111" s="365">
        <f t="shared" si="39"/>
        <v>0</v>
      </c>
      <c r="Q111" s="365">
        <f t="shared" si="43"/>
        <v>0</v>
      </c>
      <c r="R111" s="365"/>
      <c r="S111" s="365"/>
      <c r="T111" s="365"/>
      <c r="U111" s="365"/>
      <c r="V111" s="365"/>
      <c r="W111" s="365">
        <f t="shared" si="44"/>
        <v>0</v>
      </c>
      <c r="X111" s="365"/>
      <c r="Y111" s="365"/>
      <c r="Z111" s="365"/>
      <c r="AA111" s="365"/>
      <c r="AB111" s="365"/>
      <c r="AC111" s="365"/>
      <c r="AD111" s="366">
        <v>0</v>
      </c>
      <c r="AE111" s="365">
        <f t="shared" si="38"/>
        <v>0</v>
      </c>
      <c r="AF111" s="365">
        <f t="shared" si="45"/>
        <v>0</v>
      </c>
      <c r="AG111" s="365">
        <f t="shared" si="60"/>
        <v>0</v>
      </c>
      <c r="AH111" s="365">
        <f t="shared" si="61"/>
        <v>0</v>
      </c>
      <c r="AI111" s="365">
        <f t="shared" si="62"/>
        <v>0</v>
      </c>
      <c r="AJ111" s="365">
        <f t="shared" si="63"/>
        <v>0</v>
      </c>
      <c r="AK111" s="365">
        <f t="shared" si="64"/>
        <v>0</v>
      </c>
      <c r="AL111" s="365">
        <f t="shared" si="46"/>
        <v>0</v>
      </c>
      <c r="AM111" s="365">
        <f t="shared" si="65"/>
        <v>0</v>
      </c>
      <c r="AN111" s="365">
        <f t="shared" si="66"/>
        <v>0</v>
      </c>
      <c r="AO111" s="365">
        <f t="shared" si="47"/>
        <v>0</v>
      </c>
      <c r="AP111" s="365">
        <f t="shared" si="67"/>
        <v>0</v>
      </c>
      <c r="AQ111" s="365">
        <f t="shared" si="48"/>
        <v>0</v>
      </c>
      <c r="AR111" s="365">
        <f t="shared" si="68"/>
        <v>0</v>
      </c>
      <c r="AS111" s="365">
        <f t="shared" si="69"/>
        <v>0</v>
      </c>
      <c r="AT111" s="363"/>
    </row>
    <row r="112" ht="24" spans="1:46">
      <c r="A112" s="284" t="s">
        <v>195</v>
      </c>
      <c r="B112" s="284" t="s">
        <v>199</v>
      </c>
      <c r="C112" s="284" t="s">
        <v>321</v>
      </c>
      <c r="D112" s="284" t="s">
        <v>319</v>
      </c>
      <c r="E112" s="365">
        <f t="shared" si="40"/>
        <v>0</v>
      </c>
      <c r="F112" s="365">
        <f t="shared" si="41"/>
        <v>0</v>
      </c>
      <c r="G112" s="365"/>
      <c r="H112" s="365"/>
      <c r="I112" s="365"/>
      <c r="J112" s="365"/>
      <c r="K112" s="365"/>
      <c r="L112" s="365">
        <f t="shared" si="42"/>
        <v>0</v>
      </c>
      <c r="M112" s="365"/>
      <c r="N112" s="365"/>
      <c r="O112" s="365"/>
      <c r="P112" s="365">
        <f t="shared" si="39"/>
        <v>0</v>
      </c>
      <c r="Q112" s="365">
        <f t="shared" si="43"/>
        <v>0</v>
      </c>
      <c r="R112" s="365"/>
      <c r="S112" s="365"/>
      <c r="T112" s="365"/>
      <c r="U112" s="365"/>
      <c r="V112" s="365"/>
      <c r="W112" s="365">
        <f t="shared" si="44"/>
        <v>0</v>
      </c>
      <c r="X112" s="365"/>
      <c r="Y112" s="365"/>
      <c r="Z112" s="365"/>
      <c r="AA112" s="365"/>
      <c r="AB112" s="365"/>
      <c r="AC112" s="365"/>
      <c r="AD112" s="366">
        <v>0</v>
      </c>
      <c r="AE112" s="365">
        <f t="shared" si="38"/>
        <v>0</v>
      </c>
      <c r="AF112" s="365">
        <f t="shared" si="45"/>
        <v>0</v>
      </c>
      <c r="AG112" s="365">
        <f t="shared" si="60"/>
        <v>0</v>
      </c>
      <c r="AH112" s="365">
        <f t="shared" si="61"/>
        <v>0</v>
      </c>
      <c r="AI112" s="365">
        <f t="shared" si="62"/>
        <v>0</v>
      </c>
      <c r="AJ112" s="365">
        <f t="shared" si="63"/>
        <v>0</v>
      </c>
      <c r="AK112" s="365">
        <f t="shared" si="64"/>
        <v>0</v>
      </c>
      <c r="AL112" s="365">
        <f t="shared" si="46"/>
        <v>0</v>
      </c>
      <c r="AM112" s="365">
        <f t="shared" si="65"/>
        <v>0</v>
      </c>
      <c r="AN112" s="365">
        <f t="shared" si="66"/>
        <v>0</v>
      </c>
      <c r="AO112" s="365">
        <f t="shared" si="47"/>
        <v>0</v>
      </c>
      <c r="AP112" s="365">
        <f t="shared" si="67"/>
        <v>0</v>
      </c>
      <c r="AQ112" s="365">
        <f t="shared" si="48"/>
        <v>0</v>
      </c>
      <c r="AR112" s="365">
        <f t="shared" si="68"/>
        <v>0</v>
      </c>
      <c r="AS112" s="365">
        <f t="shared" si="69"/>
        <v>0</v>
      </c>
      <c r="AT112" s="363"/>
    </row>
    <row r="113" ht="24" spans="1:46">
      <c r="A113" s="284" t="s">
        <v>195</v>
      </c>
      <c r="B113" s="284" t="s">
        <v>199</v>
      </c>
      <c r="C113" s="284" t="s">
        <v>322</v>
      </c>
      <c r="D113" s="284" t="s">
        <v>319</v>
      </c>
      <c r="E113" s="365">
        <f t="shared" si="40"/>
        <v>0</v>
      </c>
      <c r="F113" s="365">
        <f t="shared" si="41"/>
        <v>0</v>
      </c>
      <c r="G113" s="365"/>
      <c r="H113" s="365"/>
      <c r="I113" s="365"/>
      <c r="J113" s="365"/>
      <c r="K113" s="365"/>
      <c r="L113" s="365">
        <f t="shared" si="42"/>
        <v>0</v>
      </c>
      <c r="M113" s="365"/>
      <c r="N113" s="365"/>
      <c r="O113" s="365"/>
      <c r="P113" s="365">
        <f t="shared" si="39"/>
        <v>0</v>
      </c>
      <c r="Q113" s="365">
        <f t="shared" si="43"/>
        <v>0</v>
      </c>
      <c r="R113" s="365"/>
      <c r="S113" s="365"/>
      <c r="T113" s="365"/>
      <c r="U113" s="365"/>
      <c r="V113" s="365"/>
      <c r="W113" s="365">
        <f t="shared" si="44"/>
        <v>0</v>
      </c>
      <c r="X113" s="365"/>
      <c r="Y113" s="365"/>
      <c r="Z113" s="365"/>
      <c r="AA113" s="365"/>
      <c r="AB113" s="365"/>
      <c r="AC113" s="365"/>
      <c r="AD113" s="366">
        <v>0</v>
      </c>
      <c r="AE113" s="365">
        <f t="shared" si="38"/>
        <v>0</v>
      </c>
      <c r="AF113" s="365">
        <f t="shared" si="45"/>
        <v>0</v>
      </c>
      <c r="AG113" s="365">
        <f t="shared" si="60"/>
        <v>0</v>
      </c>
      <c r="AH113" s="365">
        <f t="shared" si="61"/>
        <v>0</v>
      </c>
      <c r="AI113" s="365">
        <f t="shared" si="62"/>
        <v>0</v>
      </c>
      <c r="AJ113" s="365">
        <f t="shared" si="63"/>
        <v>0</v>
      </c>
      <c r="AK113" s="365">
        <f t="shared" si="64"/>
        <v>0</v>
      </c>
      <c r="AL113" s="365">
        <f t="shared" si="46"/>
        <v>0</v>
      </c>
      <c r="AM113" s="365">
        <f t="shared" si="65"/>
        <v>0</v>
      </c>
      <c r="AN113" s="365">
        <f t="shared" si="66"/>
        <v>0</v>
      </c>
      <c r="AO113" s="365">
        <f t="shared" si="47"/>
        <v>0</v>
      </c>
      <c r="AP113" s="365">
        <f t="shared" si="67"/>
        <v>0</v>
      </c>
      <c r="AQ113" s="365">
        <f t="shared" si="48"/>
        <v>0</v>
      </c>
      <c r="AR113" s="365">
        <f t="shared" si="68"/>
        <v>0</v>
      </c>
      <c r="AS113" s="365">
        <f t="shared" si="69"/>
        <v>0</v>
      </c>
      <c r="AT113" s="363"/>
    </row>
    <row r="114" ht="24" spans="1:47">
      <c r="A114" s="284" t="s">
        <v>195</v>
      </c>
      <c r="B114" s="284" t="s">
        <v>196</v>
      </c>
      <c r="C114" s="284" t="s">
        <v>323</v>
      </c>
      <c r="D114" s="284" t="s">
        <v>324</v>
      </c>
      <c r="E114" s="365">
        <f t="shared" si="40"/>
        <v>853.8</v>
      </c>
      <c r="F114" s="365">
        <f t="shared" si="41"/>
        <v>318.42</v>
      </c>
      <c r="G114" s="365">
        <v>169.25</v>
      </c>
      <c r="H114" s="365">
        <v>135.98</v>
      </c>
      <c r="I114" s="365">
        <v>13.19</v>
      </c>
      <c r="J114" s="365"/>
      <c r="K114" s="365"/>
      <c r="L114" s="365">
        <f t="shared" si="42"/>
        <v>535.38</v>
      </c>
      <c r="M114" s="365">
        <v>12.38</v>
      </c>
      <c r="N114" s="365"/>
      <c r="O114" s="366">
        <v>523</v>
      </c>
      <c r="P114" s="365">
        <f t="shared" si="39"/>
        <v>11.4133</v>
      </c>
      <c r="Q114" s="365">
        <f t="shared" si="43"/>
        <v>274.39</v>
      </c>
      <c r="R114" s="365">
        <v>161.93</v>
      </c>
      <c r="S114" s="365">
        <v>99.67</v>
      </c>
      <c r="T114" s="365">
        <v>12.61</v>
      </c>
      <c r="U114" s="365">
        <v>0.18</v>
      </c>
      <c r="V114" s="365"/>
      <c r="W114" s="365">
        <f t="shared" si="44"/>
        <v>-262.9767</v>
      </c>
      <c r="X114" s="365"/>
      <c r="Y114" s="365">
        <f>164.38+56.03</f>
        <v>220.41</v>
      </c>
      <c r="Z114" s="365">
        <v>8</v>
      </c>
      <c r="AA114" s="365"/>
      <c r="AB114" s="365">
        <v>29.9633</v>
      </c>
      <c r="AC114" s="365">
        <v>1.65</v>
      </c>
      <c r="AD114" s="366">
        <v>-523</v>
      </c>
      <c r="AE114" s="365">
        <f t="shared" si="38"/>
        <v>865.2133</v>
      </c>
      <c r="AF114" s="365">
        <f t="shared" si="45"/>
        <v>592.81</v>
      </c>
      <c r="AG114" s="365">
        <f t="shared" si="60"/>
        <v>331.18</v>
      </c>
      <c r="AH114" s="365">
        <f t="shared" si="61"/>
        <v>235.65</v>
      </c>
      <c r="AI114" s="365">
        <f t="shared" si="62"/>
        <v>25.8</v>
      </c>
      <c r="AJ114" s="365">
        <f t="shared" si="63"/>
        <v>0.18</v>
      </c>
      <c r="AK114" s="365">
        <f t="shared" si="64"/>
        <v>0</v>
      </c>
      <c r="AL114" s="365">
        <f t="shared" si="46"/>
        <v>272.4033</v>
      </c>
      <c r="AM114" s="365">
        <f t="shared" si="65"/>
        <v>12.38</v>
      </c>
      <c r="AN114" s="365">
        <f t="shared" si="66"/>
        <v>220.41</v>
      </c>
      <c r="AO114" s="365">
        <f t="shared" si="47"/>
        <v>8</v>
      </c>
      <c r="AP114" s="365">
        <f t="shared" si="67"/>
        <v>0</v>
      </c>
      <c r="AQ114" s="365">
        <f t="shared" si="48"/>
        <v>29.9633</v>
      </c>
      <c r="AR114" s="365">
        <f t="shared" si="68"/>
        <v>1.65</v>
      </c>
      <c r="AS114" s="365">
        <f t="shared" si="69"/>
        <v>0</v>
      </c>
      <c r="AT114" s="350" t="s">
        <v>774</v>
      </c>
      <c r="AU114">
        <v>29.9633</v>
      </c>
    </row>
    <row r="115" ht="24" spans="1:47">
      <c r="A115" s="284" t="s">
        <v>195</v>
      </c>
      <c r="B115" s="284" t="s">
        <v>199</v>
      </c>
      <c r="C115" s="284" t="s">
        <v>325</v>
      </c>
      <c r="D115" s="284" t="s">
        <v>326</v>
      </c>
      <c r="E115" s="365">
        <f t="shared" si="40"/>
        <v>0</v>
      </c>
      <c r="F115" s="365">
        <f t="shared" si="41"/>
        <v>0</v>
      </c>
      <c r="G115" s="365"/>
      <c r="H115" s="365"/>
      <c r="I115" s="365"/>
      <c r="J115" s="365"/>
      <c r="K115" s="365"/>
      <c r="L115" s="365">
        <f t="shared" si="42"/>
        <v>0</v>
      </c>
      <c r="M115" s="365"/>
      <c r="N115" s="365"/>
      <c r="O115" s="365"/>
      <c r="P115" s="365">
        <f t="shared" si="39"/>
        <v>0</v>
      </c>
      <c r="Q115" s="365">
        <f t="shared" si="43"/>
        <v>0</v>
      </c>
      <c r="R115" s="365"/>
      <c r="S115" s="365"/>
      <c r="T115" s="365"/>
      <c r="U115" s="365"/>
      <c r="V115" s="365"/>
      <c r="W115" s="365">
        <f t="shared" si="44"/>
        <v>0</v>
      </c>
      <c r="X115" s="365"/>
      <c r="Y115" s="365"/>
      <c r="Z115" s="365"/>
      <c r="AA115" s="365"/>
      <c r="AB115" s="365"/>
      <c r="AC115" s="365"/>
      <c r="AD115" s="366">
        <v>0</v>
      </c>
      <c r="AE115" s="365">
        <f t="shared" si="38"/>
        <v>0</v>
      </c>
      <c r="AF115" s="365">
        <f t="shared" si="45"/>
        <v>0</v>
      </c>
      <c r="AG115" s="365">
        <f t="shared" si="60"/>
        <v>0</v>
      </c>
      <c r="AH115" s="365">
        <f t="shared" si="61"/>
        <v>0</v>
      </c>
      <c r="AI115" s="365">
        <f t="shared" si="62"/>
        <v>0</v>
      </c>
      <c r="AJ115" s="365">
        <f t="shared" si="63"/>
        <v>0</v>
      </c>
      <c r="AK115" s="365">
        <f t="shared" si="64"/>
        <v>0</v>
      </c>
      <c r="AL115" s="365">
        <f t="shared" si="46"/>
        <v>0</v>
      </c>
      <c r="AM115" s="365">
        <f t="shared" si="65"/>
        <v>0</v>
      </c>
      <c r="AN115" s="365">
        <f t="shared" si="66"/>
        <v>0</v>
      </c>
      <c r="AO115" s="365">
        <f t="shared" si="47"/>
        <v>0</v>
      </c>
      <c r="AP115" s="365">
        <f t="shared" si="67"/>
        <v>0</v>
      </c>
      <c r="AQ115" s="365">
        <f t="shared" si="48"/>
        <v>0</v>
      </c>
      <c r="AR115" s="365">
        <f t="shared" si="68"/>
        <v>0</v>
      </c>
      <c r="AS115" s="365">
        <f t="shared" si="69"/>
        <v>0</v>
      </c>
      <c r="AT115" s="363"/>
      <c r="AU115">
        <v>2.6251</v>
      </c>
    </row>
    <row r="116" ht="24" spans="1:47">
      <c r="A116" s="284" t="s">
        <v>208</v>
      </c>
      <c r="B116" s="284" t="s">
        <v>196</v>
      </c>
      <c r="C116" s="284" t="s">
        <v>327</v>
      </c>
      <c r="D116" s="284" t="s">
        <v>328</v>
      </c>
      <c r="E116" s="365">
        <f t="shared" si="40"/>
        <v>202.37</v>
      </c>
      <c r="F116" s="365">
        <f t="shared" si="41"/>
        <v>138.37</v>
      </c>
      <c r="G116" s="365">
        <v>79.27</v>
      </c>
      <c r="H116" s="365">
        <v>51.7</v>
      </c>
      <c r="I116" s="365">
        <v>6.61</v>
      </c>
      <c r="J116" s="365"/>
      <c r="K116" s="365">
        <v>0.79</v>
      </c>
      <c r="L116" s="365">
        <f t="shared" si="42"/>
        <v>64</v>
      </c>
      <c r="M116" s="365"/>
      <c r="N116" s="365"/>
      <c r="O116" s="366">
        <v>64</v>
      </c>
      <c r="P116" s="365">
        <f t="shared" si="39"/>
        <v>-1.06100000000001</v>
      </c>
      <c r="Q116" s="365">
        <f t="shared" si="43"/>
        <v>-17.78</v>
      </c>
      <c r="R116" s="365">
        <v>-6.57</v>
      </c>
      <c r="S116" s="365">
        <v>-10.11</v>
      </c>
      <c r="T116" s="365">
        <v>-0.51</v>
      </c>
      <c r="U116" s="365"/>
      <c r="V116" s="365">
        <v>-0.59</v>
      </c>
      <c r="W116" s="365">
        <f t="shared" si="44"/>
        <v>16.719</v>
      </c>
      <c r="X116" s="365"/>
      <c r="Y116" s="365">
        <v>32.3892</v>
      </c>
      <c r="Z116" s="365">
        <v>19</v>
      </c>
      <c r="AA116" s="365"/>
      <c r="AB116" s="365">
        <v>28.3298</v>
      </c>
      <c r="AC116" s="365">
        <v>1</v>
      </c>
      <c r="AD116" s="366">
        <v>-64</v>
      </c>
      <c r="AE116" s="365">
        <f t="shared" si="38"/>
        <v>201.309</v>
      </c>
      <c r="AF116" s="365">
        <f t="shared" si="45"/>
        <v>120.59</v>
      </c>
      <c r="AG116" s="365">
        <f t="shared" si="60"/>
        <v>72.7</v>
      </c>
      <c r="AH116" s="365">
        <f t="shared" si="61"/>
        <v>41.59</v>
      </c>
      <c r="AI116" s="365">
        <f t="shared" si="62"/>
        <v>6.1</v>
      </c>
      <c r="AJ116" s="365">
        <f t="shared" si="63"/>
        <v>0</v>
      </c>
      <c r="AK116" s="365">
        <f t="shared" si="64"/>
        <v>0.2</v>
      </c>
      <c r="AL116" s="365">
        <f t="shared" si="46"/>
        <v>80.719</v>
      </c>
      <c r="AM116" s="365">
        <f t="shared" si="65"/>
        <v>0</v>
      </c>
      <c r="AN116" s="365">
        <f t="shared" si="66"/>
        <v>32.3892</v>
      </c>
      <c r="AO116" s="365">
        <f t="shared" si="47"/>
        <v>19</v>
      </c>
      <c r="AP116" s="365">
        <f t="shared" si="67"/>
        <v>0</v>
      </c>
      <c r="AQ116" s="365">
        <f t="shared" si="48"/>
        <v>28.3298</v>
      </c>
      <c r="AR116" s="365">
        <f t="shared" si="68"/>
        <v>1</v>
      </c>
      <c r="AS116" s="365">
        <f t="shared" si="69"/>
        <v>0</v>
      </c>
      <c r="AT116" s="363"/>
      <c r="AU116">
        <v>28.3298</v>
      </c>
    </row>
    <row r="117" ht="24" spans="1:47">
      <c r="A117" s="284" t="s">
        <v>290</v>
      </c>
      <c r="B117" s="284" t="s">
        <v>196</v>
      </c>
      <c r="C117" s="284" t="s">
        <v>329</v>
      </c>
      <c r="D117" s="284" t="s">
        <v>328</v>
      </c>
      <c r="E117" s="365">
        <f t="shared" si="40"/>
        <v>223.26</v>
      </c>
      <c r="F117" s="365">
        <f t="shared" si="41"/>
        <v>94.81</v>
      </c>
      <c r="G117" s="365">
        <v>51.21</v>
      </c>
      <c r="H117" s="365">
        <v>39.33</v>
      </c>
      <c r="I117" s="365">
        <v>4.27</v>
      </c>
      <c r="J117" s="365"/>
      <c r="K117" s="365"/>
      <c r="L117" s="365">
        <f t="shared" si="42"/>
        <v>128.45</v>
      </c>
      <c r="M117" s="365">
        <v>40.45</v>
      </c>
      <c r="N117" s="365"/>
      <c r="O117" s="366">
        <v>88</v>
      </c>
      <c r="P117" s="365">
        <f t="shared" si="39"/>
        <v>-9.1081</v>
      </c>
      <c r="Q117" s="365">
        <f t="shared" si="43"/>
        <v>15.063</v>
      </c>
      <c r="R117" s="386">
        <v>15.063</v>
      </c>
      <c r="S117" s="386"/>
      <c r="T117" s="386"/>
      <c r="U117" s="386"/>
      <c r="V117" s="386"/>
      <c r="W117" s="386">
        <f t="shared" si="44"/>
        <v>-24.1711</v>
      </c>
      <c r="X117" s="386"/>
      <c r="Y117" s="386">
        <v>34.8497</v>
      </c>
      <c r="Z117" s="386">
        <v>21</v>
      </c>
      <c r="AA117" s="386"/>
      <c r="AB117" s="386">
        <v>7.6792</v>
      </c>
      <c r="AC117" s="386">
        <v>0.3</v>
      </c>
      <c r="AD117" s="370">
        <v>-88</v>
      </c>
      <c r="AE117" s="365">
        <f t="shared" si="38"/>
        <v>214.1519</v>
      </c>
      <c r="AF117" s="365">
        <f t="shared" si="45"/>
        <v>109.873</v>
      </c>
      <c r="AG117" s="365">
        <f t="shared" si="60"/>
        <v>66.273</v>
      </c>
      <c r="AH117" s="365">
        <f t="shared" si="61"/>
        <v>39.33</v>
      </c>
      <c r="AI117" s="365">
        <f t="shared" si="62"/>
        <v>4.27</v>
      </c>
      <c r="AJ117" s="365">
        <f t="shared" si="63"/>
        <v>0</v>
      </c>
      <c r="AK117" s="365">
        <f t="shared" si="64"/>
        <v>0</v>
      </c>
      <c r="AL117" s="365">
        <f t="shared" si="46"/>
        <v>104.2789</v>
      </c>
      <c r="AM117" s="365">
        <f t="shared" si="65"/>
        <v>40.45</v>
      </c>
      <c r="AN117" s="365">
        <f t="shared" si="66"/>
        <v>34.8497</v>
      </c>
      <c r="AO117" s="365">
        <f t="shared" si="47"/>
        <v>21</v>
      </c>
      <c r="AP117" s="365">
        <f t="shared" si="67"/>
        <v>0</v>
      </c>
      <c r="AQ117" s="365">
        <f t="shared" si="48"/>
        <v>7.6792</v>
      </c>
      <c r="AR117" s="365">
        <f t="shared" si="68"/>
        <v>0.3</v>
      </c>
      <c r="AS117" s="365">
        <f t="shared" si="69"/>
        <v>0</v>
      </c>
      <c r="AT117" s="363"/>
      <c r="AU117">
        <v>7.6792</v>
      </c>
    </row>
    <row r="118" ht="24" spans="1:47">
      <c r="A118" s="284" t="s">
        <v>208</v>
      </c>
      <c r="B118" s="284" t="s">
        <v>196</v>
      </c>
      <c r="C118" s="284" t="s">
        <v>330</v>
      </c>
      <c r="D118" s="284" t="s">
        <v>328</v>
      </c>
      <c r="E118" s="365">
        <f t="shared" si="40"/>
        <v>106.8</v>
      </c>
      <c r="F118" s="365">
        <f t="shared" si="41"/>
        <v>56.89</v>
      </c>
      <c r="G118" s="365">
        <v>31.85</v>
      </c>
      <c r="H118" s="365">
        <v>22.17</v>
      </c>
      <c r="I118" s="365">
        <v>2.87</v>
      </c>
      <c r="J118" s="365"/>
      <c r="K118" s="365"/>
      <c r="L118" s="365">
        <f t="shared" si="42"/>
        <v>49.91</v>
      </c>
      <c r="M118" s="365">
        <v>9.91</v>
      </c>
      <c r="N118" s="365"/>
      <c r="O118" s="365">
        <v>40</v>
      </c>
      <c r="P118" s="365">
        <f t="shared" si="39"/>
        <v>5.9038</v>
      </c>
      <c r="Q118" s="365">
        <f t="shared" si="43"/>
        <v>10.85</v>
      </c>
      <c r="R118" s="365">
        <v>7.9</v>
      </c>
      <c r="S118" s="365">
        <v>2.51</v>
      </c>
      <c r="T118" s="365">
        <v>0.44</v>
      </c>
      <c r="U118" s="365"/>
      <c r="V118" s="365"/>
      <c r="W118" s="365">
        <f t="shared" si="44"/>
        <v>-4.9462</v>
      </c>
      <c r="X118" s="365">
        <v>0.35</v>
      </c>
      <c r="Y118" s="365">
        <v>19.59</v>
      </c>
      <c r="Z118" s="365">
        <v>8</v>
      </c>
      <c r="AA118" s="365"/>
      <c r="AB118" s="365">
        <v>6.8138</v>
      </c>
      <c r="AC118" s="365">
        <v>0.3</v>
      </c>
      <c r="AD118" s="366">
        <v>-40</v>
      </c>
      <c r="AE118" s="365">
        <f t="shared" si="38"/>
        <v>112.7038</v>
      </c>
      <c r="AF118" s="365">
        <f t="shared" si="45"/>
        <v>67.74</v>
      </c>
      <c r="AG118" s="365">
        <f t="shared" si="60"/>
        <v>39.75</v>
      </c>
      <c r="AH118" s="365">
        <f t="shared" si="61"/>
        <v>24.68</v>
      </c>
      <c r="AI118" s="365">
        <f t="shared" si="62"/>
        <v>3.31</v>
      </c>
      <c r="AJ118" s="365">
        <f t="shared" si="63"/>
        <v>0</v>
      </c>
      <c r="AK118" s="365">
        <f t="shared" si="64"/>
        <v>0</v>
      </c>
      <c r="AL118" s="365">
        <f t="shared" si="46"/>
        <v>44.9638</v>
      </c>
      <c r="AM118" s="365">
        <f t="shared" si="65"/>
        <v>10.26</v>
      </c>
      <c r="AN118" s="365">
        <f t="shared" si="66"/>
        <v>19.59</v>
      </c>
      <c r="AO118" s="365">
        <f t="shared" si="47"/>
        <v>8</v>
      </c>
      <c r="AP118" s="365">
        <f t="shared" si="67"/>
        <v>0</v>
      </c>
      <c r="AQ118" s="365">
        <f t="shared" si="48"/>
        <v>6.8138</v>
      </c>
      <c r="AR118" s="365">
        <f t="shared" si="68"/>
        <v>0.3</v>
      </c>
      <c r="AS118" s="365">
        <f t="shared" si="69"/>
        <v>0</v>
      </c>
      <c r="AT118" s="363"/>
      <c r="AU118">
        <v>6.8138</v>
      </c>
    </row>
    <row r="119" ht="24" spans="1:47">
      <c r="A119" s="284" t="s">
        <v>208</v>
      </c>
      <c r="B119" s="284" t="s">
        <v>199</v>
      </c>
      <c r="C119" s="284" t="s">
        <v>331</v>
      </c>
      <c r="D119" s="284" t="s">
        <v>332</v>
      </c>
      <c r="E119" s="365">
        <f t="shared" si="40"/>
        <v>0</v>
      </c>
      <c r="F119" s="365">
        <f t="shared" si="41"/>
        <v>0</v>
      </c>
      <c r="G119" s="365"/>
      <c r="H119" s="365"/>
      <c r="I119" s="365"/>
      <c r="J119" s="365"/>
      <c r="K119" s="365"/>
      <c r="L119" s="365">
        <f t="shared" si="42"/>
        <v>0</v>
      </c>
      <c r="M119" s="365"/>
      <c r="N119" s="365"/>
      <c r="O119" s="365"/>
      <c r="P119" s="365">
        <f t="shared" si="39"/>
        <v>0</v>
      </c>
      <c r="Q119" s="365">
        <f t="shared" si="43"/>
        <v>0</v>
      </c>
      <c r="R119" s="365"/>
      <c r="S119" s="365"/>
      <c r="T119" s="365"/>
      <c r="U119" s="365"/>
      <c r="V119" s="365"/>
      <c r="W119" s="365">
        <f t="shared" si="44"/>
        <v>0</v>
      </c>
      <c r="X119" s="365"/>
      <c r="Y119" s="365"/>
      <c r="Z119" s="365"/>
      <c r="AA119" s="365"/>
      <c r="AB119" s="365"/>
      <c r="AC119" s="365"/>
      <c r="AD119" s="366">
        <v>0</v>
      </c>
      <c r="AE119" s="365">
        <f t="shared" si="38"/>
        <v>0</v>
      </c>
      <c r="AF119" s="365">
        <f t="shared" si="45"/>
        <v>0</v>
      </c>
      <c r="AG119" s="365">
        <f t="shared" si="60"/>
        <v>0</v>
      </c>
      <c r="AH119" s="365">
        <f t="shared" si="61"/>
        <v>0</v>
      </c>
      <c r="AI119" s="365">
        <f t="shared" si="62"/>
        <v>0</v>
      </c>
      <c r="AJ119" s="365">
        <f t="shared" si="63"/>
        <v>0</v>
      </c>
      <c r="AK119" s="365">
        <f t="shared" si="64"/>
        <v>0</v>
      </c>
      <c r="AL119" s="365">
        <f t="shared" si="46"/>
        <v>0</v>
      </c>
      <c r="AM119" s="365">
        <f t="shared" si="65"/>
        <v>0</v>
      </c>
      <c r="AN119" s="365">
        <f t="shared" si="66"/>
        <v>0</v>
      </c>
      <c r="AO119" s="365">
        <f t="shared" si="47"/>
        <v>0</v>
      </c>
      <c r="AP119" s="365">
        <f t="shared" si="67"/>
        <v>0</v>
      </c>
      <c r="AQ119" s="365">
        <f t="shared" si="48"/>
        <v>0</v>
      </c>
      <c r="AR119" s="365">
        <f t="shared" si="68"/>
        <v>0</v>
      </c>
      <c r="AS119" s="365">
        <f t="shared" si="69"/>
        <v>0</v>
      </c>
      <c r="AT119" s="363"/>
      <c r="AU119">
        <v>6</v>
      </c>
    </row>
    <row r="120" ht="24" spans="1:47">
      <c r="A120" s="284" t="s">
        <v>208</v>
      </c>
      <c r="B120" s="284" t="s">
        <v>199</v>
      </c>
      <c r="C120" s="284" t="s">
        <v>333</v>
      </c>
      <c r="D120" s="284" t="s">
        <v>332</v>
      </c>
      <c r="E120" s="365">
        <f t="shared" si="40"/>
        <v>0</v>
      </c>
      <c r="F120" s="365">
        <f t="shared" si="41"/>
        <v>0</v>
      </c>
      <c r="G120" s="365"/>
      <c r="H120" s="365"/>
      <c r="I120" s="365"/>
      <c r="J120" s="365"/>
      <c r="K120" s="365"/>
      <c r="L120" s="365">
        <f t="shared" si="42"/>
        <v>0</v>
      </c>
      <c r="M120" s="365"/>
      <c r="N120" s="365"/>
      <c r="O120" s="365"/>
      <c r="P120" s="365">
        <f t="shared" si="39"/>
        <v>0</v>
      </c>
      <c r="Q120" s="365">
        <f t="shared" si="43"/>
        <v>0</v>
      </c>
      <c r="R120" s="365"/>
      <c r="S120" s="365"/>
      <c r="T120" s="365"/>
      <c r="U120" s="365"/>
      <c r="V120" s="365"/>
      <c r="W120" s="365">
        <f t="shared" si="44"/>
        <v>0</v>
      </c>
      <c r="X120" s="365"/>
      <c r="Y120" s="365"/>
      <c r="Z120" s="365"/>
      <c r="AA120" s="365"/>
      <c r="AB120" s="365"/>
      <c r="AC120" s="365"/>
      <c r="AD120" s="366">
        <v>0</v>
      </c>
      <c r="AE120" s="365">
        <f t="shared" si="38"/>
        <v>0</v>
      </c>
      <c r="AF120" s="365">
        <f t="shared" si="45"/>
        <v>0</v>
      </c>
      <c r="AG120" s="365">
        <f t="shared" si="60"/>
        <v>0</v>
      </c>
      <c r="AH120" s="365">
        <f t="shared" si="61"/>
        <v>0</v>
      </c>
      <c r="AI120" s="365">
        <f t="shared" si="62"/>
        <v>0</v>
      </c>
      <c r="AJ120" s="365">
        <f t="shared" si="63"/>
        <v>0</v>
      </c>
      <c r="AK120" s="365">
        <f t="shared" si="64"/>
        <v>0</v>
      </c>
      <c r="AL120" s="365">
        <f t="shared" si="46"/>
        <v>0</v>
      </c>
      <c r="AM120" s="365">
        <f t="shared" si="65"/>
        <v>0</v>
      </c>
      <c r="AN120" s="365">
        <f t="shared" si="66"/>
        <v>0</v>
      </c>
      <c r="AO120" s="365">
        <f t="shared" si="47"/>
        <v>0</v>
      </c>
      <c r="AP120" s="365">
        <f t="shared" si="67"/>
        <v>0</v>
      </c>
      <c r="AQ120" s="365">
        <f t="shared" si="48"/>
        <v>0</v>
      </c>
      <c r="AR120" s="365">
        <f t="shared" si="68"/>
        <v>0</v>
      </c>
      <c r="AS120" s="365">
        <f t="shared" si="69"/>
        <v>0</v>
      </c>
      <c r="AT120" s="363"/>
      <c r="AU120">
        <v>5</v>
      </c>
    </row>
    <row r="121" ht="24" spans="1:47">
      <c r="A121" s="284" t="s">
        <v>208</v>
      </c>
      <c r="B121" s="284" t="s">
        <v>199</v>
      </c>
      <c r="C121" s="284" t="s">
        <v>334</v>
      </c>
      <c r="D121" s="284" t="s">
        <v>332</v>
      </c>
      <c r="E121" s="365">
        <f t="shared" si="40"/>
        <v>0</v>
      </c>
      <c r="F121" s="365">
        <f t="shared" si="41"/>
        <v>0</v>
      </c>
      <c r="G121" s="365"/>
      <c r="H121" s="365"/>
      <c r="I121" s="365"/>
      <c r="J121" s="365"/>
      <c r="K121" s="365"/>
      <c r="L121" s="365">
        <f t="shared" si="42"/>
        <v>0</v>
      </c>
      <c r="M121" s="365"/>
      <c r="N121" s="365"/>
      <c r="O121" s="365"/>
      <c r="P121" s="365">
        <f t="shared" si="39"/>
        <v>0</v>
      </c>
      <c r="Q121" s="365">
        <f t="shared" si="43"/>
        <v>0</v>
      </c>
      <c r="R121" s="365"/>
      <c r="S121" s="365"/>
      <c r="T121" s="365"/>
      <c r="U121" s="365"/>
      <c r="V121" s="365"/>
      <c r="W121" s="365">
        <f t="shared" si="44"/>
        <v>0</v>
      </c>
      <c r="X121" s="365"/>
      <c r="Y121" s="365"/>
      <c r="Z121" s="365"/>
      <c r="AA121" s="365"/>
      <c r="AB121" s="365"/>
      <c r="AC121" s="365"/>
      <c r="AD121" s="366">
        <v>0</v>
      </c>
      <c r="AE121" s="365">
        <f t="shared" si="38"/>
        <v>0</v>
      </c>
      <c r="AF121" s="365">
        <f t="shared" si="45"/>
        <v>0</v>
      </c>
      <c r="AG121" s="365">
        <f t="shared" si="60"/>
        <v>0</v>
      </c>
      <c r="AH121" s="365">
        <f t="shared" si="61"/>
        <v>0</v>
      </c>
      <c r="AI121" s="365">
        <f t="shared" si="62"/>
        <v>0</v>
      </c>
      <c r="AJ121" s="365">
        <f t="shared" si="63"/>
        <v>0</v>
      </c>
      <c r="AK121" s="365">
        <f t="shared" si="64"/>
        <v>0</v>
      </c>
      <c r="AL121" s="365">
        <f t="shared" si="46"/>
        <v>0</v>
      </c>
      <c r="AM121" s="365">
        <f t="shared" si="65"/>
        <v>0</v>
      </c>
      <c r="AN121" s="365">
        <f t="shared" si="66"/>
        <v>0</v>
      </c>
      <c r="AO121" s="365">
        <f t="shared" si="47"/>
        <v>0</v>
      </c>
      <c r="AP121" s="365">
        <f t="shared" si="67"/>
        <v>0</v>
      </c>
      <c r="AQ121" s="365">
        <f t="shared" si="48"/>
        <v>0</v>
      </c>
      <c r="AR121" s="365">
        <f t="shared" si="68"/>
        <v>0</v>
      </c>
      <c r="AS121" s="365">
        <f t="shared" si="69"/>
        <v>0</v>
      </c>
      <c r="AT121" s="363"/>
      <c r="AU121">
        <v>1.5</v>
      </c>
    </row>
    <row r="122" ht="24" spans="1:47">
      <c r="A122" s="284" t="s">
        <v>208</v>
      </c>
      <c r="B122" s="284" t="s">
        <v>199</v>
      </c>
      <c r="C122" s="284" t="s">
        <v>335</v>
      </c>
      <c r="D122" s="284" t="s">
        <v>332</v>
      </c>
      <c r="E122" s="365">
        <f t="shared" si="40"/>
        <v>0</v>
      </c>
      <c r="F122" s="365">
        <f t="shared" si="41"/>
        <v>0</v>
      </c>
      <c r="G122" s="365"/>
      <c r="H122" s="365"/>
      <c r="I122" s="365"/>
      <c r="J122" s="365"/>
      <c r="K122" s="365"/>
      <c r="L122" s="365">
        <f t="shared" si="42"/>
        <v>0</v>
      </c>
      <c r="M122" s="365"/>
      <c r="N122" s="365"/>
      <c r="O122" s="365"/>
      <c r="P122" s="365">
        <f t="shared" si="39"/>
        <v>0</v>
      </c>
      <c r="Q122" s="365">
        <f t="shared" si="43"/>
        <v>0</v>
      </c>
      <c r="R122" s="365"/>
      <c r="S122" s="365"/>
      <c r="T122" s="365"/>
      <c r="U122" s="365"/>
      <c r="V122" s="365"/>
      <c r="W122" s="365">
        <f t="shared" si="44"/>
        <v>0</v>
      </c>
      <c r="X122" s="365"/>
      <c r="Y122" s="365"/>
      <c r="Z122" s="365"/>
      <c r="AA122" s="365"/>
      <c r="AB122" s="365"/>
      <c r="AC122" s="365"/>
      <c r="AD122" s="366">
        <v>0</v>
      </c>
      <c r="AE122" s="365">
        <f t="shared" si="38"/>
        <v>0</v>
      </c>
      <c r="AF122" s="365">
        <f t="shared" si="45"/>
        <v>0</v>
      </c>
      <c r="AG122" s="365">
        <f t="shared" si="60"/>
        <v>0</v>
      </c>
      <c r="AH122" s="365">
        <f t="shared" si="61"/>
        <v>0</v>
      </c>
      <c r="AI122" s="365">
        <f t="shared" si="62"/>
        <v>0</v>
      </c>
      <c r="AJ122" s="365">
        <f t="shared" si="63"/>
        <v>0</v>
      </c>
      <c r="AK122" s="365">
        <f t="shared" si="64"/>
        <v>0</v>
      </c>
      <c r="AL122" s="365">
        <f t="shared" si="46"/>
        <v>0</v>
      </c>
      <c r="AM122" s="365">
        <f t="shared" si="65"/>
        <v>0</v>
      </c>
      <c r="AN122" s="365">
        <f t="shared" si="66"/>
        <v>0</v>
      </c>
      <c r="AO122" s="365">
        <f t="shared" si="47"/>
        <v>0</v>
      </c>
      <c r="AP122" s="365">
        <f t="shared" si="67"/>
        <v>0</v>
      </c>
      <c r="AQ122" s="365">
        <f t="shared" si="48"/>
        <v>0</v>
      </c>
      <c r="AR122" s="365">
        <f t="shared" si="68"/>
        <v>0</v>
      </c>
      <c r="AS122" s="365">
        <f t="shared" si="69"/>
        <v>0</v>
      </c>
      <c r="AT122" s="363"/>
      <c r="AU122">
        <v>3.5</v>
      </c>
    </row>
    <row r="123" ht="24" spans="1:47">
      <c r="A123" s="284" t="s">
        <v>208</v>
      </c>
      <c r="B123" s="284" t="s">
        <v>199</v>
      </c>
      <c r="C123" s="284" t="s">
        <v>336</v>
      </c>
      <c r="D123" s="284" t="s">
        <v>332</v>
      </c>
      <c r="E123" s="365">
        <f t="shared" si="40"/>
        <v>0</v>
      </c>
      <c r="F123" s="365">
        <f t="shared" si="41"/>
        <v>0</v>
      </c>
      <c r="G123" s="365"/>
      <c r="H123" s="365"/>
      <c r="I123" s="365"/>
      <c r="J123" s="365"/>
      <c r="K123" s="365"/>
      <c r="L123" s="365">
        <f t="shared" si="42"/>
        <v>0</v>
      </c>
      <c r="M123" s="365"/>
      <c r="N123" s="365"/>
      <c r="O123" s="365"/>
      <c r="P123" s="365">
        <f t="shared" si="39"/>
        <v>0</v>
      </c>
      <c r="Q123" s="365">
        <f t="shared" si="43"/>
        <v>0</v>
      </c>
      <c r="R123" s="365"/>
      <c r="S123" s="365"/>
      <c r="T123" s="365"/>
      <c r="U123" s="365"/>
      <c r="V123" s="365"/>
      <c r="W123" s="365">
        <f t="shared" si="44"/>
        <v>0</v>
      </c>
      <c r="X123" s="365"/>
      <c r="Y123" s="365"/>
      <c r="Z123" s="365"/>
      <c r="AA123" s="365"/>
      <c r="AB123" s="365"/>
      <c r="AC123" s="365"/>
      <c r="AD123" s="366">
        <v>0</v>
      </c>
      <c r="AE123" s="365">
        <f t="shared" si="38"/>
        <v>0</v>
      </c>
      <c r="AF123" s="365">
        <f t="shared" si="45"/>
        <v>0</v>
      </c>
      <c r="AG123" s="365">
        <f t="shared" si="60"/>
        <v>0</v>
      </c>
      <c r="AH123" s="365">
        <f t="shared" si="61"/>
        <v>0</v>
      </c>
      <c r="AI123" s="365">
        <f t="shared" si="62"/>
        <v>0</v>
      </c>
      <c r="AJ123" s="365">
        <f t="shared" si="63"/>
        <v>0</v>
      </c>
      <c r="AK123" s="365">
        <f t="shared" si="64"/>
        <v>0</v>
      </c>
      <c r="AL123" s="365">
        <f t="shared" si="46"/>
        <v>0</v>
      </c>
      <c r="AM123" s="365">
        <f t="shared" si="65"/>
        <v>0</v>
      </c>
      <c r="AN123" s="365">
        <f t="shared" si="66"/>
        <v>0</v>
      </c>
      <c r="AO123" s="365">
        <f t="shared" si="47"/>
        <v>0</v>
      </c>
      <c r="AP123" s="365">
        <f t="shared" si="67"/>
        <v>0</v>
      </c>
      <c r="AQ123" s="365">
        <f t="shared" si="48"/>
        <v>0</v>
      </c>
      <c r="AR123" s="365">
        <f t="shared" si="68"/>
        <v>0</v>
      </c>
      <c r="AS123" s="365">
        <f t="shared" si="69"/>
        <v>0</v>
      </c>
      <c r="AT123" s="363"/>
      <c r="AU123">
        <v>1.5</v>
      </c>
    </row>
    <row r="124" ht="24" spans="1:47">
      <c r="A124" s="284" t="s">
        <v>290</v>
      </c>
      <c r="B124" s="284" t="s">
        <v>199</v>
      </c>
      <c r="C124" s="284" t="s">
        <v>337</v>
      </c>
      <c r="D124" s="284" t="s">
        <v>332</v>
      </c>
      <c r="E124" s="365">
        <f t="shared" si="40"/>
        <v>0</v>
      </c>
      <c r="F124" s="365">
        <f t="shared" si="41"/>
        <v>0</v>
      </c>
      <c r="G124" s="365"/>
      <c r="H124" s="365"/>
      <c r="I124" s="365"/>
      <c r="J124" s="365"/>
      <c r="K124" s="365"/>
      <c r="L124" s="365">
        <f t="shared" si="42"/>
        <v>0</v>
      </c>
      <c r="M124" s="365"/>
      <c r="N124" s="365"/>
      <c r="O124" s="365"/>
      <c r="P124" s="365">
        <f t="shared" si="39"/>
        <v>0</v>
      </c>
      <c r="Q124" s="365">
        <f t="shared" si="43"/>
        <v>0</v>
      </c>
      <c r="R124" s="365"/>
      <c r="S124" s="365"/>
      <c r="T124" s="365"/>
      <c r="U124" s="365"/>
      <c r="V124" s="365"/>
      <c r="W124" s="365">
        <f t="shared" si="44"/>
        <v>0</v>
      </c>
      <c r="X124" s="365"/>
      <c r="Y124" s="365"/>
      <c r="Z124" s="365"/>
      <c r="AA124" s="365"/>
      <c r="AB124" s="365"/>
      <c r="AC124" s="365"/>
      <c r="AD124" s="366">
        <v>0</v>
      </c>
      <c r="AE124" s="365">
        <f t="shared" si="38"/>
        <v>0</v>
      </c>
      <c r="AF124" s="365">
        <f t="shared" si="45"/>
        <v>0</v>
      </c>
      <c r="AG124" s="365">
        <f t="shared" si="60"/>
        <v>0</v>
      </c>
      <c r="AH124" s="365">
        <f t="shared" si="61"/>
        <v>0</v>
      </c>
      <c r="AI124" s="365">
        <f t="shared" si="62"/>
        <v>0</v>
      </c>
      <c r="AJ124" s="365">
        <f t="shared" si="63"/>
        <v>0</v>
      </c>
      <c r="AK124" s="365">
        <f t="shared" si="64"/>
        <v>0</v>
      </c>
      <c r="AL124" s="365">
        <f t="shared" si="46"/>
        <v>0</v>
      </c>
      <c r="AM124" s="365">
        <f t="shared" si="65"/>
        <v>0</v>
      </c>
      <c r="AN124" s="365">
        <f t="shared" si="66"/>
        <v>0</v>
      </c>
      <c r="AO124" s="365">
        <f t="shared" si="47"/>
        <v>0</v>
      </c>
      <c r="AP124" s="365">
        <f t="shared" si="67"/>
        <v>0</v>
      </c>
      <c r="AQ124" s="365">
        <f t="shared" si="48"/>
        <v>0</v>
      </c>
      <c r="AR124" s="365">
        <f t="shared" si="68"/>
        <v>0</v>
      </c>
      <c r="AS124" s="365">
        <f t="shared" si="69"/>
        <v>0</v>
      </c>
      <c r="AT124" s="363"/>
      <c r="AU124">
        <v>3.5</v>
      </c>
    </row>
    <row r="125" ht="24" spans="1:47">
      <c r="A125" s="284" t="s">
        <v>290</v>
      </c>
      <c r="B125" s="284" t="s">
        <v>199</v>
      </c>
      <c r="C125" s="284" t="s">
        <v>338</v>
      </c>
      <c r="D125" s="284" t="s">
        <v>332</v>
      </c>
      <c r="E125" s="365">
        <f t="shared" si="40"/>
        <v>0</v>
      </c>
      <c r="F125" s="365">
        <f t="shared" si="41"/>
        <v>0</v>
      </c>
      <c r="G125" s="365"/>
      <c r="H125" s="365"/>
      <c r="I125" s="365"/>
      <c r="J125" s="365"/>
      <c r="K125" s="365"/>
      <c r="L125" s="365">
        <f t="shared" si="42"/>
        <v>0</v>
      </c>
      <c r="M125" s="365"/>
      <c r="N125" s="365"/>
      <c r="O125" s="365"/>
      <c r="P125" s="365">
        <f t="shared" si="39"/>
        <v>0</v>
      </c>
      <c r="Q125" s="365">
        <f t="shared" si="43"/>
        <v>0</v>
      </c>
      <c r="R125" s="365"/>
      <c r="S125" s="365"/>
      <c r="T125" s="365"/>
      <c r="U125" s="365"/>
      <c r="V125" s="365"/>
      <c r="W125" s="365">
        <f t="shared" si="44"/>
        <v>0</v>
      </c>
      <c r="X125" s="365"/>
      <c r="Y125" s="365"/>
      <c r="Z125" s="365"/>
      <c r="AA125" s="365"/>
      <c r="AB125" s="365"/>
      <c r="AC125" s="365"/>
      <c r="AD125" s="366">
        <v>0</v>
      </c>
      <c r="AE125" s="365">
        <f t="shared" si="38"/>
        <v>0</v>
      </c>
      <c r="AF125" s="365">
        <f t="shared" si="45"/>
        <v>0</v>
      </c>
      <c r="AG125" s="365">
        <f t="shared" si="60"/>
        <v>0</v>
      </c>
      <c r="AH125" s="365">
        <f t="shared" si="61"/>
        <v>0</v>
      </c>
      <c r="AI125" s="365">
        <f t="shared" si="62"/>
        <v>0</v>
      </c>
      <c r="AJ125" s="365">
        <f t="shared" si="63"/>
        <v>0</v>
      </c>
      <c r="AK125" s="365">
        <f t="shared" si="64"/>
        <v>0</v>
      </c>
      <c r="AL125" s="365">
        <f t="shared" si="46"/>
        <v>0</v>
      </c>
      <c r="AM125" s="365">
        <f t="shared" si="65"/>
        <v>0</v>
      </c>
      <c r="AN125" s="365">
        <f t="shared" si="66"/>
        <v>0</v>
      </c>
      <c r="AO125" s="365">
        <f t="shared" si="47"/>
        <v>0</v>
      </c>
      <c r="AP125" s="365">
        <f t="shared" si="67"/>
        <v>0</v>
      </c>
      <c r="AQ125" s="365">
        <f t="shared" si="48"/>
        <v>0</v>
      </c>
      <c r="AR125" s="365">
        <f t="shared" si="68"/>
        <v>0</v>
      </c>
      <c r="AS125" s="365">
        <f t="shared" si="69"/>
        <v>0</v>
      </c>
      <c r="AT125" s="363"/>
      <c r="AU125">
        <v>1.5</v>
      </c>
    </row>
    <row r="126" ht="24" spans="1:47">
      <c r="A126" s="284" t="s">
        <v>208</v>
      </c>
      <c r="B126" s="284" t="s">
        <v>199</v>
      </c>
      <c r="C126" s="284" t="s">
        <v>339</v>
      </c>
      <c r="D126" s="284" t="s">
        <v>332</v>
      </c>
      <c r="E126" s="365">
        <f t="shared" si="40"/>
        <v>0</v>
      </c>
      <c r="F126" s="365">
        <f t="shared" si="41"/>
        <v>0</v>
      </c>
      <c r="G126" s="365"/>
      <c r="H126" s="365"/>
      <c r="I126" s="365"/>
      <c r="J126" s="365"/>
      <c r="K126" s="365"/>
      <c r="L126" s="365">
        <f t="shared" si="42"/>
        <v>0</v>
      </c>
      <c r="M126" s="365"/>
      <c r="N126" s="365"/>
      <c r="O126" s="365"/>
      <c r="P126" s="365">
        <f t="shared" si="39"/>
        <v>0</v>
      </c>
      <c r="Q126" s="365">
        <f t="shared" si="43"/>
        <v>0</v>
      </c>
      <c r="R126" s="365"/>
      <c r="S126" s="365"/>
      <c r="T126" s="365"/>
      <c r="U126" s="365"/>
      <c r="V126" s="365"/>
      <c r="W126" s="365">
        <f t="shared" si="44"/>
        <v>0</v>
      </c>
      <c r="X126" s="365"/>
      <c r="Y126" s="365"/>
      <c r="Z126" s="365"/>
      <c r="AA126" s="365"/>
      <c r="AB126" s="365"/>
      <c r="AC126" s="365"/>
      <c r="AD126" s="366">
        <v>0</v>
      </c>
      <c r="AE126" s="365">
        <f t="shared" si="38"/>
        <v>0</v>
      </c>
      <c r="AF126" s="365">
        <f t="shared" si="45"/>
        <v>0</v>
      </c>
      <c r="AG126" s="365">
        <f t="shared" si="60"/>
        <v>0</v>
      </c>
      <c r="AH126" s="365">
        <f t="shared" si="61"/>
        <v>0</v>
      </c>
      <c r="AI126" s="365">
        <f t="shared" si="62"/>
        <v>0</v>
      </c>
      <c r="AJ126" s="365">
        <f t="shared" si="63"/>
        <v>0</v>
      </c>
      <c r="AK126" s="365">
        <f t="shared" si="64"/>
        <v>0</v>
      </c>
      <c r="AL126" s="365">
        <f t="shared" si="46"/>
        <v>0</v>
      </c>
      <c r="AM126" s="365">
        <f t="shared" si="65"/>
        <v>0</v>
      </c>
      <c r="AN126" s="365">
        <f t="shared" si="66"/>
        <v>0</v>
      </c>
      <c r="AO126" s="365">
        <f t="shared" si="47"/>
        <v>0</v>
      </c>
      <c r="AP126" s="365">
        <f t="shared" si="67"/>
        <v>0</v>
      </c>
      <c r="AQ126" s="365">
        <f t="shared" si="48"/>
        <v>0</v>
      </c>
      <c r="AR126" s="365">
        <f t="shared" si="68"/>
        <v>0</v>
      </c>
      <c r="AS126" s="365">
        <f t="shared" si="69"/>
        <v>0</v>
      </c>
      <c r="AT126" s="363"/>
      <c r="AU126">
        <v>4.5</v>
      </c>
    </row>
    <row r="127" ht="24" spans="1:47">
      <c r="A127" s="284" t="s">
        <v>208</v>
      </c>
      <c r="B127" s="284" t="s">
        <v>199</v>
      </c>
      <c r="C127" s="284" t="s">
        <v>340</v>
      </c>
      <c r="D127" s="284" t="s">
        <v>332</v>
      </c>
      <c r="E127" s="365">
        <f t="shared" si="40"/>
        <v>0</v>
      </c>
      <c r="F127" s="365">
        <f t="shared" si="41"/>
        <v>0</v>
      </c>
      <c r="G127" s="365"/>
      <c r="H127" s="365"/>
      <c r="I127" s="365"/>
      <c r="J127" s="365"/>
      <c r="K127" s="365"/>
      <c r="L127" s="365">
        <f t="shared" si="42"/>
        <v>0</v>
      </c>
      <c r="M127" s="365"/>
      <c r="N127" s="365"/>
      <c r="O127" s="365"/>
      <c r="P127" s="365">
        <f t="shared" si="39"/>
        <v>0</v>
      </c>
      <c r="Q127" s="365">
        <f t="shared" si="43"/>
        <v>0</v>
      </c>
      <c r="R127" s="365"/>
      <c r="S127" s="365"/>
      <c r="T127" s="365"/>
      <c r="U127" s="365"/>
      <c r="V127" s="365"/>
      <c r="W127" s="365">
        <f t="shared" si="44"/>
        <v>0</v>
      </c>
      <c r="X127" s="365"/>
      <c r="Y127" s="365"/>
      <c r="Z127" s="365"/>
      <c r="AA127" s="365"/>
      <c r="AB127" s="365"/>
      <c r="AC127" s="365"/>
      <c r="AD127" s="366">
        <v>0</v>
      </c>
      <c r="AE127" s="365">
        <f t="shared" si="38"/>
        <v>0</v>
      </c>
      <c r="AF127" s="365">
        <f t="shared" si="45"/>
        <v>0</v>
      </c>
      <c r="AG127" s="365">
        <f t="shared" si="60"/>
        <v>0</v>
      </c>
      <c r="AH127" s="365">
        <f t="shared" si="61"/>
        <v>0</v>
      </c>
      <c r="AI127" s="365">
        <f t="shared" si="62"/>
        <v>0</v>
      </c>
      <c r="AJ127" s="365">
        <f t="shared" si="63"/>
        <v>0</v>
      </c>
      <c r="AK127" s="365">
        <f t="shared" si="64"/>
        <v>0</v>
      </c>
      <c r="AL127" s="365">
        <f t="shared" si="46"/>
        <v>0</v>
      </c>
      <c r="AM127" s="365">
        <f t="shared" si="65"/>
        <v>0</v>
      </c>
      <c r="AN127" s="365">
        <f t="shared" si="66"/>
        <v>0</v>
      </c>
      <c r="AO127" s="365">
        <f t="shared" si="47"/>
        <v>0</v>
      </c>
      <c r="AP127" s="365">
        <f t="shared" si="67"/>
        <v>0</v>
      </c>
      <c r="AQ127" s="365">
        <f t="shared" si="48"/>
        <v>0</v>
      </c>
      <c r="AR127" s="365">
        <f t="shared" si="68"/>
        <v>0</v>
      </c>
      <c r="AS127" s="365">
        <f t="shared" si="69"/>
        <v>0</v>
      </c>
      <c r="AT127" s="363"/>
      <c r="AU127">
        <v>2</v>
      </c>
    </row>
    <row r="128" ht="24" spans="1:47">
      <c r="A128" s="284" t="s">
        <v>208</v>
      </c>
      <c r="B128" s="284" t="s">
        <v>199</v>
      </c>
      <c r="C128" s="284" t="s">
        <v>341</v>
      </c>
      <c r="D128" s="284" t="s">
        <v>332</v>
      </c>
      <c r="E128" s="365">
        <f t="shared" si="40"/>
        <v>0</v>
      </c>
      <c r="F128" s="365">
        <f t="shared" si="41"/>
        <v>0</v>
      </c>
      <c r="G128" s="365"/>
      <c r="H128" s="365"/>
      <c r="I128" s="365"/>
      <c r="J128" s="365"/>
      <c r="K128" s="365"/>
      <c r="L128" s="365">
        <f t="shared" si="42"/>
        <v>0</v>
      </c>
      <c r="M128" s="365"/>
      <c r="N128" s="365"/>
      <c r="O128" s="365"/>
      <c r="P128" s="365">
        <f t="shared" si="39"/>
        <v>0</v>
      </c>
      <c r="Q128" s="365">
        <f t="shared" si="43"/>
        <v>0</v>
      </c>
      <c r="R128" s="365"/>
      <c r="S128" s="365"/>
      <c r="T128" s="365"/>
      <c r="U128" s="365"/>
      <c r="V128" s="365"/>
      <c r="W128" s="365">
        <f t="shared" si="44"/>
        <v>0</v>
      </c>
      <c r="X128" s="365"/>
      <c r="Y128" s="365"/>
      <c r="Z128" s="365"/>
      <c r="AA128" s="365"/>
      <c r="AB128" s="365"/>
      <c r="AC128" s="365"/>
      <c r="AD128" s="366">
        <v>0</v>
      </c>
      <c r="AE128" s="365">
        <f t="shared" si="38"/>
        <v>0</v>
      </c>
      <c r="AF128" s="365">
        <f t="shared" si="45"/>
        <v>0</v>
      </c>
      <c r="AG128" s="365">
        <f t="shared" si="60"/>
        <v>0</v>
      </c>
      <c r="AH128" s="365">
        <f t="shared" si="61"/>
        <v>0</v>
      </c>
      <c r="AI128" s="365">
        <f t="shared" si="62"/>
        <v>0</v>
      </c>
      <c r="AJ128" s="365">
        <f t="shared" si="63"/>
        <v>0</v>
      </c>
      <c r="AK128" s="365">
        <f t="shared" si="64"/>
        <v>0</v>
      </c>
      <c r="AL128" s="365">
        <f t="shared" si="46"/>
        <v>0</v>
      </c>
      <c r="AM128" s="365">
        <f t="shared" si="65"/>
        <v>0</v>
      </c>
      <c r="AN128" s="365">
        <f t="shared" si="66"/>
        <v>0</v>
      </c>
      <c r="AO128" s="365">
        <f t="shared" si="47"/>
        <v>0</v>
      </c>
      <c r="AP128" s="365">
        <f t="shared" si="67"/>
        <v>0</v>
      </c>
      <c r="AQ128" s="365">
        <f t="shared" si="48"/>
        <v>0</v>
      </c>
      <c r="AR128" s="365">
        <f t="shared" si="68"/>
        <v>0</v>
      </c>
      <c r="AS128" s="365">
        <f t="shared" si="69"/>
        <v>0</v>
      </c>
      <c r="AT128" s="363"/>
      <c r="AU128">
        <v>3</v>
      </c>
    </row>
    <row r="129" ht="36" spans="1:47">
      <c r="A129" s="284" t="s">
        <v>290</v>
      </c>
      <c r="B129" s="284" t="s">
        <v>196</v>
      </c>
      <c r="C129" s="284" t="s">
        <v>342</v>
      </c>
      <c r="D129" s="284" t="s">
        <v>343</v>
      </c>
      <c r="E129" s="365">
        <f t="shared" si="40"/>
        <v>93.46</v>
      </c>
      <c r="F129" s="365">
        <f t="shared" si="41"/>
        <v>47.13</v>
      </c>
      <c r="G129" s="365">
        <v>25.69</v>
      </c>
      <c r="H129" s="365">
        <v>18.08</v>
      </c>
      <c r="I129" s="365">
        <v>2.14</v>
      </c>
      <c r="J129" s="365">
        <v>0.96</v>
      </c>
      <c r="K129" s="365">
        <v>0.26</v>
      </c>
      <c r="L129" s="365">
        <f t="shared" si="42"/>
        <v>46.33</v>
      </c>
      <c r="M129" s="365">
        <v>17.33</v>
      </c>
      <c r="N129" s="365"/>
      <c r="O129" s="366">
        <v>29</v>
      </c>
      <c r="P129" s="365">
        <f t="shared" si="39"/>
        <v>-11.5258</v>
      </c>
      <c r="Q129" s="365">
        <f t="shared" si="43"/>
        <v>-3.36</v>
      </c>
      <c r="R129" s="386">
        <v>-3.36</v>
      </c>
      <c r="S129" s="386"/>
      <c r="T129" s="386"/>
      <c r="U129" s="386"/>
      <c r="V129" s="386"/>
      <c r="W129" s="386">
        <f t="shared" si="44"/>
        <v>-8.1658</v>
      </c>
      <c r="X129" s="386"/>
      <c r="Y129" s="386">
        <v>11.9166</v>
      </c>
      <c r="Z129" s="386">
        <v>5</v>
      </c>
      <c r="AA129" s="386"/>
      <c r="AB129" s="386">
        <v>3.7676</v>
      </c>
      <c r="AC129" s="386">
        <v>0.15</v>
      </c>
      <c r="AD129" s="370">
        <v>-29</v>
      </c>
      <c r="AE129" s="365">
        <f t="shared" si="38"/>
        <v>81.9342</v>
      </c>
      <c r="AF129" s="365">
        <f t="shared" si="45"/>
        <v>43.77</v>
      </c>
      <c r="AG129" s="365">
        <f t="shared" si="60"/>
        <v>22.33</v>
      </c>
      <c r="AH129" s="365">
        <f t="shared" si="61"/>
        <v>18.08</v>
      </c>
      <c r="AI129" s="365">
        <f t="shared" si="62"/>
        <v>2.14</v>
      </c>
      <c r="AJ129" s="365">
        <f t="shared" si="63"/>
        <v>0.96</v>
      </c>
      <c r="AK129" s="365">
        <f t="shared" si="64"/>
        <v>0.26</v>
      </c>
      <c r="AL129" s="365">
        <f t="shared" si="46"/>
        <v>38.1642</v>
      </c>
      <c r="AM129" s="365">
        <f t="shared" si="65"/>
        <v>17.33</v>
      </c>
      <c r="AN129" s="365">
        <f t="shared" si="66"/>
        <v>11.9166</v>
      </c>
      <c r="AO129" s="365">
        <f t="shared" si="47"/>
        <v>5</v>
      </c>
      <c r="AP129" s="365">
        <f t="shared" si="67"/>
        <v>0</v>
      </c>
      <c r="AQ129" s="365">
        <f t="shared" si="48"/>
        <v>3.7676</v>
      </c>
      <c r="AR129" s="365">
        <f t="shared" si="68"/>
        <v>0.15</v>
      </c>
      <c r="AS129" s="365">
        <f t="shared" si="69"/>
        <v>0</v>
      </c>
      <c r="AT129" s="363"/>
      <c r="AU129">
        <v>3.7676</v>
      </c>
    </row>
    <row r="130" ht="36" spans="1:47">
      <c r="A130" s="284" t="s">
        <v>290</v>
      </c>
      <c r="B130" s="284" t="s">
        <v>199</v>
      </c>
      <c r="C130" s="284" t="s">
        <v>775</v>
      </c>
      <c r="D130" s="284" t="s">
        <v>343</v>
      </c>
      <c r="E130" s="365">
        <f t="shared" si="40"/>
        <v>0</v>
      </c>
      <c r="F130" s="365">
        <f t="shared" si="41"/>
        <v>0</v>
      </c>
      <c r="G130" s="365"/>
      <c r="H130" s="365"/>
      <c r="I130" s="365"/>
      <c r="J130" s="365"/>
      <c r="K130" s="365"/>
      <c r="L130" s="365">
        <f t="shared" si="42"/>
        <v>0</v>
      </c>
      <c r="M130" s="365"/>
      <c r="N130" s="365"/>
      <c r="O130" s="365"/>
      <c r="P130" s="365">
        <f t="shared" si="39"/>
        <v>0</v>
      </c>
      <c r="Q130" s="365">
        <f t="shared" si="43"/>
        <v>0</v>
      </c>
      <c r="R130" s="365"/>
      <c r="S130" s="365"/>
      <c r="T130" s="365"/>
      <c r="U130" s="365"/>
      <c r="V130" s="365"/>
      <c r="W130" s="365">
        <f t="shared" si="44"/>
        <v>0</v>
      </c>
      <c r="X130" s="365"/>
      <c r="Y130" s="365"/>
      <c r="Z130" s="365"/>
      <c r="AA130" s="365"/>
      <c r="AB130" s="365"/>
      <c r="AC130" s="365"/>
      <c r="AD130" s="366">
        <v>0</v>
      </c>
      <c r="AE130" s="365">
        <f t="shared" si="38"/>
        <v>0</v>
      </c>
      <c r="AF130" s="365">
        <f t="shared" si="45"/>
        <v>0</v>
      </c>
      <c r="AG130" s="365">
        <f t="shared" si="60"/>
        <v>0</v>
      </c>
      <c r="AH130" s="365">
        <f t="shared" si="61"/>
        <v>0</v>
      </c>
      <c r="AI130" s="365">
        <f t="shared" si="62"/>
        <v>0</v>
      </c>
      <c r="AJ130" s="365">
        <f t="shared" si="63"/>
        <v>0</v>
      </c>
      <c r="AK130" s="365">
        <f t="shared" si="64"/>
        <v>0</v>
      </c>
      <c r="AL130" s="365">
        <f t="shared" si="46"/>
        <v>0</v>
      </c>
      <c r="AM130" s="365">
        <f t="shared" si="65"/>
        <v>0</v>
      </c>
      <c r="AN130" s="365">
        <f t="shared" si="66"/>
        <v>0</v>
      </c>
      <c r="AO130" s="365">
        <f t="shared" si="47"/>
        <v>0</v>
      </c>
      <c r="AP130" s="365">
        <f t="shared" si="67"/>
        <v>0</v>
      </c>
      <c r="AQ130" s="365">
        <f t="shared" si="48"/>
        <v>0</v>
      </c>
      <c r="AR130" s="365">
        <f t="shared" si="68"/>
        <v>0</v>
      </c>
      <c r="AS130" s="365">
        <f t="shared" si="69"/>
        <v>0</v>
      </c>
      <c r="AT130" s="363"/>
      <c r="AU130">
        <v>3</v>
      </c>
    </row>
    <row r="131" ht="36" spans="1:47">
      <c r="A131" s="284" t="s">
        <v>290</v>
      </c>
      <c r="B131" s="284" t="s">
        <v>199</v>
      </c>
      <c r="C131" s="284" t="s">
        <v>345</v>
      </c>
      <c r="D131" s="284" t="s">
        <v>343</v>
      </c>
      <c r="E131" s="365">
        <f t="shared" si="40"/>
        <v>0</v>
      </c>
      <c r="F131" s="365">
        <f t="shared" si="41"/>
        <v>0</v>
      </c>
      <c r="G131" s="365"/>
      <c r="H131" s="365"/>
      <c r="I131" s="365"/>
      <c r="J131" s="365"/>
      <c r="K131" s="365"/>
      <c r="L131" s="365">
        <f t="shared" si="42"/>
        <v>0</v>
      </c>
      <c r="M131" s="365"/>
      <c r="N131" s="365"/>
      <c r="O131" s="365"/>
      <c r="P131" s="365">
        <f t="shared" si="39"/>
        <v>0</v>
      </c>
      <c r="Q131" s="365">
        <f t="shared" si="43"/>
        <v>0</v>
      </c>
      <c r="R131" s="365"/>
      <c r="S131" s="365"/>
      <c r="T131" s="365"/>
      <c r="U131" s="365"/>
      <c r="V131" s="365"/>
      <c r="W131" s="365">
        <f t="shared" si="44"/>
        <v>0</v>
      </c>
      <c r="X131" s="365"/>
      <c r="Y131" s="365"/>
      <c r="Z131" s="365"/>
      <c r="AA131" s="365"/>
      <c r="AB131" s="365"/>
      <c r="AC131" s="365"/>
      <c r="AD131" s="366">
        <v>0</v>
      </c>
      <c r="AE131" s="365">
        <f t="shared" si="38"/>
        <v>0</v>
      </c>
      <c r="AF131" s="365">
        <f t="shared" si="45"/>
        <v>0</v>
      </c>
      <c r="AG131" s="365">
        <f t="shared" si="60"/>
        <v>0</v>
      </c>
      <c r="AH131" s="365">
        <f t="shared" si="61"/>
        <v>0</v>
      </c>
      <c r="AI131" s="365">
        <f t="shared" si="62"/>
        <v>0</v>
      </c>
      <c r="AJ131" s="365">
        <f t="shared" si="63"/>
        <v>0</v>
      </c>
      <c r="AK131" s="365">
        <f t="shared" si="64"/>
        <v>0</v>
      </c>
      <c r="AL131" s="365">
        <f t="shared" si="46"/>
        <v>0</v>
      </c>
      <c r="AM131" s="365">
        <f t="shared" si="65"/>
        <v>0</v>
      </c>
      <c r="AN131" s="365">
        <f t="shared" si="66"/>
        <v>0</v>
      </c>
      <c r="AO131" s="365">
        <f t="shared" si="47"/>
        <v>0</v>
      </c>
      <c r="AP131" s="365">
        <f t="shared" si="67"/>
        <v>0</v>
      </c>
      <c r="AQ131" s="365">
        <f t="shared" si="48"/>
        <v>0</v>
      </c>
      <c r="AR131" s="365">
        <f t="shared" si="68"/>
        <v>0</v>
      </c>
      <c r="AS131" s="365">
        <f t="shared" si="69"/>
        <v>0</v>
      </c>
      <c r="AT131" s="363"/>
      <c r="AU131">
        <v>2</v>
      </c>
    </row>
    <row r="132" ht="24" spans="1:47">
      <c r="A132" s="284" t="s">
        <v>195</v>
      </c>
      <c r="B132" s="284" t="s">
        <v>196</v>
      </c>
      <c r="C132" s="284" t="s">
        <v>346</v>
      </c>
      <c r="D132" s="284" t="s">
        <v>347</v>
      </c>
      <c r="E132" s="365">
        <f t="shared" si="40"/>
        <v>45.21</v>
      </c>
      <c r="F132" s="365">
        <f t="shared" si="41"/>
        <v>28.78</v>
      </c>
      <c r="G132" s="365">
        <v>16.33</v>
      </c>
      <c r="H132" s="365">
        <v>11.09</v>
      </c>
      <c r="I132" s="365">
        <v>1.36</v>
      </c>
      <c r="J132" s="365"/>
      <c r="K132" s="365"/>
      <c r="L132" s="365">
        <f t="shared" si="42"/>
        <v>16.43</v>
      </c>
      <c r="M132" s="365">
        <v>7.43</v>
      </c>
      <c r="N132" s="365"/>
      <c r="O132" s="365">
        <v>9</v>
      </c>
      <c r="P132" s="365">
        <f t="shared" si="39"/>
        <v>15.7364</v>
      </c>
      <c r="Q132" s="365">
        <f t="shared" si="43"/>
        <v>4.21</v>
      </c>
      <c r="R132" s="365">
        <v>3.22</v>
      </c>
      <c r="S132" s="365">
        <v>0.88</v>
      </c>
      <c r="T132" s="365">
        <v>0.11</v>
      </c>
      <c r="U132" s="365"/>
      <c r="V132" s="365"/>
      <c r="W132" s="365">
        <f t="shared" si="44"/>
        <v>11.5264</v>
      </c>
      <c r="X132" s="365"/>
      <c r="Y132" s="365">
        <f>8.71+2.8</f>
        <v>11.51</v>
      </c>
      <c r="Z132" s="365">
        <v>3</v>
      </c>
      <c r="AA132" s="365"/>
      <c r="AB132" s="365">
        <v>5.7164</v>
      </c>
      <c r="AC132" s="365">
        <v>0.3</v>
      </c>
      <c r="AD132" s="366">
        <v>-9</v>
      </c>
      <c r="AE132" s="365">
        <f t="shared" si="38"/>
        <v>60.9464</v>
      </c>
      <c r="AF132" s="365">
        <f t="shared" si="45"/>
        <v>32.99</v>
      </c>
      <c r="AG132" s="365">
        <f t="shared" si="60"/>
        <v>19.55</v>
      </c>
      <c r="AH132" s="365">
        <f t="shared" si="61"/>
        <v>11.97</v>
      </c>
      <c r="AI132" s="365">
        <f t="shared" si="62"/>
        <v>1.47</v>
      </c>
      <c r="AJ132" s="365">
        <f t="shared" si="63"/>
        <v>0</v>
      </c>
      <c r="AK132" s="365">
        <f t="shared" si="64"/>
        <v>0</v>
      </c>
      <c r="AL132" s="365">
        <f t="shared" si="46"/>
        <v>27.9564</v>
      </c>
      <c r="AM132" s="365">
        <f t="shared" si="65"/>
        <v>7.43</v>
      </c>
      <c r="AN132" s="365">
        <f t="shared" si="66"/>
        <v>11.51</v>
      </c>
      <c r="AO132" s="365">
        <f t="shared" si="47"/>
        <v>3</v>
      </c>
      <c r="AP132" s="365">
        <f t="shared" si="67"/>
        <v>0</v>
      </c>
      <c r="AQ132" s="365">
        <f t="shared" si="48"/>
        <v>5.7164</v>
      </c>
      <c r="AR132" s="365">
        <f t="shared" si="68"/>
        <v>0.3</v>
      </c>
      <c r="AS132" s="365">
        <f t="shared" si="69"/>
        <v>0</v>
      </c>
      <c r="AT132" s="363"/>
      <c r="AU132">
        <v>5.7164</v>
      </c>
    </row>
    <row r="133" ht="24" spans="1:46">
      <c r="A133" s="284" t="s">
        <v>195</v>
      </c>
      <c r="B133" s="284" t="s">
        <v>199</v>
      </c>
      <c r="C133" s="284" t="s">
        <v>348</v>
      </c>
      <c r="D133" s="284" t="s">
        <v>349</v>
      </c>
      <c r="E133" s="365">
        <f t="shared" si="40"/>
        <v>0</v>
      </c>
      <c r="F133" s="365">
        <f t="shared" si="41"/>
        <v>0</v>
      </c>
      <c r="G133" s="365"/>
      <c r="H133" s="365"/>
      <c r="I133" s="365"/>
      <c r="J133" s="365"/>
      <c r="K133" s="365"/>
      <c r="L133" s="365">
        <f t="shared" si="42"/>
        <v>0</v>
      </c>
      <c r="M133" s="365"/>
      <c r="N133" s="365"/>
      <c r="O133" s="365"/>
      <c r="P133" s="365">
        <f t="shared" si="39"/>
        <v>0</v>
      </c>
      <c r="Q133" s="365">
        <f t="shared" si="43"/>
        <v>0</v>
      </c>
      <c r="R133" s="365"/>
      <c r="S133" s="365"/>
      <c r="T133" s="365"/>
      <c r="U133" s="365"/>
      <c r="V133" s="365"/>
      <c r="W133" s="365">
        <f t="shared" si="44"/>
        <v>0</v>
      </c>
      <c r="X133" s="365"/>
      <c r="Y133" s="365"/>
      <c r="Z133" s="365"/>
      <c r="AA133" s="365"/>
      <c r="AB133" s="365"/>
      <c r="AC133" s="365"/>
      <c r="AD133" s="366">
        <v>0</v>
      </c>
      <c r="AE133" s="365">
        <f t="shared" si="38"/>
        <v>0</v>
      </c>
      <c r="AF133" s="365">
        <f t="shared" si="45"/>
        <v>0</v>
      </c>
      <c r="AG133" s="365">
        <f t="shared" si="60"/>
        <v>0</v>
      </c>
      <c r="AH133" s="365">
        <f t="shared" si="61"/>
        <v>0</v>
      </c>
      <c r="AI133" s="365">
        <f t="shared" si="62"/>
        <v>0</v>
      </c>
      <c r="AJ133" s="365">
        <f t="shared" si="63"/>
        <v>0</v>
      </c>
      <c r="AK133" s="365">
        <f t="shared" si="64"/>
        <v>0</v>
      </c>
      <c r="AL133" s="365">
        <f t="shared" si="46"/>
        <v>0</v>
      </c>
      <c r="AM133" s="365">
        <f t="shared" si="65"/>
        <v>0</v>
      </c>
      <c r="AN133" s="365">
        <f t="shared" si="66"/>
        <v>0</v>
      </c>
      <c r="AO133" s="365">
        <f t="shared" si="47"/>
        <v>0</v>
      </c>
      <c r="AP133" s="365">
        <f t="shared" si="67"/>
        <v>0</v>
      </c>
      <c r="AQ133" s="365">
        <f t="shared" si="48"/>
        <v>0</v>
      </c>
      <c r="AR133" s="365">
        <f t="shared" si="68"/>
        <v>0</v>
      </c>
      <c r="AS133" s="365">
        <f t="shared" si="69"/>
        <v>0</v>
      </c>
      <c r="AT133" s="363"/>
    </row>
    <row r="134" ht="24" spans="1:47">
      <c r="A134" s="284" t="s">
        <v>208</v>
      </c>
      <c r="B134" s="284" t="s">
        <v>196</v>
      </c>
      <c r="C134" s="284" t="s">
        <v>350</v>
      </c>
      <c r="D134" s="284" t="s">
        <v>351</v>
      </c>
      <c r="E134" s="365">
        <f t="shared" si="40"/>
        <v>69.42</v>
      </c>
      <c r="F134" s="365">
        <f t="shared" si="41"/>
        <v>44.42</v>
      </c>
      <c r="G134" s="365">
        <v>24.92</v>
      </c>
      <c r="H134" s="365">
        <v>17.42</v>
      </c>
      <c r="I134" s="365">
        <v>2.08</v>
      </c>
      <c r="J134" s="365"/>
      <c r="K134" s="365"/>
      <c r="L134" s="365">
        <f t="shared" si="42"/>
        <v>25</v>
      </c>
      <c r="M134" s="365"/>
      <c r="N134" s="365"/>
      <c r="O134" s="366">
        <v>25</v>
      </c>
      <c r="P134" s="365">
        <f t="shared" si="39"/>
        <v>-0.234999999999998</v>
      </c>
      <c r="Q134" s="365">
        <f t="shared" si="43"/>
        <v>3.06</v>
      </c>
      <c r="R134" s="365">
        <v>3.11</v>
      </c>
      <c r="S134" s="365">
        <v>-0.17</v>
      </c>
      <c r="T134" s="365">
        <v>0.12</v>
      </c>
      <c r="U134" s="365"/>
      <c r="V134" s="365"/>
      <c r="W134" s="365">
        <f t="shared" si="44"/>
        <v>-3.295</v>
      </c>
      <c r="X134" s="365"/>
      <c r="Y134" s="365">
        <v>13.5758</v>
      </c>
      <c r="Z134" s="365">
        <v>3</v>
      </c>
      <c r="AA134" s="365"/>
      <c r="AB134" s="365">
        <v>5.1292</v>
      </c>
      <c r="AC134" s="365"/>
      <c r="AD134" s="366">
        <v>-25</v>
      </c>
      <c r="AE134" s="365">
        <f t="shared" ref="AE134:AE150" si="70">AF134+AL134</f>
        <v>69.185</v>
      </c>
      <c r="AF134" s="365">
        <f t="shared" si="45"/>
        <v>47.48</v>
      </c>
      <c r="AG134" s="365">
        <f t="shared" si="60"/>
        <v>28.03</v>
      </c>
      <c r="AH134" s="365">
        <f t="shared" si="61"/>
        <v>17.25</v>
      </c>
      <c r="AI134" s="365">
        <f t="shared" si="62"/>
        <v>2.2</v>
      </c>
      <c r="AJ134" s="365">
        <f t="shared" si="63"/>
        <v>0</v>
      </c>
      <c r="AK134" s="365">
        <f t="shared" si="64"/>
        <v>0</v>
      </c>
      <c r="AL134" s="365">
        <f t="shared" si="46"/>
        <v>21.705</v>
      </c>
      <c r="AM134" s="365">
        <f t="shared" si="65"/>
        <v>0</v>
      </c>
      <c r="AN134" s="365">
        <f t="shared" si="66"/>
        <v>13.5758</v>
      </c>
      <c r="AO134" s="365">
        <f t="shared" si="47"/>
        <v>3</v>
      </c>
      <c r="AP134" s="365">
        <f t="shared" si="67"/>
        <v>0</v>
      </c>
      <c r="AQ134" s="365">
        <f t="shared" si="48"/>
        <v>5.1292</v>
      </c>
      <c r="AR134" s="365">
        <f t="shared" si="68"/>
        <v>0</v>
      </c>
      <c r="AS134" s="365">
        <f t="shared" si="69"/>
        <v>0</v>
      </c>
      <c r="AT134" s="363"/>
      <c r="AU134">
        <v>5.1292</v>
      </c>
    </row>
    <row r="135" ht="24" spans="1:47">
      <c r="A135" s="284" t="s">
        <v>208</v>
      </c>
      <c r="B135" s="284" t="s">
        <v>199</v>
      </c>
      <c r="C135" s="284" t="s">
        <v>352</v>
      </c>
      <c r="D135" s="284" t="s">
        <v>353</v>
      </c>
      <c r="E135" s="365">
        <f t="shared" si="40"/>
        <v>0</v>
      </c>
      <c r="F135" s="365">
        <f t="shared" si="41"/>
        <v>0</v>
      </c>
      <c r="G135" s="365"/>
      <c r="H135" s="365"/>
      <c r="I135" s="365"/>
      <c r="J135" s="365"/>
      <c r="K135" s="365"/>
      <c r="L135" s="365">
        <f t="shared" si="42"/>
        <v>0</v>
      </c>
      <c r="M135" s="365"/>
      <c r="N135" s="365"/>
      <c r="O135" s="365"/>
      <c r="P135" s="365">
        <f t="shared" ref="P135:P150" si="71">Q135+W135</f>
        <v>0</v>
      </c>
      <c r="Q135" s="365">
        <f t="shared" si="43"/>
        <v>0</v>
      </c>
      <c r="R135" s="365"/>
      <c r="S135" s="365"/>
      <c r="T135" s="365"/>
      <c r="U135" s="365"/>
      <c r="V135" s="365"/>
      <c r="W135" s="365">
        <f t="shared" si="44"/>
        <v>0</v>
      </c>
      <c r="X135" s="365"/>
      <c r="Y135" s="365"/>
      <c r="Z135" s="365"/>
      <c r="AA135" s="365"/>
      <c r="AB135" s="365"/>
      <c r="AC135" s="365"/>
      <c r="AD135" s="366">
        <v>0</v>
      </c>
      <c r="AE135" s="365">
        <f t="shared" si="70"/>
        <v>0</v>
      </c>
      <c r="AF135" s="365">
        <f t="shared" si="45"/>
        <v>0</v>
      </c>
      <c r="AG135" s="365">
        <f t="shared" si="60"/>
        <v>0</v>
      </c>
      <c r="AH135" s="365">
        <f t="shared" si="61"/>
        <v>0</v>
      </c>
      <c r="AI135" s="365">
        <f t="shared" si="62"/>
        <v>0</v>
      </c>
      <c r="AJ135" s="365">
        <f t="shared" si="63"/>
        <v>0</v>
      </c>
      <c r="AK135" s="365">
        <f t="shared" si="64"/>
        <v>0</v>
      </c>
      <c r="AL135" s="365">
        <f t="shared" si="46"/>
        <v>0</v>
      </c>
      <c r="AM135" s="365">
        <f t="shared" si="65"/>
        <v>0</v>
      </c>
      <c r="AN135" s="365">
        <f t="shared" si="66"/>
        <v>0</v>
      </c>
      <c r="AO135" s="365">
        <f t="shared" si="47"/>
        <v>0</v>
      </c>
      <c r="AP135" s="365">
        <f t="shared" si="67"/>
        <v>0</v>
      </c>
      <c r="AQ135" s="365">
        <f t="shared" si="48"/>
        <v>0</v>
      </c>
      <c r="AR135" s="365">
        <f t="shared" si="68"/>
        <v>0</v>
      </c>
      <c r="AS135" s="365">
        <f t="shared" si="69"/>
        <v>0</v>
      </c>
      <c r="AT135" s="363"/>
      <c r="AU135">
        <v>0.5</v>
      </c>
    </row>
    <row r="136" ht="24" spans="1:47">
      <c r="A136" s="284" t="s">
        <v>195</v>
      </c>
      <c r="B136" s="284" t="s">
        <v>196</v>
      </c>
      <c r="C136" s="284" t="s">
        <v>354</v>
      </c>
      <c r="D136" s="284" t="s">
        <v>355</v>
      </c>
      <c r="E136" s="365">
        <f t="shared" ref="E136:E150" si="72">F136+L136</f>
        <v>0</v>
      </c>
      <c r="F136" s="365">
        <f t="shared" ref="F136:F150" si="73">SUM(G136:K136)</f>
        <v>0</v>
      </c>
      <c r="G136" s="365"/>
      <c r="H136" s="365"/>
      <c r="I136" s="365"/>
      <c r="J136" s="365"/>
      <c r="K136" s="365"/>
      <c r="L136" s="365">
        <f t="shared" ref="L136:L150" si="74">SUM(M136:O136)</f>
        <v>0</v>
      </c>
      <c r="M136" s="365"/>
      <c r="N136" s="365"/>
      <c r="O136" s="365"/>
      <c r="P136" s="365">
        <f t="shared" si="71"/>
        <v>32.1242</v>
      </c>
      <c r="Q136" s="365">
        <f t="shared" ref="Q136:Q150" si="75">SUM(R136:V136)</f>
        <v>0</v>
      </c>
      <c r="R136" s="365"/>
      <c r="S136" s="365"/>
      <c r="T136" s="365"/>
      <c r="U136" s="365"/>
      <c r="V136" s="365"/>
      <c r="W136" s="365">
        <f t="shared" si="44"/>
        <v>32.1242</v>
      </c>
      <c r="X136" s="365"/>
      <c r="Y136" s="365">
        <v>20.45</v>
      </c>
      <c r="Z136" s="365">
        <v>2</v>
      </c>
      <c r="AA136" s="365"/>
      <c r="AB136" s="365">
        <v>9.6742</v>
      </c>
      <c r="AC136" s="365"/>
      <c r="AD136" s="366">
        <v>0</v>
      </c>
      <c r="AE136" s="365">
        <f t="shared" si="70"/>
        <v>32.1242</v>
      </c>
      <c r="AF136" s="365">
        <f t="shared" ref="AF136:AF150" si="76">SUM(AG136:AK136)</f>
        <v>0</v>
      </c>
      <c r="AG136" s="365">
        <f t="shared" si="60"/>
        <v>0</v>
      </c>
      <c r="AH136" s="365">
        <f t="shared" si="61"/>
        <v>0</v>
      </c>
      <c r="AI136" s="365">
        <f t="shared" si="62"/>
        <v>0</v>
      </c>
      <c r="AJ136" s="365">
        <f t="shared" si="63"/>
        <v>0</v>
      </c>
      <c r="AK136" s="365">
        <f t="shared" si="64"/>
        <v>0</v>
      </c>
      <c r="AL136" s="365">
        <f t="shared" ref="AL136:AL150" si="77">SUM(AM136:AS136)</f>
        <v>32.1242</v>
      </c>
      <c r="AM136" s="365">
        <f t="shared" si="65"/>
        <v>0</v>
      </c>
      <c r="AN136" s="365">
        <f t="shared" si="66"/>
        <v>20.45</v>
      </c>
      <c r="AO136" s="365">
        <f t="shared" ref="AO136:AO186" si="78">Z136</f>
        <v>2</v>
      </c>
      <c r="AP136" s="365">
        <f t="shared" si="67"/>
        <v>0</v>
      </c>
      <c r="AQ136" s="365">
        <f t="shared" ref="AQ136:AQ150" si="79">AB136</f>
        <v>9.6742</v>
      </c>
      <c r="AR136" s="365">
        <f t="shared" si="68"/>
        <v>0</v>
      </c>
      <c r="AS136" s="365">
        <f t="shared" si="69"/>
        <v>0</v>
      </c>
      <c r="AT136" s="363"/>
      <c r="AU136">
        <v>9.6742</v>
      </c>
    </row>
    <row r="137" ht="24" spans="1:47">
      <c r="A137" s="284" t="s">
        <v>195</v>
      </c>
      <c r="B137" s="284" t="s">
        <v>196</v>
      </c>
      <c r="C137" s="284" t="s">
        <v>356</v>
      </c>
      <c r="D137" s="284" t="s">
        <v>355</v>
      </c>
      <c r="E137" s="365">
        <f t="shared" si="72"/>
        <v>22.72</v>
      </c>
      <c r="F137" s="365">
        <f t="shared" si="73"/>
        <v>6.24</v>
      </c>
      <c r="G137" s="365">
        <v>3.34</v>
      </c>
      <c r="H137" s="365">
        <v>2.62</v>
      </c>
      <c r="I137" s="365">
        <v>0.28</v>
      </c>
      <c r="J137" s="365"/>
      <c r="K137" s="365"/>
      <c r="L137" s="365">
        <f t="shared" si="74"/>
        <v>16.48</v>
      </c>
      <c r="M137" s="365">
        <v>2.48</v>
      </c>
      <c r="N137" s="365"/>
      <c r="O137" s="365">
        <v>14</v>
      </c>
      <c r="P137" s="365">
        <f t="shared" si="71"/>
        <v>10.881</v>
      </c>
      <c r="Q137" s="365">
        <f t="shared" si="75"/>
        <v>10.58</v>
      </c>
      <c r="R137" s="365">
        <v>5.82</v>
      </c>
      <c r="S137" s="365">
        <v>4.14</v>
      </c>
      <c r="T137" s="365">
        <v>0.62</v>
      </c>
      <c r="U137" s="365"/>
      <c r="V137" s="365"/>
      <c r="W137" s="365">
        <f t="shared" si="44"/>
        <v>0.301</v>
      </c>
      <c r="X137" s="365"/>
      <c r="Y137" s="365">
        <f>6.7+1.3</f>
        <v>8</v>
      </c>
      <c r="Z137" s="365">
        <v>3</v>
      </c>
      <c r="AA137" s="365"/>
      <c r="AB137" s="365">
        <v>3.151</v>
      </c>
      <c r="AC137" s="365">
        <v>0.15</v>
      </c>
      <c r="AD137" s="366">
        <v>-14</v>
      </c>
      <c r="AE137" s="365">
        <f t="shared" si="70"/>
        <v>33.601</v>
      </c>
      <c r="AF137" s="365">
        <f t="shared" si="76"/>
        <v>16.82</v>
      </c>
      <c r="AG137" s="365">
        <f t="shared" si="60"/>
        <v>9.16</v>
      </c>
      <c r="AH137" s="365">
        <f t="shared" si="61"/>
        <v>6.76</v>
      </c>
      <c r="AI137" s="365">
        <f t="shared" si="62"/>
        <v>0.9</v>
      </c>
      <c r="AJ137" s="365">
        <f t="shared" si="63"/>
        <v>0</v>
      </c>
      <c r="AK137" s="365">
        <f t="shared" si="64"/>
        <v>0</v>
      </c>
      <c r="AL137" s="365">
        <f t="shared" si="77"/>
        <v>16.781</v>
      </c>
      <c r="AM137" s="365">
        <f t="shared" si="65"/>
        <v>2.48</v>
      </c>
      <c r="AN137" s="365">
        <f t="shared" si="66"/>
        <v>8</v>
      </c>
      <c r="AO137" s="365">
        <f t="shared" si="78"/>
        <v>3</v>
      </c>
      <c r="AP137" s="365">
        <f t="shared" si="67"/>
        <v>0</v>
      </c>
      <c r="AQ137" s="365">
        <f t="shared" si="79"/>
        <v>3.151</v>
      </c>
      <c r="AR137" s="365">
        <f t="shared" si="68"/>
        <v>0.15</v>
      </c>
      <c r="AS137" s="365">
        <f t="shared" si="69"/>
        <v>0</v>
      </c>
      <c r="AT137" s="350" t="s">
        <v>776</v>
      </c>
      <c r="AU137">
        <v>3.151</v>
      </c>
    </row>
    <row r="138" ht="24" spans="1:47">
      <c r="A138" s="284" t="s">
        <v>195</v>
      </c>
      <c r="B138" s="284" t="s">
        <v>196</v>
      </c>
      <c r="C138" s="284" t="s">
        <v>357</v>
      </c>
      <c r="D138" s="284" t="s">
        <v>355</v>
      </c>
      <c r="E138" s="365">
        <f t="shared" si="72"/>
        <v>61.29</v>
      </c>
      <c r="F138" s="365">
        <f t="shared" si="73"/>
        <v>36.8</v>
      </c>
      <c r="G138" s="365">
        <v>20.7</v>
      </c>
      <c r="H138" s="365">
        <v>14.38</v>
      </c>
      <c r="I138" s="365">
        <v>1.72</v>
      </c>
      <c r="J138" s="365"/>
      <c r="K138" s="365"/>
      <c r="L138" s="365">
        <f t="shared" si="74"/>
        <v>24.49</v>
      </c>
      <c r="M138" s="365"/>
      <c r="N138" s="374">
        <v>0.49</v>
      </c>
      <c r="O138" s="365">
        <v>24</v>
      </c>
      <c r="P138" s="365">
        <f t="shared" si="71"/>
        <v>2.104</v>
      </c>
      <c r="Q138" s="365">
        <f t="shared" si="75"/>
        <v>1.87</v>
      </c>
      <c r="R138" s="365">
        <v>1.94</v>
      </c>
      <c r="S138" s="365">
        <v>-0.12</v>
      </c>
      <c r="T138" s="365">
        <v>0.05</v>
      </c>
      <c r="U138" s="365"/>
      <c r="V138" s="365"/>
      <c r="W138" s="365">
        <f t="shared" si="44"/>
        <v>0.233999999999998</v>
      </c>
      <c r="X138" s="365"/>
      <c r="Y138" s="365">
        <f>11.05+3.31</f>
        <v>14.36</v>
      </c>
      <c r="Z138" s="365">
        <v>4</v>
      </c>
      <c r="AA138" s="365"/>
      <c r="AB138" s="365">
        <v>5.724</v>
      </c>
      <c r="AC138" s="365">
        <v>0.15</v>
      </c>
      <c r="AD138" s="366">
        <v>-24</v>
      </c>
      <c r="AE138" s="365">
        <f t="shared" si="70"/>
        <v>63.394</v>
      </c>
      <c r="AF138" s="365">
        <f t="shared" si="76"/>
        <v>38.67</v>
      </c>
      <c r="AG138" s="365">
        <f t="shared" si="60"/>
        <v>22.64</v>
      </c>
      <c r="AH138" s="365">
        <f t="shared" si="61"/>
        <v>14.26</v>
      </c>
      <c r="AI138" s="365">
        <f t="shared" si="62"/>
        <v>1.77</v>
      </c>
      <c r="AJ138" s="365">
        <f t="shared" si="63"/>
        <v>0</v>
      </c>
      <c r="AK138" s="365">
        <f t="shared" si="64"/>
        <v>0</v>
      </c>
      <c r="AL138" s="365">
        <f t="shared" si="77"/>
        <v>24.724</v>
      </c>
      <c r="AM138" s="365">
        <f t="shared" si="65"/>
        <v>0</v>
      </c>
      <c r="AN138" s="365">
        <f t="shared" si="66"/>
        <v>14.36</v>
      </c>
      <c r="AO138" s="365">
        <f t="shared" si="78"/>
        <v>4</v>
      </c>
      <c r="AP138" s="365">
        <f t="shared" si="67"/>
        <v>0</v>
      </c>
      <c r="AQ138" s="365">
        <f t="shared" si="79"/>
        <v>5.724</v>
      </c>
      <c r="AR138" s="365">
        <f t="shared" si="68"/>
        <v>0.64</v>
      </c>
      <c r="AS138" s="365">
        <f t="shared" si="69"/>
        <v>0</v>
      </c>
      <c r="AT138" s="350" t="s">
        <v>777</v>
      </c>
      <c r="AU138">
        <v>5.724</v>
      </c>
    </row>
    <row r="139" ht="24" spans="1:47">
      <c r="A139" s="284" t="s">
        <v>195</v>
      </c>
      <c r="B139" s="284" t="s">
        <v>196</v>
      </c>
      <c r="C139" s="284" t="s">
        <v>358</v>
      </c>
      <c r="D139" s="284" t="s">
        <v>355</v>
      </c>
      <c r="E139" s="365">
        <f t="shared" si="72"/>
        <v>13.07</v>
      </c>
      <c r="F139" s="365">
        <f t="shared" si="73"/>
        <v>7.07</v>
      </c>
      <c r="G139" s="365">
        <v>4</v>
      </c>
      <c r="H139" s="365">
        <v>2.74</v>
      </c>
      <c r="I139" s="365">
        <v>0.33</v>
      </c>
      <c r="J139" s="365"/>
      <c r="K139" s="365"/>
      <c r="L139" s="365">
        <f t="shared" si="74"/>
        <v>6</v>
      </c>
      <c r="M139" s="365"/>
      <c r="N139" s="365"/>
      <c r="O139" s="365">
        <v>6</v>
      </c>
      <c r="P139" s="365">
        <f t="shared" si="71"/>
        <v>-0.9462</v>
      </c>
      <c r="Q139" s="365">
        <f t="shared" si="75"/>
        <v>0.75</v>
      </c>
      <c r="R139" s="365">
        <v>0.66</v>
      </c>
      <c r="S139" s="365">
        <v>0.06</v>
      </c>
      <c r="T139" s="365">
        <v>0.03</v>
      </c>
      <c r="U139" s="365"/>
      <c r="V139" s="365"/>
      <c r="W139" s="365">
        <f t="shared" si="44"/>
        <v>-1.6962</v>
      </c>
      <c r="X139" s="365"/>
      <c r="Y139" s="365">
        <f>2.12+0.63</f>
        <v>2.75</v>
      </c>
      <c r="Z139" s="365">
        <v>1</v>
      </c>
      <c r="AA139" s="365"/>
      <c r="AB139" s="365">
        <v>0.5538</v>
      </c>
      <c r="AC139" s="365"/>
      <c r="AD139" s="366">
        <v>-6</v>
      </c>
      <c r="AE139" s="365">
        <f t="shared" si="70"/>
        <v>12.1238</v>
      </c>
      <c r="AF139" s="365">
        <f t="shared" si="76"/>
        <v>7.82</v>
      </c>
      <c r="AG139" s="365">
        <f t="shared" si="60"/>
        <v>4.66</v>
      </c>
      <c r="AH139" s="365">
        <f t="shared" si="61"/>
        <v>2.8</v>
      </c>
      <c r="AI139" s="365">
        <f t="shared" si="62"/>
        <v>0.36</v>
      </c>
      <c r="AJ139" s="365">
        <f t="shared" si="63"/>
        <v>0</v>
      </c>
      <c r="AK139" s="365">
        <f t="shared" si="64"/>
        <v>0</v>
      </c>
      <c r="AL139" s="365">
        <f t="shared" si="77"/>
        <v>4.3038</v>
      </c>
      <c r="AM139" s="365">
        <f t="shared" si="65"/>
        <v>0</v>
      </c>
      <c r="AN139" s="365">
        <f t="shared" si="66"/>
        <v>2.75</v>
      </c>
      <c r="AO139" s="365">
        <f t="shared" si="78"/>
        <v>1</v>
      </c>
      <c r="AP139" s="365">
        <f t="shared" si="67"/>
        <v>0</v>
      </c>
      <c r="AQ139" s="365">
        <f t="shared" si="79"/>
        <v>0.5538</v>
      </c>
      <c r="AR139" s="365">
        <f t="shared" si="68"/>
        <v>0</v>
      </c>
      <c r="AS139" s="365">
        <f t="shared" si="69"/>
        <v>0</v>
      </c>
      <c r="AT139" s="363"/>
      <c r="AU139">
        <v>0.5538</v>
      </c>
    </row>
    <row r="140" ht="24" spans="1:47">
      <c r="A140" s="284" t="s">
        <v>195</v>
      </c>
      <c r="B140" s="284" t="s">
        <v>196</v>
      </c>
      <c r="C140" s="284" t="s">
        <v>359</v>
      </c>
      <c r="D140" s="284" t="s">
        <v>355</v>
      </c>
      <c r="E140" s="365">
        <f t="shared" si="72"/>
        <v>29.66</v>
      </c>
      <c r="F140" s="365">
        <f t="shared" si="73"/>
        <v>17.66</v>
      </c>
      <c r="G140" s="365">
        <v>10.15</v>
      </c>
      <c r="H140" s="365">
        <v>6.66</v>
      </c>
      <c r="I140" s="365">
        <v>0.85</v>
      </c>
      <c r="J140" s="365"/>
      <c r="K140" s="365"/>
      <c r="L140" s="365">
        <f t="shared" si="74"/>
        <v>12</v>
      </c>
      <c r="M140" s="365"/>
      <c r="N140" s="365"/>
      <c r="O140" s="366">
        <v>12</v>
      </c>
      <c r="P140" s="365">
        <f t="shared" si="71"/>
        <v>-3.2228</v>
      </c>
      <c r="Q140" s="365">
        <f t="shared" si="75"/>
        <v>-0.99</v>
      </c>
      <c r="R140" s="365">
        <v>-1.06</v>
      </c>
      <c r="S140" s="365"/>
      <c r="T140" s="365">
        <v>0.07</v>
      </c>
      <c r="U140" s="365"/>
      <c r="V140" s="365"/>
      <c r="W140" s="365">
        <f t="shared" si="44"/>
        <v>-2.2328</v>
      </c>
      <c r="X140" s="365"/>
      <c r="Y140" s="365">
        <f>4.97+1.49</f>
        <v>6.46</v>
      </c>
      <c r="Z140" s="365">
        <v>1</v>
      </c>
      <c r="AA140" s="365"/>
      <c r="AB140" s="365">
        <v>2.3072</v>
      </c>
      <c r="AC140" s="365"/>
      <c r="AD140" s="366">
        <v>-12</v>
      </c>
      <c r="AE140" s="365">
        <f t="shared" si="70"/>
        <v>26.4372</v>
      </c>
      <c r="AF140" s="365">
        <f t="shared" si="76"/>
        <v>16.67</v>
      </c>
      <c r="AG140" s="365">
        <f t="shared" si="60"/>
        <v>9.09</v>
      </c>
      <c r="AH140" s="365">
        <f t="shared" si="61"/>
        <v>6.66</v>
      </c>
      <c r="AI140" s="365">
        <f t="shared" si="62"/>
        <v>0.92</v>
      </c>
      <c r="AJ140" s="365">
        <f t="shared" si="63"/>
        <v>0</v>
      </c>
      <c r="AK140" s="365">
        <f t="shared" si="64"/>
        <v>0</v>
      </c>
      <c r="AL140" s="365">
        <f t="shared" si="77"/>
        <v>9.7672</v>
      </c>
      <c r="AM140" s="365">
        <f t="shared" si="65"/>
        <v>0</v>
      </c>
      <c r="AN140" s="365">
        <f t="shared" si="66"/>
        <v>6.46</v>
      </c>
      <c r="AO140" s="365">
        <f t="shared" si="78"/>
        <v>1</v>
      </c>
      <c r="AP140" s="365">
        <f t="shared" si="67"/>
        <v>0</v>
      </c>
      <c r="AQ140" s="365">
        <f t="shared" si="79"/>
        <v>2.3072</v>
      </c>
      <c r="AR140" s="365">
        <f t="shared" si="68"/>
        <v>0</v>
      </c>
      <c r="AS140" s="365">
        <f t="shared" si="69"/>
        <v>0</v>
      </c>
      <c r="AT140" s="363"/>
      <c r="AU140">
        <v>2.3072</v>
      </c>
    </row>
    <row r="141" ht="24" spans="1:47">
      <c r="A141" s="284" t="s">
        <v>208</v>
      </c>
      <c r="B141" s="284" t="s">
        <v>196</v>
      </c>
      <c r="C141" s="284" t="s">
        <v>360</v>
      </c>
      <c r="D141" s="284" t="s">
        <v>355</v>
      </c>
      <c r="E141" s="365">
        <f t="shared" si="72"/>
        <v>26.68</v>
      </c>
      <c r="F141" s="365">
        <f t="shared" si="73"/>
        <v>14.68</v>
      </c>
      <c r="G141" s="365">
        <v>8.44</v>
      </c>
      <c r="H141" s="365">
        <v>5.54</v>
      </c>
      <c r="I141" s="365">
        <v>0.7</v>
      </c>
      <c r="J141" s="365"/>
      <c r="K141" s="365"/>
      <c r="L141" s="365">
        <f t="shared" si="74"/>
        <v>12</v>
      </c>
      <c r="M141" s="365"/>
      <c r="N141" s="365"/>
      <c r="O141" s="366">
        <v>12</v>
      </c>
      <c r="P141" s="365">
        <f t="shared" si="71"/>
        <v>-2.9204</v>
      </c>
      <c r="Q141" s="365">
        <f t="shared" si="75"/>
        <v>1.4118</v>
      </c>
      <c r="R141" s="365">
        <v>1.3518</v>
      </c>
      <c r="S141" s="365"/>
      <c r="T141" s="365">
        <v>0.06</v>
      </c>
      <c r="U141" s="365"/>
      <c r="V141" s="365"/>
      <c r="W141" s="365">
        <f t="shared" si="44"/>
        <v>-4.3322</v>
      </c>
      <c r="X141" s="365"/>
      <c r="Y141" s="365">
        <v>4.23</v>
      </c>
      <c r="Z141" s="365">
        <v>2</v>
      </c>
      <c r="AA141" s="365"/>
      <c r="AB141" s="365">
        <v>1.4378</v>
      </c>
      <c r="AC141" s="365"/>
      <c r="AD141" s="366">
        <v>-12</v>
      </c>
      <c r="AE141" s="365">
        <f t="shared" si="70"/>
        <v>23.7596</v>
      </c>
      <c r="AF141" s="365">
        <f t="shared" si="76"/>
        <v>16.0918</v>
      </c>
      <c r="AG141" s="365">
        <f t="shared" si="60"/>
        <v>9.7918</v>
      </c>
      <c r="AH141" s="365">
        <f t="shared" si="61"/>
        <v>5.54</v>
      </c>
      <c r="AI141" s="365">
        <f t="shared" si="62"/>
        <v>0.76</v>
      </c>
      <c r="AJ141" s="365">
        <f t="shared" si="63"/>
        <v>0</v>
      </c>
      <c r="AK141" s="365">
        <f t="shared" si="64"/>
        <v>0</v>
      </c>
      <c r="AL141" s="365">
        <f t="shared" si="77"/>
        <v>7.6678</v>
      </c>
      <c r="AM141" s="365">
        <f t="shared" si="65"/>
        <v>0</v>
      </c>
      <c r="AN141" s="365">
        <f t="shared" si="66"/>
        <v>4.23</v>
      </c>
      <c r="AO141" s="365">
        <f t="shared" si="78"/>
        <v>2</v>
      </c>
      <c r="AP141" s="365">
        <f t="shared" si="67"/>
        <v>0</v>
      </c>
      <c r="AQ141" s="365">
        <f t="shared" si="79"/>
        <v>1.4378</v>
      </c>
      <c r="AR141" s="365">
        <f t="shared" si="68"/>
        <v>0</v>
      </c>
      <c r="AS141" s="365">
        <f t="shared" si="69"/>
        <v>0</v>
      </c>
      <c r="AT141" s="363"/>
      <c r="AU141">
        <v>1.4378</v>
      </c>
    </row>
    <row r="142" ht="24" spans="1:46">
      <c r="A142" s="284" t="s">
        <v>195</v>
      </c>
      <c r="B142" s="284" t="s">
        <v>199</v>
      </c>
      <c r="C142" s="284" t="s">
        <v>361</v>
      </c>
      <c r="D142" s="284" t="s">
        <v>362</v>
      </c>
      <c r="E142" s="365">
        <f t="shared" si="72"/>
        <v>0</v>
      </c>
      <c r="F142" s="365">
        <f t="shared" si="73"/>
        <v>0</v>
      </c>
      <c r="G142" s="365"/>
      <c r="H142" s="365"/>
      <c r="I142" s="365"/>
      <c r="J142" s="365"/>
      <c r="K142" s="365"/>
      <c r="L142" s="365">
        <f t="shared" si="74"/>
        <v>0</v>
      </c>
      <c r="M142" s="365"/>
      <c r="N142" s="365"/>
      <c r="O142" s="365"/>
      <c r="P142" s="365">
        <f t="shared" si="71"/>
        <v>0</v>
      </c>
      <c r="Q142" s="365">
        <f t="shared" si="75"/>
        <v>0</v>
      </c>
      <c r="R142" s="365"/>
      <c r="S142" s="365"/>
      <c r="T142" s="365"/>
      <c r="U142" s="365"/>
      <c r="V142" s="365"/>
      <c r="W142" s="365">
        <f t="shared" ref="W142:W155" si="80">SUM(X142:AD142)</f>
        <v>0</v>
      </c>
      <c r="X142" s="365"/>
      <c r="Y142" s="365"/>
      <c r="Z142" s="365"/>
      <c r="AA142" s="365"/>
      <c r="AB142" s="365"/>
      <c r="AC142" s="365"/>
      <c r="AD142" s="366">
        <v>0</v>
      </c>
      <c r="AE142" s="365">
        <f t="shared" si="70"/>
        <v>0</v>
      </c>
      <c r="AF142" s="365">
        <f t="shared" si="76"/>
        <v>0</v>
      </c>
      <c r="AG142" s="365">
        <f t="shared" si="60"/>
        <v>0</v>
      </c>
      <c r="AH142" s="365">
        <f t="shared" si="61"/>
        <v>0</v>
      </c>
      <c r="AI142" s="365">
        <f t="shared" si="62"/>
        <v>0</v>
      </c>
      <c r="AJ142" s="365">
        <f t="shared" si="63"/>
        <v>0</v>
      </c>
      <c r="AK142" s="365">
        <f t="shared" si="64"/>
        <v>0</v>
      </c>
      <c r="AL142" s="365">
        <f t="shared" si="77"/>
        <v>0</v>
      </c>
      <c r="AM142" s="365">
        <f t="shared" si="65"/>
        <v>0</v>
      </c>
      <c r="AN142" s="365">
        <f t="shared" si="66"/>
        <v>0</v>
      </c>
      <c r="AO142" s="365">
        <f t="shared" si="78"/>
        <v>0</v>
      </c>
      <c r="AP142" s="365">
        <f t="shared" si="67"/>
        <v>0</v>
      </c>
      <c r="AQ142" s="365">
        <f t="shared" si="79"/>
        <v>0</v>
      </c>
      <c r="AR142" s="365">
        <f t="shared" si="68"/>
        <v>0</v>
      </c>
      <c r="AS142" s="365">
        <f t="shared" si="69"/>
        <v>0</v>
      </c>
      <c r="AT142" s="363"/>
    </row>
    <row r="143" ht="24" spans="1:46">
      <c r="A143" s="284" t="s">
        <v>195</v>
      </c>
      <c r="B143" s="284" t="s">
        <v>199</v>
      </c>
      <c r="C143" s="284" t="s">
        <v>363</v>
      </c>
      <c r="D143" s="284" t="s">
        <v>362</v>
      </c>
      <c r="E143" s="365">
        <f t="shared" si="72"/>
        <v>0</v>
      </c>
      <c r="F143" s="365">
        <f t="shared" si="73"/>
        <v>0</v>
      </c>
      <c r="G143" s="365"/>
      <c r="H143" s="365"/>
      <c r="I143" s="365"/>
      <c r="J143" s="365"/>
      <c r="K143" s="365"/>
      <c r="L143" s="365">
        <f t="shared" si="74"/>
        <v>0</v>
      </c>
      <c r="M143" s="365"/>
      <c r="N143" s="365"/>
      <c r="O143" s="365"/>
      <c r="P143" s="365">
        <f t="shared" si="71"/>
        <v>0</v>
      </c>
      <c r="Q143" s="365">
        <f t="shared" si="75"/>
        <v>0</v>
      </c>
      <c r="R143" s="365"/>
      <c r="S143" s="365"/>
      <c r="T143" s="365"/>
      <c r="U143" s="365"/>
      <c r="V143" s="365"/>
      <c r="W143" s="365">
        <f t="shared" si="80"/>
        <v>0</v>
      </c>
      <c r="X143" s="365"/>
      <c r="Y143" s="365"/>
      <c r="Z143" s="365"/>
      <c r="AA143" s="365"/>
      <c r="AB143" s="365"/>
      <c r="AC143" s="365"/>
      <c r="AD143" s="366">
        <v>0</v>
      </c>
      <c r="AE143" s="365">
        <f t="shared" si="70"/>
        <v>0</v>
      </c>
      <c r="AF143" s="365">
        <f t="shared" si="76"/>
        <v>0</v>
      </c>
      <c r="AG143" s="365">
        <f t="shared" si="60"/>
        <v>0</v>
      </c>
      <c r="AH143" s="365">
        <f t="shared" si="61"/>
        <v>0</v>
      </c>
      <c r="AI143" s="365">
        <f t="shared" si="62"/>
        <v>0</v>
      </c>
      <c r="AJ143" s="365">
        <f t="shared" si="63"/>
        <v>0</v>
      </c>
      <c r="AK143" s="365">
        <f t="shared" si="64"/>
        <v>0</v>
      </c>
      <c r="AL143" s="365">
        <f t="shared" si="77"/>
        <v>0</v>
      </c>
      <c r="AM143" s="365">
        <f t="shared" si="65"/>
        <v>0</v>
      </c>
      <c r="AN143" s="365">
        <f t="shared" si="66"/>
        <v>0</v>
      </c>
      <c r="AO143" s="365">
        <f t="shared" si="78"/>
        <v>0</v>
      </c>
      <c r="AP143" s="365">
        <f t="shared" si="67"/>
        <v>0</v>
      </c>
      <c r="AQ143" s="365">
        <f t="shared" si="79"/>
        <v>0</v>
      </c>
      <c r="AR143" s="365">
        <f t="shared" si="68"/>
        <v>0</v>
      </c>
      <c r="AS143" s="365">
        <f t="shared" si="69"/>
        <v>0</v>
      </c>
      <c r="AT143" s="363"/>
    </row>
    <row r="144" ht="24" spans="1:47">
      <c r="A144" s="284" t="s">
        <v>195</v>
      </c>
      <c r="B144" s="284" t="s">
        <v>199</v>
      </c>
      <c r="C144" s="284" t="s">
        <v>364</v>
      </c>
      <c r="D144" s="284" t="s">
        <v>362</v>
      </c>
      <c r="E144" s="365">
        <f t="shared" si="72"/>
        <v>0</v>
      </c>
      <c r="F144" s="365">
        <f t="shared" si="73"/>
        <v>0</v>
      </c>
      <c r="G144" s="365"/>
      <c r="H144" s="365"/>
      <c r="I144" s="365"/>
      <c r="J144" s="365"/>
      <c r="K144" s="365"/>
      <c r="L144" s="365">
        <f t="shared" si="74"/>
        <v>0</v>
      </c>
      <c r="M144" s="365"/>
      <c r="N144" s="365"/>
      <c r="O144" s="366"/>
      <c r="P144" s="365">
        <f t="shared" si="71"/>
        <v>0</v>
      </c>
      <c r="Q144" s="365">
        <f t="shared" si="75"/>
        <v>0</v>
      </c>
      <c r="R144" s="365"/>
      <c r="S144" s="365"/>
      <c r="T144" s="365"/>
      <c r="U144" s="365"/>
      <c r="V144" s="365"/>
      <c r="W144" s="365">
        <f t="shared" si="80"/>
        <v>0</v>
      </c>
      <c r="X144" s="365"/>
      <c r="Y144" s="365"/>
      <c r="Z144" s="365"/>
      <c r="AA144" s="365"/>
      <c r="AB144" s="365"/>
      <c r="AC144" s="365"/>
      <c r="AD144" s="366">
        <v>0</v>
      </c>
      <c r="AE144" s="365">
        <f t="shared" si="70"/>
        <v>0</v>
      </c>
      <c r="AF144" s="365">
        <f t="shared" si="76"/>
        <v>0</v>
      </c>
      <c r="AG144" s="365">
        <f t="shared" si="60"/>
        <v>0</v>
      </c>
      <c r="AH144" s="365">
        <f t="shared" si="61"/>
        <v>0</v>
      </c>
      <c r="AI144" s="365">
        <f t="shared" si="62"/>
        <v>0</v>
      </c>
      <c r="AJ144" s="365">
        <f t="shared" si="63"/>
        <v>0</v>
      </c>
      <c r="AK144" s="365">
        <f t="shared" si="64"/>
        <v>0</v>
      </c>
      <c r="AL144" s="365">
        <f t="shared" si="77"/>
        <v>0</v>
      </c>
      <c r="AM144" s="365">
        <f t="shared" si="65"/>
        <v>0</v>
      </c>
      <c r="AN144" s="365">
        <f t="shared" si="66"/>
        <v>0</v>
      </c>
      <c r="AO144" s="365">
        <f t="shared" si="78"/>
        <v>0</v>
      </c>
      <c r="AP144" s="365">
        <f t="shared" si="67"/>
        <v>0</v>
      </c>
      <c r="AQ144" s="365">
        <f t="shared" si="79"/>
        <v>0</v>
      </c>
      <c r="AR144" s="365">
        <f t="shared" si="68"/>
        <v>0</v>
      </c>
      <c r="AS144" s="365">
        <f t="shared" si="69"/>
        <v>0</v>
      </c>
      <c r="AT144" s="363"/>
      <c r="AU144">
        <v>1.5</v>
      </c>
    </row>
    <row r="145" ht="24" spans="1:47">
      <c r="A145" s="284" t="s">
        <v>208</v>
      </c>
      <c r="B145" s="284" t="s">
        <v>199</v>
      </c>
      <c r="C145" s="284" t="s">
        <v>365</v>
      </c>
      <c r="D145" s="284" t="s">
        <v>362</v>
      </c>
      <c r="E145" s="365">
        <f t="shared" si="72"/>
        <v>0</v>
      </c>
      <c r="F145" s="365">
        <f t="shared" si="73"/>
        <v>0</v>
      </c>
      <c r="G145" s="365"/>
      <c r="H145" s="365"/>
      <c r="I145" s="365"/>
      <c r="J145" s="365"/>
      <c r="K145" s="365"/>
      <c r="L145" s="365">
        <f t="shared" si="74"/>
        <v>0</v>
      </c>
      <c r="M145" s="365"/>
      <c r="N145" s="365"/>
      <c r="O145" s="366"/>
      <c r="P145" s="365">
        <f t="shared" si="71"/>
        <v>0</v>
      </c>
      <c r="Q145" s="365">
        <f t="shared" si="75"/>
        <v>0</v>
      </c>
      <c r="R145" s="365"/>
      <c r="S145" s="365"/>
      <c r="T145" s="365"/>
      <c r="U145" s="365"/>
      <c r="V145" s="365"/>
      <c r="W145" s="365">
        <f t="shared" si="80"/>
        <v>0</v>
      </c>
      <c r="X145" s="365"/>
      <c r="Y145" s="365"/>
      <c r="Z145" s="365"/>
      <c r="AA145" s="365"/>
      <c r="AB145" s="365"/>
      <c r="AC145" s="365"/>
      <c r="AD145" s="366">
        <v>0</v>
      </c>
      <c r="AE145" s="365">
        <f t="shared" si="70"/>
        <v>0</v>
      </c>
      <c r="AF145" s="365">
        <f t="shared" si="76"/>
        <v>0</v>
      </c>
      <c r="AG145" s="365">
        <f t="shared" si="60"/>
        <v>0</v>
      </c>
      <c r="AH145" s="365">
        <f t="shared" si="61"/>
        <v>0</v>
      </c>
      <c r="AI145" s="365">
        <f t="shared" si="62"/>
        <v>0</v>
      </c>
      <c r="AJ145" s="365">
        <f t="shared" si="63"/>
        <v>0</v>
      </c>
      <c r="AK145" s="365">
        <f t="shared" si="64"/>
        <v>0</v>
      </c>
      <c r="AL145" s="365">
        <f t="shared" si="77"/>
        <v>0</v>
      </c>
      <c r="AM145" s="365">
        <f t="shared" si="65"/>
        <v>0</v>
      </c>
      <c r="AN145" s="365">
        <f t="shared" si="66"/>
        <v>0</v>
      </c>
      <c r="AO145" s="365">
        <f t="shared" si="78"/>
        <v>0</v>
      </c>
      <c r="AP145" s="365">
        <f t="shared" si="67"/>
        <v>0</v>
      </c>
      <c r="AQ145" s="365">
        <f t="shared" si="79"/>
        <v>0</v>
      </c>
      <c r="AR145" s="365">
        <f t="shared" si="68"/>
        <v>0</v>
      </c>
      <c r="AS145" s="365">
        <f t="shared" si="69"/>
        <v>0</v>
      </c>
      <c r="AT145" s="363"/>
      <c r="AU145">
        <v>1</v>
      </c>
    </row>
    <row r="146" ht="36" spans="1:46">
      <c r="A146" s="284" t="s">
        <v>195</v>
      </c>
      <c r="B146" s="284" t="s">
        <v>366</v>
      </c>
      <c r="C146" s="284" t="s">
        <v>367</v>
      </c>
      <c r="D146" s="284" t="s">
        <v>368</v>
      </c>
      <c r="E146" s="365">
        <f t="shared" si="72"/>
        <v>0</v>
      </c>
      <c r="F146" s="365">
        <f t="shared" si="73"/>
        <v>0</v>
      </c>
      <c r="G146" s="365"/>
      <c r="H146" s="365"/>
      <c r="I146" s="365"/>
      <c r="J146" s="365"/>
      <c r="K146" s="365"/>
      <c r="L146" s="365">
        <f t="shared" si="74"/>
        <v>0</v>
      </c>
      <c r="M146" s="365"/>
      <c r="N146" s="365"/>
      <c r="O146" s="366"/>
      <c r="P146" s="365">
        <f t="shared" si="71"/>
        <v>0</v>
      </c>
      <c r="Q146" s="365">
        <f t="shared" si="75"/>
        <v>0</v>
      </c>
      <c r="R146" s="365"/>
      <c r="S146" s="365"/>
      <c r="T146" s="365"/>
      <c r="U146" s="365"/>
      <c r="V146" s="365"/>
      <c r="W146" s="365">
        <f t="shared" si="80"/>
        <v>0</v>
      </c>
      <c r="X146" s="365"/>
      <c r="Y146" s="365"/>
      <c r="Z146" s="365"/>
      <c r="AA146" s="365"/>
      <c r="AB146" s="365"/>
      <c r="AC146" s="365"/>
      <c r="AD146" s="366">
        <v>0</v>
      </c>
      <c r="AE146" s="365">
        <f t="shared" si="70"/>
        <v>0</v>
      </c>
      <c r="AF146" s="365">
        <f t="shared" si="76"/>
        <v>0</v>
      </c>
      <c r="AG146" s="365">
        <f t="shared" si="60"/>
        <v>0</v>
      </c>
      <c r="AH146" s="365">
        <f t="shared" si="61"/>
        <v>0</v>
      </c>
      <c r="AI146" s="365">
        <f t="shared" si="62"/>
        <v>0</v>
      </c>
      <c r="AJ146" s="365">
        <f t="shared" si="63"/>
        <v>0</v>
      </c>
      <c r="AK146" s="365">
        <f t="shared" si="64"/>
        <v>0</v>
      </c>
      <c r="AL146" s="365">
        <f t="shared" si="77"/>
        <v>0</v>
      </c>
      <c r="AM146" s="365">
        <f t="shared" si="65"/>
        <v>0</v>
      </c>
      <c r="AN146" s="365">
        <f t="shared" si="66"/>
        <v>0</v>
      </c>
      <c r="AO146" s="365">
        <f t="shared" si="78"/>
        <v>0</v>
      </c>
      <c r="AP146" s="365">
        <f t="shared" si="67"/>
        <v>0</v>
      </c>
      <c r="AQ146" s="365">
        <f t="shared" si="79"/>
        <v>0</v>
      </c>
      <c r="AR146" s="365">
        <f t="shared" si="68"/>
        <v>0</v>
      </c>
      <c r="AS146" s="365">
        <f t="shared" si="69"/>
        <v>0</v>
      </c>
      <c r="AT146" s="363"/>
    </row>
    <row r="147" ht="24" spans="1:47">
      <c r="A147" s="284" t="s">
        <v>195</v>
      </c>
      <c r="B147" s="284" t="s">
        <v>196</v>
      </c>
      <c r="C147" s="284" t="s">
        <v>369</v>
      </c>
      <c r="D147" s="284" t="s">
        <v>370</v>
      </c>
      <c r="E147" s="365">
        <f t="shared" si="72"/>
        <v>578.62</v>
      </c>
      <c r="F147" s="365">
        <f t="shared" si="73"/>
        <v>240.71</v>
      </c>
      <c r="G147" s="365">
        <v>134</v>
      </c>
      <c r="H147" s="365">
        <v>95.54</v>
      </c>
      <c r="I147" s="365">
        <v>11.17</v>
      </c>
      <c r="J147" s="365"/>
      <c r="K147" s="365"/>
      <c r="L147" s="365">
        <f t="shared" si="74"/>
        <v>337.91</v>
      </c>
      <c r="M147" s="365">
        <v>9.91</v>
      </c>
      <c r="N147" s="365"/>
      <c r="O147" s="366">
        <v>328</v>
      </c>
      <c r="P147" s="365">
        <f t="shared" si="71"/>
        <v>-157.4204</v>
      </c>
      <c r="Q147" s="365">
        <f t="shared" si="75"/>
        <v>-11.12</v>
      </c>
      <c r="R147" s="365">
        <v>-1.01</v>
      </c>
      <c r="S147" s="365">
        <v>-10.34</v>
      </c>
      <c r="T147" s="365">
        <v>0.23</v>
      </c>
      <c r="U147" s="365"/>
      <c r="V147" s="365"/>
      <c r="W147" s="365">
        <f t="shared" si="80"/>
        <v>-146.3004</v>
      </c>
      <c r="X147" s="365"/>
      <c r="Y147" s="365">
        <f>65.99+31.54</f>
        <v>97.53</v>
      </c>
      <c r="Z147" s="365">
        <v>22</v>
      </c>
      <c r="AA147" s="365">
        <v>30.45</v>
      </c>
      <c r="AB147" s="365">
        <v>30.0696</v>
      </c>
      <c r="AC147" s="365">
        <v>1.65</v>
      </c>
      <c r="AD147" s="366">
        <v>-328</v>
      </c>
      <c r="AE147" s="365">
        <f t="shared" si="70"/>
        <v>421.1996</v>
      </c>
      <c r="AF147" s="365">
        <f t="shared" si="76"/>
        <v>229.59</v>
      </c>
      <c r="AG147" s="365">
        <f t="shared" si="60"/>
        <v>132.99</v>
      </c>
      <c r="AH147" s="365">
        <f t="shared" si="61"/>
        <v>85.2</v>
      </c>
      <c r="AI147" s="365">
        <f t="shared" si="62"/>
        <v>11.4</v>
      </c>
      <c r="AJ147" s="365">
        <f t="shared" si="63"/>
        <v>0</v>
      </c>
      <c r="AK147" s="365">
        <f t="shared" si="64"/>
        <v>0</v>
      </c>
      <c r="AL147" s="365">
        <f t="shared" si="77"/>
        <v>191.6096</v>
      </c>
      <c r="AM147" s="365">
        <f t="shared" si="65"/>
        <v>9.91</v>
      </c>
      <c r="AN147" s="365">
        <f t="shared" si="66"/>
        <v>97.53</v>
      </c>
      <c r="AO147" s="365">
        <f t="shared" si="78"/>
        <v>22</v>
      </c>
      <c r="AP147" s="365">
        <f t="shared" si="67"/>
        <v>30.45</v>
      </c>
      <c r="AQ147" s="365">
        <f t="shared" si="79"/>
        <v>30.0696</v>
      </c>
      <c r="AR147" s="365">
        <f t="shared" si="68"/>
        <v>1.65</v>
      </c>
      <c r="AS147" s="365">
        <f t="shared" si="69"/>
        <v>0</v>
      </c>
      <c r="AT147" s="363" t="s">
        <v>774</v>
      </c>
      <c r="AU147">
        <v>30.0696</v>
      </c>
    </row>
    <row r="148" ht="24" spans="1:46">
      <c r="A148" s="284" t="s">
        <v>195</v>
      </c>
      <c r="B148" s="284" t="s">
        <v>196</v>
      </c>
      <c r="C148" s="284" t="s">
        <v>371</v>
      </c>
      <c r="D148" s="284" t="s">
        <v>370</v>
      </c>
      <c r="E148" s="365">
        <f t="shared" si="72"/>
        <v>32.53</v>
      </c>
      <c r="F148" s="365">
        <f t="shared" si="73"/>
        <v>32.53</v>
      </c>
      <c r="G148" s="365">
        <v>17.83</v>
      </c>
      <c r="H148" s="365">
        <v>13.21</v>
      </c>
      <c r="I148" s="365">
        <v>1.49</v>
      </c>
      <c r="J148" s="365"/>
      <c r="K148" s="365"/>
      <c r="L148" s="365">
        <f t="shared" si="74"/>
        <v>0</v>
      </c>
      <c r="M148" s="365"/>
      <c r="N148" s="365"/>
      <c r="O148" s="365"/>
      <c r="P148" s="365">
        <f t="shared" si="71"/>
        <v>22.64</v>
      </c>
      <c r="Q148" s="365">
        <f t="shared" si="75"/>
        <v>-0.62</v>
      </c>
      <c r="R148" s="365">
        <v>0.49</v>
      </c>
      <c r="S148" s="365">
        <v>-1.24</v>
      </c>
      <c r="T148" s="365">
        <v>0.13</v>
      </c>
      <c r="U148" s="365"/>
      <c r="V148" s="365"/>
      <c r="W148" s="365">
        <f t="shared" si="80"/>
        <v>23.26</v>
      </c>
      <c r="X148" s="365"/>
      <c r="Y148" s="365">
        <f>10.43+4.58</f>
        <v>15.01</v>
      </c>
      <c r="Z148" s="365">
        <v>3</v>
      </c>
      <c r="AA148" s="365">
        <v>5.25</v>
      </c>
      <c r="AB148" s="365">
        <v>0</v>
      </c>
      <c r="AC148" s="365"/>
      <c r="AD148" s="366">
        <v>0</v>
      </c>
      <c r="AE148" s="365">
        <f t="shared" si="70"/>
        <v>55.17</v>
      </c>
      <c r="AF148" s="365">
        <f t="shared" si="76"/>
        <v>31.91</v>
      </c>
      <c r="AG148" s="365">
        <f t="shared" si="60"/>
        <v>18.32</v>
      </c>
      <c r="AH148" s="365">
        <f t="shared" si="61"/>
        <v>11.97</v>
      </c>
      <c r="AI148" s="365">
        <f t="shared" si="62"/>
        <v>1.62</v>
      </c>
      <c r="AJ148" s="365">
        <f t="shared" si="63"/>
        <v>0</v>
      </c>
      <c r="AK148" s="365">
        <f t="shared" si="64"/>
        <v>0</v>
      </c>
      <c r="AL148" s="365">
        <f t="shared" si="77"/>
        <v>23.26</v>
      </c>
      <c r="AM148" s="365">
        <f t="shared" si="65"/>
        <v>0</v>
      </c>
      <c r="AN148" s="365">
        <f t="shared" si="66"/>
        <v>15.01</v>
      </c>
      <c r="AO148" s="365">
        <f t="shared" si="78"/>
        <v>3</v>
      </c>
      <c r="AP148" s="365">
        <f t="shared" si="67"/>
        <v>5.25</v>
      </c>
      <c r="AQ148" s="365">
        <f t="shared" si="79"/>
        <v>0</v>
      </c>
      <c r="AR148" s="365">
        <f t="shared" si="68"/>
        <v>0</v>
      </c>
      <c r="AS148" s="365">
        <f t="shared" si="69"/>
        <v>0</v>
      </c>
      <c r="AT148" s="363"/>
    </row>
    <row r="149" ht="24" spans="1:47">
      <c r="A149" s="284" t="s">
        <v>195</v>
      </c>
      <c r="B149" s="284" t="s">
        <v>196</v>
      </c>
      <c r="C149" s="284" t="s">
        <v>372</v>
      </c>
      <c r="D149" s="284" t="s">
        <v>370</v>
      </c>
      <c r="E149" s="365">
        <f t="shared" si="72"/>
        <v>115.86</v>
      </c>
      <c r="F149" s="365">
        <f t="shared" si="73"/>
        <v>67.43</v>
      </c>
      <c r="G149" s="365">
        <v>37.8</v>
      </c>
      <c r="H149" s="365">
        <v>25.95</v>
      </c>
      <c r="I149" s="365">
        <v>3.15</v>
      </c>
      <c r="J149" s="365"/>
      <c r="K149" s="365">
        <v>0.53</v>
      </c>
      <c r="L149" s="365">
        <f t="shared" si="74"/>
        <v>48.43</v>
      </c>
      <c r="M149" s="365">
        <v>7.43</v>
      </c>
      <c r="N149" s="365"/>
      <c r="O149" s="366">
        <v>41</v>
      </c>
      <c r="P149" s="365">
        <f t="shared" si="71"/>
        <v>-4.8098</v>
      </c>
      <c r="Q149" s="365">
        <f t="shared" si="75"/>
        <v>-16.61</v>
      </c>
      <c r="R149" s="365">
        <v>-17.45</v>
      </c>
      <c r="S149" s="365">
        <v>1.4</v>
      </c>
      <c r="T149" s="365">
        <v>-0.56</v>
      </c>
      <c r="U149" s="365"/>
      <c r="V149" s="365"/>
      <c r="W149" s="365">
        <f t="shared" si="80"/>
        <v>11.8002</v>
      </c>
      <c r="X149" s="365"/>
      <c r="Y149" s="365">
        <f>12.96+3.73</f>
        <v>16.69</v>
      </c>
      <c r="Z149" s="365">
        <v>28</v>
      </c>
      <c r="AA149" s="365"/>
      <c r="AB149" s="365">
        <v>7.8102</v>
      </c>
      <c r="AC149" s="365">
        <v>0.3</v>
      </c>
      <c r="AD149" s="366">
        <v>-41</v>
      </c>
      <c r="AE149" s="365">
        <f t="shared" si="70"/>
        <v>111.0502</v>
      </c>
      <c r="AF149" s="365">
        <f t="shared" si="76"/>
        <v>50.82</v>
      </c>
      <c r="AG149" s="365">
        <f t="shared" si="60"/>
        <v>20.35</v>
      </c>
      <c r="AH149" s="365">
        <f t="shared" si="61"/>
        <v>27.35</v>
      </c>
      <c r="AI149" s="365">
        <f t="shared" si="62"/>
        <v>2.59</v>
      </c>
      <c r="AJ149" s="365">
        <f t="shared" si="63"/>
        <v>0</v>
      </c>
      <c r="AK149" s="365">
        <f t="shared" si="64"/>
        <v>0.53</v>
      </c>
      <c r="AL149" s="365">
        <f t="shared" si="77"/>
        <v>60.2302</v>
      </c>
      <c r="AM149" s="365">
        <f t="shared" si="65"/>
        <v>7.43</v>
      </c>
      <c r="AN149" s="365">
        <f t="shared" si="66"/>
        <v>16.69</v>
      </c>
      <c r="AO149" s="365">
        <f t="shared" si="78"/>
        <v>28</v>
      </c>
      <c r="AP149" s="365">
        <f t="shared" si="67"/>
        <v>0</v>
      </c>
      <c r="AQ149" s="365">
        <f t="shared" si="79"/>
        <v>7.8102</v>
      </c>
      <c r="AR149" s="365">
        <f t="shared" si="68"/>
        <v>0.3</v>
      </c>
      <c r="AS149" s="365">
        <f t="shared" si="69"/>
        <v>0</v>
      </c>
      <c r="AT149" s="363" t="s">
        <v>778</v>
      </c>
      <c r="AU149">
        <v>7.8102</v>
      </c>
    </row>
    <row r="150" ht="24" spans="1:46">
      <c r="A150" s="284" t="s">
        <v>195</v>
      </c>
      <c r="B150" s="284" t="s">
        <v>199</v>
      </c>
      <c r="C150" s="284" t="s">
        <v>779</v>
      </c>
      <c r="D150" s="284" t="s">
        <v>376</v>
      </c>
      <c r="E150" s="365">
        <f t="shared" si="72"/>
        <v>0</v>
      </c>
      <c r="F150" s="365">
        <f t="shared" si="73"/>
        <v>0</v>
      </c>
      <c r="G150" s="365"/>
      <c r="H150" s="365"/>
      <c r="I150" s="365"/>
      <c r="J150" s="365"/>
      <c r="K150" s="365"/>
      <c r="L150" s="365">
        <f t="shared" si="74"/>
        <v>0</v>
      </c>
      <c r="M150" s="365"/>
      <c r="N150" s="365"/>
      <c r="O150" s="366"/>
      <c r="P150" s="365">
        <f t="shared" si="71"/>
        <v>0</v>
      </c>
      <c r="Q150" s="365">
        <f t="shared" si="75"/>
        <v>0</v>
      </c>
      <c r="R150" s="365"/>
      <c r="S150" s="365"/>
      <c r="T150" s="365"/>
      <c r="U150" s="365"/>
      <c r="V150" s="365"/>
      <c r="W150" s="365">
        <f t="shared" si="80"/>
        <v>0</v>
      </c>
      <c r="X150" s="365"/>
      <c r="Y150" s="365"/>
      <c r="Z150" s="365"/>
      <c r="AA150" s="365"/>
      <c r="AB150" s="365"/>
      <c r="AC150" s="365"/>
      <c r="AD150" s="366"/>
      <c r="AE150" s="365">
        <f t="shared" si="70"/>
        <v>0</v>
      </c>
      <c r="AF150" s="365">
        <f t="shared" si="76"/>
        <v>0</v>
      </c>
      <c r="AG150" s="365">
        <f t="shared" si="60"/>
        <v>0</v>
      </c>
      <c r="AH150" s="365">
        <f t="shared" si="61"/>
        <v>0</v>
      </c>
      <c r="AI150" s="365">
        <f t="shared" si="62"/>
        <v>0</v>
      </c>
      <c r="AJ150" s="365">
        <f t="shared" si="63"/>
        <v>0</v>
      </c>
      <c r="AK150" s="365">
        <f t="shared" si="64"/>
        <v>0</v>
      </c>
      <c r="AL150" s="365">
        <f t="shared" si="77"/>
        <v>0</v>
      </c>
      <c r="AM150" s="365">
        <f t="shared" si="65"/>
        <v>0</v>
      </c>
      <c r="AN150" s="365">
        <f t="shared" si="66"/>
        <v>0</v>
      </c>
      <c r="AO150" s="365">
        <f t="shared" si="78"/>
        <v>0</v>
      </c>
      <c r="AP150" s="365">
        <f t="shared" si="67"/>
        <v>0</v>
      </c>
      <c r="AQ150" s="365">
        <f t="shared" si="79"/>
        <v>0</v>
      </c>
      <c r="AR150" s="365">
        <f t="shared" si="68"/>
        <v>0</v>
      </c>
      <c r="AS150" s="365">
        <f t="shared" si="69"/>
        <v>0</v>
      </c>
      <c r="AT150" s="363"/>
    </row>
    <row r="151" ht="24" spans="1:47">
      <c r="A151" s="284" t="s">
        <v>195</v>
      </c>
      <c r="B151" s="284" t="s">
        <v>196</v>
      </c>
      <c r="C151" s="284" t="s">
        <v>373</v>
      </c>
      <c r="D151" s="284" t="s">
        <v>370</v>
      </c>
      <c r="E151" s="365">
        <f t="shared" ref="E151:E186" si="81">F151+L151</f>
        <v>113.54</v>
      </c>
      <c r="F151" s="365">
        <f t="shared" ref="F151:F186" si="82">SUM(G151:K151)</f>
        <v>39.59</v>
      </c>
      <c r="G151" s="365">
        <v>22.48</v>
      </c>
      <c r="H151" s="365">
        <v>15.24</v>
      </c>
      <c r="I151" s="365">
        <v>1.87</v>
      </c>
      <c r="J151" s="365"/>
      <c r="K151" s="365"/>
      <c r="L151" s="365">
        <f t="shared" ref="L151:L186" si="83">SUM(M151:O151)</f>
        <v>73.95</v>
      </c>
      <c r="M151" s="365">
        <v>4.95</v>
      </c>
      <c r="N151" s="365"/>
      <c r="O151" s="366">
        <v>69</v>
      </c>
      <c r="P151" s="365">
        <f t="shared" ref="P151:P199" si="84">Q151+W151</f>
        <v>-47.7344</v>
      </c>
      <c r="Q151" s="365">
        <f t="shared" ref="Q151:Q186" si="85">SUM(R151:V151)</f>
        <v>-1.48</v>
      </c>
      <c r="R151" s="365">
        <v>-0.1</v>
      </c>
      <c r="S151" s="365">
        <v>-1.56</v>
      </c>
      <c r="T151" s="365">
        <v>0.18</v>
      </c>
      <c r="U151" s="365"/>
      <c r="V151" s="365"/>
      <c r="W151" s="365">
        <f t="shared" si="80"/>
        <v>-46.2544</v>
      </c>
      <c r="X151" s="365"/>
      <c r="Y151" s="365">
        <f>11.28+2.91</f>
        <v>14.19</v>
      </c>
      <c r="Z151" s="365">
        <v>1</v>
      </c>
      <c r="AA151" s="365"/>
      <c r="AB151" s="365">
        <v>7.2556</v>
      </c>
      <c r="AC151" s="365">
        <v>0.3</v>
      </c>
      <c r="AD151" s="366">
        <v>-69</v>
      </c>
      <c r="AE151" s="365">
        <f t="shared" ref="AE151:AE198" si="86">AF151+AL151</f>
        <v>65.8056</v>
      </c>
      <c r="AF151" s="365">
        <f t="shared" ref="AF151:AF186" si="87">SUM(AG151:AK151)</f>
        <v>38.11</v>
      </c>
      <c r="AG151" s="365">
        <f t="shared" ref="AG151:AG169" si="88">G151+R151</f>
        <v>22.38</v>
      </c>
      <c r="AH151" s="365">
        <f t="shared" ref="AH151:AH169" si="89">H151+S151</f>
        <v>13.68</v>
      </c>
      <c r="AI151" s="365">
        <f t="shared" ref="AI151:AI169" si="90">I151+T151</f>
        <v>2.05</v>
      </c>
      <c r="AJ151" s="365">
        <f t="shared" ref="AJ151:AJ169" si="91">J151+U151</f>
        <v>0</v>
      </c>
      <c r="AK151" s="365">
        <f t="shared" ref="AK151:AK169" si="92">K151+V151</f>
        <v>0</v>
      </c>
      <c r="AL151" s="365">
        <f t="shared" ref="AL151:AL186" si="93">SUM(AM151:AS151)</f>
        <v>27.6956</v>
      </c>
      <c r="AM151" s="365">
        <f t="shared" ref="AM151:AM169" si="94">M151+X151</f>
        <v>4.95</v>
      </c>
      <c r="AN151" s="365">
        <f t="shared" ref="AN151:AN169" si="95">Y151</f>
        <v>14.19</v>
      </c>
      <c r="AO151" s="365">
        <f t="shared" si="78"/>
        <v>1</v>
      </c>
      <c r="AP151" s="365">
        <f t="shared" ref="AP151:AP169" si="96">AA151</f>
        <v>0</v>
      </c>
      <c r="AQ151" s="365">
        <f t="shared" ref="AQ151:AQ186" si="97">AB151</f>
        <v>7.2556</v>
      </c>
      <c r="AR151" s="365">
        <f t="shared" ref="AR151:AR169" si="98">N151+AC151</f>
        <v>0.3</v>
      </c>
      <c r="AS151" s="365">
        <f t="shared" ref="AS151:AS169" si="99">O151+AD151</f>
        <v>0</v>
      </c>
      <c r="AT151" s="363" t="s">
        <v>770</v>
      </c>
      <c r="AU151">
        <v>7.2556</v>
      </c>
    </row>
    <row r="152" ht="24" spans="1:47">
      <c r="A152" s="284" t="s">
        <v>195</v>
      </c>
      <c r="B152" s="284" t="s">
        <v>196</v>
      </c>
      <c r="C152" s="284" t="s">
        <v>374</v>
      </c>
      <c r="D152" s="284" t="s">
        <v>370</v>
      </c>
      <c r="E152" s="365">
        <f t="shared" si="81"/>
        <v>211.83</v>
      </c>
      <c r="F152" s="365">
        <f t="shared" si="82"/>
        <v>79.45</v>
      </c>
      <c r="G152" s="365">
        <v>40.2</v>
      </c>
      <c r="H152" s="365">
        <v>35.9</v>
      </c>
      <c r="I152" s="365">
        <v>3.35</v>
      </c>
      <c r="J152" s="365"/>
      <c r="K152" s="365"/>
      <c r="L152" s="365">
        <f t="shared" si="83"/>
        <v>132.38</v>
      </c>
      <c r="M152" s="365">
        <v>12.38</v>
      </c>
      <c r="N152" s="365"/>
      <c r="O152" s="365">
        <v>120</v>
      </c>
      <c r="P152" s="365">
        <f t="shared" si="84"/>
        <v>-60.292</v>
      </c>
      <c r="Q152" s="365">
        <f t="shared" si="85"/>
        <v>13.27</v>
      </c>
      <c r="R152" s="365">
        <v>8.52</v>
      </c>
      <c r="S152" s="365">
        <v>2.7</v>
      </c>
      <c r="T152" s="365">
        <v>0.73</v>
      </c>
      <c r="U152" s="365"/>
      <c r="V152" s="365">
        <v>1.32</v>
      </c>
      <c r="W152" s="365">
        <f t="shared" si="80"/>
        <v>-73.562</v>
      </c>
      <c r="X152" s="365"/>
      <c r="Y152" s="365">
        <f>21.9+6.32</f>
        <v>28.22</v>
      </c>
      <c r="Z152" s="365">
        <v>5</v>
      </c>
      <c r="AA152" s="365"/>
      <c r="AB152" s="365">
        <v>12.118</v>
      </c>
      <c r="AC152" s="365">
        <f>0.3+0.8</f>
        <v>1.1</v>
      </c>
      <c r="AD152" s="366">
        <v>-120</v>
      </c>
      <c r="AE152" s="365">
        <f t="shared" si="86"/>
        <v>151.538</v>
      </c>
      <c r="AF152" s="365">
        <f t="shared" si="87"/>
        <v>92.72</v>
      </c>
      <c r="AG152" s="365">
        <f t="shared" si="88"/>
        <v>48.72</v>
      </c>
      <c r="AH152" s="365">
        <f t="shared" si="89"/>
        <v>38.6</v>
      </c>
      <c r="AI152" s="365">
        <f t="shared" si="90"/>
        <v>4.08</v>
      </c>
      <c r="AJ152" s="365">
        <f t="shared" si="91"/>
        <v>0</v>
      </c>
      <c r="AK152" s="365">
        <f t="shared" si="92"/>
        <v>1.32</v>
      </c>
      <c r="AL152" s="365">
        <f t="shared" si="93"/>
        <v>58.818</v>
      </c>
      <c r="AM152" s="365">
        <f t="shared" si="94"/>
        <v>12.38</v>
      </c>
      <c r="AN152" s="365">
        <f t="shared" si="95"/>
        <v>28.22</v>
      </c>
      <c r="AO152" s="365">
        <f t="shared" si="78"/>
        <v>5</v>
      </c>
      <c r="AP152" s="365">
        <f t="shared" si="96"/>
        <v>0</v>
      </c>
      <c r="AQ152" s="365">
        <f t="shared" si="97"/>
        <v>12.118</v>
      </c>
      <c r="AR152" s="365">
        <f t="shared" si="98"/>
        <v>1.1</v>
      </c>
      <c r="AS152" s="365">
        <f t="shared" si="99"/>
        <v>0</v>
      </c>
      <c r="AT152" s="363" t="s">
        <v>780</v>
      </c>
      <c r="AU152">
        <v>12.118</v>
      </c>
    </row>
    <row r="153" ht="24" spans="1:46">
      <c r="A153" s="284" t="s">
        <v>195</v>
      </c>
      <c r="B153" s="284" t="s">
        <v>199</v>
      </c>
      <c r="C153" s="284" t="s">
        <v>375</v>
      </c>
      <c r="D153" s="284" t="s">
        <v>376</v>
      </c>
      <c r="E153" s="365">
        <f t="shared" si="81"/>
        <v>0</v>
      </c>
      <c r="F153" s="365">
        <f t="shared" si="82"/>
        <v>0</v>
      </c>
      <c r="G153" s="365"/>
      <c r="H153" s="365"/>
      <c r="I153" s="365"/>
      <c r="J153" s="365"/>
      <c r="K153" s="365"/>
      <c r="L153" s="365">
        <f t="shared" si="83"/>
        <v>0</v>
      </c>
      <c r="M153" s="365"/>
      <c r="N153" s="365"/>
      <c r="O153" s="365"/>
      <c r="P153" s="365">
        <f t="shared" si="84"/>
        <v>0</v>
      </c>
      <c r="Q153" s="365">
        <f t="shared" si="85"/>
        <v>0</v>
      </c>
      <c r="R153" s="365"/>
      <c r="S153" s="365"/>
      <c r="T153" s="365"/>
      <c r="U153" s="365"/>
      <c r="V153" s="365"/>
      <c r="W153" s="365">
        <f t="shared" si="80"/>
        <v>0</v>
      </c>
      <c r="X153" s="365"/>
      <c r="Y153" s="365"/>
      <c r="Z153" s="365"/>
      <c r="AA153" s="365"/>
      <c r="AB153" s="365"/>
      <c r="AC153" s="365"/>
      <c r="AD153" s="366">
        <v>0</v>
      </c>
      <c r="AE153" s="365">
        <f t="shared" si="86"/>
        <v>0</v>
      </c>
      <c r="AF153" s="365">
        <f t="shared" si="87"/>
        <v>0</v>
      </c>
      <c r="AG153" s="365">
        <f t="shared" si="88"/>
        <v>0</v>
      </c>
      <c r="AH153" s="365">
        <f t="shared" si="89"/>
        <v>0</v>
      </c>
      <c r="AI153" s="365">
        <f t="shared" si="90"/>
        <v>0</v>
      </c>
      <c r="AJ153" s="365">
        <f t="shared" si="91"/>
        <v>0</v>
      </c>
      <c r="AK153" s="365">
        <f t="shared" si="92"/>
        <v>0</v>
      </c>
      <c r="AL153" s="365">
        <f t="shared" si="93"/>
        <v>0</v>
      </c>
      <c r="AM153" s="365">
        <f t="shared" si="94"/>
        <v>0</v>
      </c>
      <c r="AN153" s="365">
        <f t="shared" si="95"/>
        <v>0</v>
      </c>
      <c r="AO153" s="365">
        <f t="shared" si="78"/>
        <v>0</v>
      </c>
      <c r="AP153" s="365">
        <f t="shared" si="96"/>
        <v>0</v>
      </c>
      <c r="AQ153" s="365">
        <f t="shared" si="97"/>
        <v>0</v>
      </c>
      <c r="AR153" s="365">
        <f t="shared" si="98"/>
        <v>0</v>
      </c>
      <c r="AS153" s="365">
        <f t="shared" si="99"/>
        <v>0</v>
      </c>
      <c r="AT153" s="363"/>
    </row>
    <row r="154" ht="24" spans="1:46">
      <c r="A154" s="284" t="s">
        <v>195</v>
      </c>
      <c r="B154" s="284" t="s">
        <v>199</v>
      </c>
      <c r="C154" s="284" t="s">
        <v>781</v>
      </c>
      <c r="D154" s="284" t="s">
        <v>376</v>
      </c>
      <c r="E154" s="365">
        <f t="shared" si="81"/>
        <v>0</v>
      </c>
      <c r="F154" s="365">
        <f t="shared" si="82"/>
        <v>0</v>
      </c>
      <c r="G154" s="365"/>
      <c r="H154" s="365"/>
      <c r="I154" s="365"/>
      <c r="J154" s="365"/>
      <c r="K154" s="365"/>
      <c r="L154" s="365">
        <f t="shared" si="83"/>
        <v>0</v>
      </c>
      <c r="M154" s="365"/>
      <c r="N154" s="365"/>
      <c r="O154" s="365"/>
      <c r="P154" s="365">
        <f t="shared" si="84"/>
        <v>0</v>
      </c>
      <c r="Q154" s="365">
        <f t="shared" si="85"/>
        <v>0</v>
      </c>
      <c r="R154" s="365"/>
      <c r="S154" s="365"/>
      <c r="T154" s="365"/>
      <c r="U154" s="365"/>
      <c r="V154" s="365"/>
      <c r="W154" s="365">
        <f t="shared" si="80"/>
        <v>0</v>
      </c>
      <c r="X154" s="365"/>
      <c r="Y154" s="365"/>
      <c r="Z154" s="365"/>
      <c r="AA154" s="365"/>
      <c r="AB154" s="365"/>
      <c r="AC154" s="365"/>
      <c r="AD154" s="366">
        <v>0</v>
      </c>
      <c r="AE154" s="365">
        <f t="shared" si="86"/>
        <v>0</v>
      </c>
      <c r="AF154" s="365">
        <f t="shared" si="87"/>
        <v>0</v>
      </c>
      <c r="AG154" s="365">
        <f t="shared" si="88"/>
        <v>0</v>
      </c>
      <c r="AH154" s="365">
        <f t="shared" si="89"/>
        <v>0</v>
      </c>
      <c r="AI154" s="365">
        <f t="shared" si="90"/>
        <v>0</v>
      </c>
      <c r="AJ154" s="365">
        <f t="shared" si="91"/>
        <v>0</v>
      </c>
      <c r="AK154" s="365">
        <f t="shared" si="92"/>
        <v>0</v>
      </c>
      <c r="AL154" s="365">
        <f t="shared" si="93"/>
        <v>0</v>
      </c>
      <c r="AM154" s="365">
        <f t="shared" si="94"/>
        <v>0</v>
      </c>
      <c r="AN154" s="365">
        <f t="shared" si="95"/>
        <v>0</v>
      </c>
      <c r="AO154" s="365">
        <f t="shared" si="78"/>
        <v>0</v>
      </c>
      <c r="AP154" s="365">
        <f t="shared" si="96"/>
        <v>0</v>
      </c>
      <c r="AQ154" s="365">
        <f t="shared" si="97"/>
        <v>0</v>
      </c>
      <c r="AR154" s="365">
        <f t="shared" si="98"/>
        <v>0</v>
      </c>
      <c r="AS154" s="365">
        <f t="shared" si="99"/>
        <v>0</v>
      </c>
      <c r="AT154" s="363"/>
    </row>
    <row r="155" ht="24" spans="1:46">
      <c r="A155" s="284" t="s">
        <v>195</v>
      </c>
      <c r="B155" s="284" t="s">
        <v>199</v>
      </c>
      <c r="C155" s="284" t="s">
        <v>378</v>
      </c>
      <c r="D155" s="284" t="s">
        <v>376</v>
      </c>
      <c r="E155" s="365">
        <f t="shared" si="81"/>
        <v>0</v>
      </c>
      <c r="F155" s="365">
        <f t="shared" si="82"/>
        <v>0</v>
      </c>
      <c r="G155" s="365"/>
      <c r="H155" s="365"/>
      <c r="I155" s="365"/>
      <c r="J155" s="365"/>
      <c r="K155" s="365"/>
      <c r="L155" s="365">
        <f t="shared" si="83"/>
        <v>0</v>
      </c>
      <c r="M155" s="365"/>
      <c r="N155" s="365"/>
      <c r="O155" s="365"/>
      <c r="P155" s="365">
        <f t="shared" si="84"/>
        <v>0</v>
      </c>
      <c r="Q155" s="365">
        <f t="shared" si="85"/>
        <v>0</v>
      </c>
      <c r="R155" s="365"/>
      <c r="S155" s="365"/>
      <c r="T155" s="365"/>
      <c r="U155" s="365"/>
      <c r="V155" s="365"/>
      <c r="W155" s="365">
        <f t="shared" si="80"/>
        <v>0</v>
      </c>
      <c r="X155" s="365"/>
      <c r="Y155" s="365"/>
      <c r="Z155" s="365"/>
      <c r="AA155" s="365"/>
      <c r="AB155" s="365"/>
      <c r="AC155" s="365"/>
      <c r="AD155" s="366">
        <v>0</v>
      </c>
      <c r="AE155" s="365">
        <f t="shared" si="86"/>
        <v>0</v>
      </c>
      <c r="AF155" s="365">
        <f t="shared" si="87"/>
        <v>0</v>
      </c>
      <c r="AG155" s="365">
        <f t="shared" si="88"/>
        <v>0</v>
      </c>
      <c r="AH155" s="365">
        <f t="shared" si="89"/>
        <v>0</v>
      </c>
      <c r="AI155" s="365">
        <f t="shared" si="90"/>
        <v>0</v>
      </c>
      <c r="AJ155" s="365">
        <f t="shared" si="91"/>
        <v>0</v>
      </c>
      <c r="AK155" s="365">
        <f t="shared" si="92"/>
        <v>0</v>
      </c>
      <c r="AL155" s="365">
        <f t="shared" si="93"/>
        <v>0</v>
      </c>
      <c r="AM155" s="365">
        <f t="shared" si="94"/>
        <v>0</v>
      </c>
      <c r="AN155" s="365">
        <f t="shared" si="95"/>
        <v>0</v>
      </c>
      <c r="AO155" s="365">
        <f t="shared" si="78"/>
        <v>0</v>
      </c>
      <c r="AP155" s="365">
        <f t="shared" si="96"/>
        <v>0</v>
      </c>
      <c r="AQ155" s="365">
        <f t="shared" si="97"/>
        <v>0</v>
      </c>
      <c r="AR155" s="365">
        <f t="shared" si="98"/>
        <v>0</v>
      </c>
      <c r="AS155" s="365">
        <f t="shared" si="99"/>
        <v>0</v>
      </c>
      <c r="AT155" s="363"/>
    </row>
    <row r="156" ht="24" spans="1:46">
      <c r="A156" s="284" t="s">
        <v>195</v>
      </c>
      <c r="B156" s="284" t="s">
        <v>199</v>
      </c>
      <c r="C156" s="284" t="s">
        <v>379</v>
      </c>
      <c r="D156" s="284" t="s">
        <v>376</v>
      </c>
      <c r="E156" s="365">
        <f t="shared" si="81"/>
        <v>0</v>
      </c>
      <c r="F156" s="365">
        <f t="shared" si="82"/>
        <v>0</v>
      </c>
      <c r="G156" s="365"/>
      <c r="H156" s="365"/>
      <c r="I156" s="365"/>
      <c r="J156" s="365"/>
      <c r="K156" s="365"/>
      <c r="L156" s="365">
        <f t="shared" si="83"/>
        <v>0</v>
      </c>
      <c r="M156" s="365"/>
      <c r="N156" s="365"/>
      <c r="O156" s="365"/>
      <c r="P156" s="365">
        <f t="shared" si="84"/>
        <v>0</v>
      </c>
      <c r="Q156" s="365">
        <f t="shared" si="85"/>
        <v>0</v>
      </c>
      <c r="R156" s="365"/>
      <c r="S156" s="365"/>
      <c r="T156" s="365"/>
      <c r="U156" s="365"/>
      <c r="V156" s="365"/>
      <c r="W156" s="365">
        <f t="shared" ref="W156:W186" si="100">SUM(X156:AD156)</f>
        <v>0</v>
      </c>
      <c r="X156" s="365"/>
      <c r="Y156" s="365"/>
      <c r="Z156" s="365"/>
      <c r="AA156" s="365"/>
      <c r="AB156" s="365"/>
      <c r="AC156" s="365"/>
      <c r="AD156" s="366">
        <v>0</v>
      </c>
      <c r="AE156" s="365">
        <f t="shared" si="86"/>
        <v>0</v>
      </c>
      <c r="AF156" s="365">
        <f t="shared" si="87"/>
        <v>0</v>
      </c>
      <c r="AG156" s="365">
        <f t="shared" si="88"/>
        <v>0</v>
      </c>
      <c r="AH156" s="365">
        <f t="shared" si="89"/>
        <v>0</v>
      </c>
      <c r="AI156" s="365">
        <f t="shared" si="90"/>
        <v>0</v>
      </c>
      <c r="AJ156" s="365">
        <f t="shared" si="91"/>
        <v>0</v>
      </c>
      <c r="AK156" s="365">
        <f t="shared" si="92"/>
        <v>0</v>
      </c>
      <c r="AL156" s="365">
        <f t="shared" si="93"/>
        <v>0</v>
      </c>
      <c r="AM156" s="365">
        <f t="shared" si="94"/>
        <v>0</v>
      </c>
      <c r="AN156" s="365">
        <f t="shared" si="95"/>
        <v>0</v>
      </c>
      <c r="AO156" s="365">
        <f t="shared" si="78"/>
        <v>0</v>
      </c>
      <c r="AP156" s="365">
        <f t="shared" si="96"/>
        <v>0</v>
      </c>
      <c r="AQ156" s="365">
        <f t="shared" si="97"/>
        <v>0</v>
      </c>
      <c r="AR156" s="365">
        <f t="shared" si="98"/>
        <v>0</v>
      </c>
      <c r="AS156" s="365">
        <f t="shared" si="99"/>
        <v>0</v>
      </c>
      <c r="AT156" s="363"/>
    </row>
    <row r="157" ht="24" spans="1:47">
      <c r="A157" s="284" t="s">
        <v>195</v>
      </c>
      <c r="B157" s="284" t="s">
        <v>199</v>
      </c>
      <c r="C157" s="284" t="s">
        <v>380</v>
      </c>
      <c r="D157" s="284" t="s">
        <v>376</v>
      </c>
      <c r="E157" s="365">
        <f t="shared" si="81"/>
        <v>0</v>
      </c>
      <c r="F157" s="365">
        <f t="shared" si="82"/>
        <v>0</v>
      </c>
      <c r="G157" s="365"/>
      <c r="H157" s="365"/>
      <c r="I157" s="365"/>
      <c r="J157" s="365"/>
      <c r="K157" s="365"/>
      <c r="L157" s="365">
        <f t="shared" si="83"/>
        <v>0</v>
      </c>
      <c r="M157" s="365"/>
      <c r="N157" s="365"/>
      <c r="O157" s="365"/>
      <c r="P157" s="365">
        <f t="shared" si="84"/>
        <v>0</v>
      </c>
      <c r="Q157" s="365">
        <f t="shared" si="85"/>
        <v>0</v>
      </c>
      <c r="R157" s="365"/>
      <c r="S157" s="365"/>
      <c r="T157" s="365"/>
      <c r="U157" s="365"/>
      <c r="V157" s="365"/>
      <c r="W157" s="365">
        <f t="shared" si="100"/>
        <v>0</v>
      </c>
      <c r="X157" s="365"/>
      <c r="Y157" s="365"/>
      <c r="Z157" s="365"/>
      <c r="AA157" s="365"/>
      <c r="AB157" s="365"/>
      <c r="AC157" s="365"/>
      <c r="AD157" s="366">
        <v>0</v>
      </c>
      <c r="AE157" s="365">
        <f t="shared" si="86"/>
        <v>0</v>
      </c>
      <c r="AF157" s="365">
        <f t="shared" si="87"/>
        <v>0</v>
      </c>
      <c r="AG157" s="365">
        <f t="shared" si="88"/>
        <v>0</v>
      </c>
      <c r="AH157" s="365">
        <f t="shared" si="89"/>
        <v>0</v>
      </c>
      <c r="AI157" s="365">
        <f t="shared" si="90"/>
        <v>0</v>
      </c>
      <c r="AJ157" s="365">
        <f t="shared" si="91"/>
        <v>0</v>
      </c>
      <c r="AK157" s="365">
        <f t="shared" si="92"/>
        <v>0</v>
      </c>
      <c r="AL157" s="365">
        <f t="shared" si="93"/>
        <v>0</v>
      </c>
      <c r="AM157" s="365">
        <f t="shared" si="94"/>
        <v>0</v>
      </c>
      <c r="AN157" s="365">
        <f t="shared" si="95"/>
        <v>0</v>
      </c>
      <c r="AO157" s="365">
        <f t="shared" si="78"/>
        <v>0</v>
      </c>
      <c r="AP157" s="365">
        <f t="shared" si="96"/>
        <v>0</v>
      </c>
      <c r="AQ157" s="365">
        <f t="shared" si="97"/>
        <v>0</v>
      </c>
      <c r="AR157" s="365">
        <f t="shared" si="98"/>
        <v>0</v>
      </c>
      <c r="AS157" s="365">
        <f t="shared" si="99"/>
        <v>0</v>
      </c>
      <c r="AT157" s="363"/>
      <c r="AU157">
        <v>0</v>
      </c>
    </row>
    <row r="158" ht="24" spans="1:46">
      <c r="A158" s="284" t="s">
        <v>195</v>
      </c>
      <c r="B158" s="284" t="s">
        <v>199</v>
      </c>
      <c r="C158" s="284" t="s">
        <v>381</v>
      </c>
      <c r="D158" s="284" t="s">
        <v>376</v>
      </c>
      <c r="E158" s="365">
        <f t="shared" si="81"/>
        <v>0</v>
      </c>
      <c r="F158" s="365">
        <f t="shared" si="82"/>
        <v>0</v>
      </c>
      <c r="G158" s="365"/>
      <c r="H158" s="365"/>
      <c r="I158" s="365"/>
      <c r="J158" s="365"/>
      <c r="K158" s="365"/>
      <c r="L158" s="365">
        <f t="shared" si="83"/>
        <v>0</v>
      </c>
      <c r="M158" s="365"/>
      <c r="N158" s="365"/>
      <c r="O158" s="365"/>
      <c r="P158" s="365">
        <f t="shared" si="84"/>
        <v>0</v>
      </c>
      <c r="Q158" s="365">
        <f t="shared" si="85"/>
        <v>0</v>
      </c>
      <c r="R158" s="365"/>
      <c r="S158" s="365"/>
      <c r="T158" s="365"/>
      <c r="U158" s="365"/>
      <c r="V158" s="365"/>
      <c r="W158" s="365">
        <f t="shared" si="100"/>
        <v>0</v>
      </c>
      <c r="X158" s="365"/>
      <c r="Y158" s="365"/>
      <c r="Z158" s="365"/>
      <c r="AA158" s="365"/>
      <c r="AB158" s="365"/>
      <c r="AC158" s="365"/>
      <c r="AD158" s="366">
        <v>0</v>
      </c>
      <c r="AE158" s="365">
        <f t="shared" si="86"/>
        <v>0</v>
      </c>
      <c r="AF158" s="365">
        <f t="shared" si="87"/>
        <v>0</v>
      </c>
      <c r="AG158" s="365">
        <f t="shared" si="88"/>
        <v>0</v>
      </c>
      <c r="AH158" s="365">
        <f t="shared" si="89"/>
        <v>0</v>
      </c>
      <c r="AI158" s="365">
        <f t="shared" si="90"/>
        <v>0</v>
      </c>
      <c r="AJ158" s="365">
        <f t="shared" si="91"/>
        <v>0</v>
      </c>
      <c r="AK158" s="365">
        <f t="shared" si="92"/>
        <v>0</v>
      </c>
      <c r="AL158" s="365">
        <f t="shared" si="93"/>
        <v>0</v>
      </c>
      <c r="AM158" s="365">
        <f t="shared" si="94"/>
        <v>0</v>
      </c>
      <c r="AN158" s="365">
        <f t="shared" si="95"/>
        <v>0</v>
      </c>
      <c r="AO158" s="365">
        <f t="shared" si="78"/>
        <v>0</v>
      </c>
      <c r="AP158" s="365">
        <f t="shared" si="96"/>
        <v>0</v>
      </c>
      <c r="AQ158" s="365">
        <f t="shared" si="97"/>
        <v>0</v>
      </c>
      <c r="AR158" s="365">
        <f t="shared" si="98"/>
        <v>0</v>
      </c>
      <c r="AS158" s="365">
        <f t="shared" si="99"/>
        <v>0</v>
      </c>
      <c r="AT158" s="363"/>
    </row>
    <row r="159" ht="24" spans="1:46">
      <c r="A159" s="284" t="s">
        <v>195</v>
      </c>
      <c r="B159" s="284" t="s">
        <v>199</v>
      </c>
      <c r="C159" s="284" t="s">
        <v>382</v>
      </c>
      <c r="D159" s="284" t="s">
        <v>376</v>
      </c>
      <c r="E159" s="365">
        <f t="shared" si="81"/>
        <v>0</v>
      </c>
      <c r="F159" s="365">
        <f t="shared" si="82"/>
        <v>0</v>
      </c>
      <c r="G159" s="365"/>
      <c r="H159" s="365"/>
      <c r="I159" s="365"/>
      <c r="J159" s="365"/>
      <c r="K159" s="365"/>
      <c r="L159" s="365">
        <f t="shared" si="83"/>
        <v>0</v>
      </c>
      <c r="M159" s="365"/>
      <c r="N159" s="365"/>
      <c r="O159" s="365"/>
      <c r="P159" s="365">
        <f t="shared" si="84"/>
        <v>0</v>
      </c>
      <c r="Q159" s="365">
        <f t="shared" si="85"/>
        <v>0</v>
      </c>
      <c r="R159" s="365"/>
      <c r="S159" s="365"/>
      <c r="T159" s="365"/>
      <c r="U159" s="365"/>
      <c r="V159" s="365"/>
      <c r="W159" s="365">
        <f t="shared" si="100"/>
        <v>0</v>
      </c>
      <c r="X159" s="365"/>
      <c r="Y159" s="365"/>
      <c r="Z159" s="365"/>
      <c r="AA159" s="365"/>
      <c r="AB159" s="365"/>
      <c r="AC159" s="365"/>
      <c r="AD159" s="366">
        <v>0</v>
      </c>
      <c r="AE159" s="365">
        <f t="shared" si="86"/>
        <v>0</v>
      </c>
      <c r="AF159" s="365">
        <f t="shared" si="87"/>
        <v>0</v>
      </c>
      <c r="AG159" s="365">
        <f t="shared" si="88"/>
        <v>0</v>
      </c>
      <c r="AH159" s="365">
        <f t="shared" si="89"/>
        <v>0</v>
      </c>
      <c r="AI159" s="365">
        <f t="shared" si="90"/>
        <v>0</v>
      </c>
      <c r="AJ159" s="365">
        <f t="shared" si="91"/>
        <v>0</v>
      </c>
      <c r="AK159" s="365">
        <f t="shared" si="92"/>
        <v>0</v>
      </c>
      <c r="AL159" s="365">
        <f t="shared" si="93"/>
        <v>0</v>
      </c>
      <c r="AM159" s="365">
        <f t="shared" si="94"/>
        <v>0</v>
      </c>
      <c r="AN159" s="365">
        <f t="shared" si="95"/>
        <v>0</v>
      </c>
      <c r="AO159" s="365">
        <f t="shared" si="78"/>
        <v>0</v>
      </c>
      <c r="AP159" s="365">
        <f t="shared" si="96"/>
        <v>0</v>
      </c>
      <c r="AQ159" s="365">
        <f t="shared" si="97"/>
        <v>0</v>
      </c>
      <c r="AR159" s="365">
        <f t="shared" si="98"/>
        <v>0</v>
      </c>
      <c r="AS159" s="365">
        <f t="shared" si="99"/>
        <v>0</v>
      </c>
      <c r="AT159" s="363"/>
    </row>
    <row r="160" ht="24" spans="1:46">
      <c r="A160" s="284" t="s">
        <v>195</v>
      </c>
      <c r="B160" s="284" t="s">
        <v>199</v>
      </c>
      <c r="C160" s="284" t="s">
        <v>383</v>
      </c>
      <c r="D160" s="284" t="s">
        <v>376</v>
      </c>
      <c r="E160" s="365">
        <f t="shared" si="81"/>
        <v>0</v>
      </c>
      <c r="F160" s="365">
        <f t="shared" si="82"/>
        <v>0</v>
      </c>
      <c r="G160" s="365"/>
      <c r="H160" s="365"/>
      <c r="I160" s="365"/>
      <c r="J160" s="365"/>
      <c r="K160" s="365"/>
      <c r="L160" s="365">
        <f t="shared" si="83"/>
        <v>0</v>
      </c>
      <c r="M160" s="365"/>
      <c r="N160" s="365"/>
      <c r="O160" s="365"/>
      <c r="P160" s="365">
        <f t="shared" si="84"/>
        <v>0</v>
      </c>
      <c r="Q160" s="365">
        <f t="shared" si="85"/>
        <v>0</v>
      </c>
      <c r="R160" s="365"/>
      <c r="S160" s="365"/>
      <c r="T160" s="365"/>
      <c r="U160" s="365"/>
      <c r="V160" s="365"/>
      <c r="W160" s="365">
        <f t="shared" si="100"/>
        <v>0</v>
      </c>
      <c r="X160" s="365"/>
      <c r="Y160" s="365"/>
      <c r="Z160" s="365"/>
      <c r="AA160" s="365"/>
      <c r="AB160" s="365"/>
      <c r="AC160" s="365"/>
      <c r="AD160" s="366">
        <v>0</v>
      </c>
      <c r="AE160" s="365">
        <f t="shared" si="86"/>
        <v>0</v>
      </c>
      <c r="AF160" s="365">
        <f t="shared" si="87"/>
        <v>0</v>
      </c>
      <c r="AG160" s="365">
        <f t="shared" si="88"/>
        <v>0</v>
      </c>
      <c r="AH160" s="365">
        <f t="shared" si="89"/>
        <v>0</v>
      </c>
      <c r="AI160" s="365">
        <f t="shared" si="90"/>
        <v>0</v>
      </c>
      <c r="AJ160" s="365">
        <f t="shared" si="91"/>
        <v>0</v>
      </c>
      <c r="AK160" s="365">
        <f t="shared" si="92"/>
        <v>0</v>
      </c>
      <c r="AL160" s="365">
        <f t="shared" si="93"/>
        <v>0</v>
      </c>
      <c r="AM160" s="365">
        <f t="shared" si="94"/>
        <v>0</v>
      </c>
      <c r="AN160" s="365">
        <f t="shared" si="95"/>
        <v>0</v>
      </c>
      <c r="AO160" s="365">
        <f t="shared" si="78"/>
        <v>0</v>
      </c>
      <c r="AP160" s="365">
        <f t="shared" si="96"/>
        <v>0</v>
      </c>
      <c r="AQ160" s="365">
        <f t="shared" si="97"/>
        <v>0</v>
      </c>
      <c r="AR160" s="365">
        <f t="shared" si="98"/>
        <v>0</v>
      </c>
      <c r="AS160" s="365">
        <f t="shared" si="99"/>
        <v>0</v>
      </c>
      <c r="AT160" s="363"/>
    </row>
    <row r="161" ht="24" spans="1:47">
      <c r="A161" s="284" t="s">
        <v>195</v>
      </c>
      <c r="B161" s="284" t="s">
        <v>196</v>
      </c>
      <c r="C161" s="284" t="s">
        <v>384</v>
      </c>
      <c r="D161" s="284" t="s">
        <v>385</v>
      </c>
      <c r="E161" s="365">
        <f t="shared" si="81"/>
        <v>273.93</v>
      </c>
      <c r="F161" s="365">
        <f t="shared" si="82"/>
        <v>120.45</v>
      </c>
      <c r="G161" s="365">
        <v>66.22</v>
      </c>
      <c r="H161" s="365">
        <v>48.71</v>
      </c>
      <c r="I161" s="365">
        <v>5.52</v>
      </c>
      <c r="J161" s="365"/>
      <c r="K161" s="365"/>
      <c r="L161" s="365">
        <f t="shared" si="83"/>
        <v>153.48</v>
      </c>
      <c r="M161" s="365">
        <v>2.48</v>
      </c>
      <c r="N161" s="365"/>
      <c r="O161" s="366">
        <v>151</v>
      </c>
      <c r="P161" s="365">
        <f t="shared" si="84"/>
        <v>-87.7249</v>
      </c>
      <c r="Q161" s="365">
        <f t="shared" si="85"/>
        <v>-12.67</v>
      </c>
      <c r="R161" s="365">
        <v>-5</v>
      </c>
      <c r="S161" s="365">
        <v>-7.21</v>
      </c>
      <c r="T161" s="365">
        <v>-0.72</v>
      </c>
      <c r="U161" s="365"/>
      <c r="V161" s="365">
        <v>0.26</v>
      </c>
      <c r="W161" s="365">
        <f t="shared" si="100"/>
        <v>-75.0549</v>
      </c>
      <c r="X161" s="365"/>
      <c r="Y161" s="365">
        <f>33.2+8.94</f>
        <v>42.14</v>
      </c>
      <c r="Z161" s="365">
        <v>17</v>
      </c>
      <c r="AA161" s="365"/>
      <c r="AB161" s="365">
        <v>16.3551</v>
      </c>
      <c r="AC161" s="365">
        <v>0.45</v>
      </c>
      <c r="AD161" s="366">
        <v>-151</v>
      </c>
      <c r="AE161" s="365">
        <f t="shared" si="86"/>
        <v>186.2051</v>
      </c>
      <c r="AF161" s="365">
        <f t="shared" si="87"/>
        <v>107.78</v>
      </c>
      <c r="AG161" s="365">
        <f t="shared" si="88"/>
        <v>61.22</v>
      </c>
      <c r="AH161" s="365">
        <f t="shared" si="89"/>
        <v>41.5</v>
      </c>
      <c r="AI161" s="365">
        <f t="shared" si="90"/>
        <v>4.8</v>
      </c>
      <c r="AJ161" s="365">
        <f t="shared" si="91"/>
        <v>0</v>
      </c>
      <c r="AK161" s="365">
        <f t="shared" si="92"/>
        <v>0.26</v>
      </c>
      <c r="AL161" s="365">
        <f t="shared" si="93"/>
        <v>78.4251</v>
      </c>
      <c r="AM161" s="365">
        <f t="shared" si="94"/>
        <v>2.48</v>
      </c>
      <c r="AN161" s="365">
        <f t="shared" si="95"/>
        <v>42.14</v>
      </c>
      <c r="AO161" s="365">
        <f t="shared" si="78"/>
        <v>17</v>
      </c>
      <c r="AP161" s="365">
        <f t="shared" si="96"/>
        <v>0</v>
      </c>
      <c r="AQ161" s="365">
        <f t="shared" si="97"/>
        <v>16.3551</v>
      </c>
      <c r="AR161" s="365">
        <f t="shared" si="98"/>
        <v>0.45</v>
      </c>
      <c r="AS161" s="365">
        <f t="shared" si="99"/>
        <v>0</v>
      </c>
      <c r="AT161" s="363" t="s">
        <v>782</v>
      </c>
      <c r="AU161">
        <v>16.3551</v>
      </c>
    </row>
    <row r="162" ht="24" spans="1:46">
      <c r="A162" s="284" t="s">
        <v>195</v>
      </c>
      <c r="B162" s="284" t="s">
        <v>196</v>
      </c>
      <c r="C162" s="284" t="s">
        <v>386</v>
      </c>
      <c r="D162" s="284" t="s">
        <v>385</v>
      </c>
      <c r="E162" s="365">
        <f t="shared" si="81"/>
        <v>19.83</v>
      </c>
      <c r="F162" s="365">
        <f t="shared" si="82"/>
        <v>19.83</v>
      </c>
      <c r="G162" s="365">
        <v>10.75</v>
      </c>
      <c r="H162" s="365">
        <v>8.18</v>
      </c>
      <c r="I162" s="365">
        <v>0.9</v>
      </c>
      <c r="J162" s="365"/>
      <c r="K162" s="365"/>
      <c r="L162" s="365">
        <f t="shared" si="83"/>
        <v>0</v>
      </c>
      <c r="M162" s="365"/>
      <c r="N162" s="365"/>
      <c r="O162" s="365"/>
      <c r="P162" s="365">
        <f t="shared" si="84"/>
        <v>17.53</v>
      </c>
      <c r="Q162" s="365">
        <f t="shared" si="85"/>
        <v>6.2</v>
      </c>
      <c r="R162" s="365">
        <v>4.11</v>
      </c>
      <c r="S162" s="365">
        <v>1.92</v>
      </c>
      <c r="T162" s="365">
        <v>0.08</v>
      </c>
      <c r="U162" s="365"/>
      <c r="V162" s="365">
        <v>0.09</v>
      </c>
      <c r="W162" s="365">
        <f t="shared" si="100"/>
        <v>11.33</v>
      </c>
      <c r="X162" s="365"/>
      <c r="Y162" s="365">
        <f>6.74+2.59</f>
        <v>9.33</v>
      </c>
      <c r="Z162" s="365">
        <v>2</v>
      </c>
      <c r="AA162" s="365"/>
      <c r="AB162" s="365">
        <v>0</v>
      </c>
      <c r="AC162" s="365"/>
      <c r="AD162" s="366">
        <v>0</v>
      </c>
      <c r="AE162" s="365">
        <f t="shared" si="86"/>
        <v>37.36</v>
      </c>
      <c r="AF162" s="365">
        <f t="shared" si="87"/>
        <v>26.03</v>
      </c>
      <c r="AG162" s="365">
        <f t="shared" si="88"/>
        <v>14.86</v>
      </c>
      <c r="AH162" s="365">
        <f t="shared" si="89"/>
        <v>10.1</v>
      </c>
      <c r="AI162" s="365">
        <f t="shared" si="90"/>
        <v>0.98</v>
      </c>
      <c r="AJ162" s="365">
        <f t="shared" si="91"/>
        <v>0</v>
      </c>
      <c r="AK162" s="365">
        <f t="shared" si="92"/>
        <v>0.09</v>
      </c>
      <c r="AL162" s="365">
        <f t="shared" si="93"/>
        <v>11.33</v>
      </c>
      <c r="AM162" s="365">
        <f t="shared" si="94"/>
        <v>0</v>
      </c>
      <c r="AN162" s="365">
        <f t="shared" si="95"/>
        <v>9.33</v>
      </c>
      <c r="AO162" s="365">
        <f t="shared" si="78"/>
        <v>2</v>
      </c>
      <c r="AP162" s="365">
        <f t="shared" si="96"/>
        <v>0</v>
      </c>
      <c r="AQ162" s="365">
        <f t="shared" si="97"/>
        <v>0</v>
      </c>
      <c r="AR162" s="365">
        <f t="shared" si="98"/>
        <v>0</v>
      </c>
      <c r="AS162" s="365">
        <f t="shared" si="99"/>
        <v>0</v>
      </c>
      <c r="AT162" s="363"/>
    </row>
    <row r="163" ht="24" spans="1:46">
      <c r="A163" s="284" t="s">
        <v>195</v>
      </c>
      <c r="B163" s="284" t="s">
        <v>199</v>
      </c>
      <c r="C163" s="284" t="s">
        <v>387</v>
      </c>
      <c r="D163" s="284" t="s">
        <v>388</v>
      </c>
      <c r="E163" s="365">
        <f t="shared" si="81"/>
        <v>0</v>
      </c>
      <c r="F163" s="365">
        <f t="shared" si="82"/>
        <v>0</v>
      </c>
      <c r="G163" s="365"/>
      <c r="H163" s="365"/>
      <c r="I163" s="365"/>
      <c r="J163" s="365"/>
      <c r="K163" s="365"/>
      <c r="L163" s="365">
        <f t="shared" si="83"/>
        <v>0</v>
      </c>
      <c r="M163" s="365"/>
      <c r="N163" s="365"/>
      <c r="O163" s="365"/>
      <c r="P163" s="365">
        <f t="shared" si="84"/>
        <v>0</v>
      </c>
      <c r="Q163" s="365">
        <f t="shared" si="85"/>
        <v>0</v>
      </c>
      <c r="R163" s="365"/>
      <c r="S163" s="365"/>
      <c r="T163" s="365"/>
      <c r="U163" s="365"/>
      <c r="V163" s="365"/>
      <c r="W163" s="365">
        <f t="shared" si="100"/>
        <v>0</v>
      </c>
      <c r="X163" s="365"/>
      <c r="Y163" s="365"/>
      <c r="Z163" s="365"/>
      <c r="AA163" s="365"/>
      <c r="AB163" s="365"/>
      <c r="AC163" s="365"/>
      <c r="AD163" s="366">
        <v>0</v>
      </c>
      <c r="AE163" s="365">
        <f t="shared" si="86"/>
        <v>0</v>
      </c>
      <c r="AF163" s="365">
        <f t="shared" si="87"/>
        <v>0</v>
      </c>
      <c r="AG163" s="365">
        <f t="shared" si="88"/>
        <v>0</v>
      </c>
      <c r="AH163" s="365">
        <f t="shared" si="89"/>
        <v>0</v>
      </c>
      <c r="AI163" s="365">
        <f t="shared" si="90"/>
        <v>0</v>
      </c>
      <c r="AJ163" s="365">
        <f t="shared" si="91"/>
        <v>0</v>
      </c>
      <c r="AK163" s="365">
        <f t="shared" si="92"/>
        <v>0</v>
      </c>
      <c r="AL163" s="365">
        <f t="shared" si="93"/>
        <v>0</v>
      </c>
      <c r="AM163" s="365">
        <f t="shared" si="94"/>
        <v>0</v>
      </c>
      <c r="AN163" s="365">
        <f t="shared" si="95"/>
        <v>0</v>
      </c>
      <c r="AO163" s="365">
        <f t="shared" si="78"/>
        <v>0</v>
      </c>
      <c r="AP163" s="365">
        <f t="shared" si="96"/>
        <v>0</v>
      </c>
      <c r="AQ163" s="365">
        <f t="shared" si="97"/>
        <v>0</v>
      </c>
      <c r="AR163" s="365">
        <f t="shared" si="98"/>
        <v>0</v>
      </c>
      <c r="AS163" s="365">
        <f t="shared" si="99"/>
        <v>0</v>
      </c>
      <c r="AT163" s="363"/>
    </row>
    <row r="164" ht="24" spans="1:46">
      <c r="A164" s="284" t="s">
        <v>195</v>
      </c>
      <c r="B164" s="284" t="s">
        <v>199</v>
      </c>
      <c r="C164" s="284" t="s">
        <v>389</v>
      </c>
      <c r="D164" s="284" t="s">
        <v>388</v>
      </c>
      <c r="E164" s="365">
        <f t="shared" si="81"/>
        <v>0</v>
      </c>
      <c r="F164" s="365">
        <f t="shared" si="82"/>
        <v>0</v>
      </c>
      <c r="G164" s="365"/>
      <c r="H164" s="365"/>
      <c r="I164" s="365"/>
      <c r="J164" s="365"/>
      <c r="K164" s="365"/>
      <c r="L164" s="365">
        <f t="shared" si="83"/>
        <v>0</v>
      </c>
      <c r="M164" s="365"/>
      <c r="N164" s="365"/>
      <c r="O164" s="365"/>
      <c r="P164" s="365">
        <f t="shared" si="84"/>
        <v>0</v>
      </c>
      <c r="Q164" s="365">
        <f t="shared" si="85"/>
        <v>0</v>
      </c>
      <c r="R164" s="365"/>
      <c r="S164" s="365"/>
      <c r="T164" s="365"/>
      <c r="U164" s="365"/>
      <c r="V164" s="365"/>
      <c r="W164" s="365">
        <f t="shared" si="100"/>
        <v>0</v>
      </c>
      <c r="X164" s="365"/>
      <c r="Y164" s="365"/>
      <c r="Z164" s="365"/>
      <c r="AA164" s="365"/>
      <c r="AB164" s="365"/>
      <c r="AC164" s="365"/>
      <c r="AD164" s="366">
        <v>0</v>
      </c>
      <c r="AE164" s="365">
        <f t="shared" si="86"/>
        <v>0</v>
      </c>
      <c r="AF164" s="365">
        <f t="shared" si="87"/>
        <v>0</v>
      </c>
      <c r="AG164" s="365">
        <f t="shared" si="88"/>
        <v>0</v>
      </c>
      <c r="AH164" s="365">
        <f t="shared" si="89"/>
        <v>0</v>
      </c>
      <c r="AI164" s="365">
        <f t="shared" si="90"/>
        <v>0</v>
      </c>
      <c r="AJ164" s="365">
        <f t="shared" si="91"/>
        <v>0</v>
      </c>
      <c r="AK164" s="365">
        <f t="shared" si="92"/>
        <v>0</v>
      </c>
      <c r="AL164" s="365">
        <f t="shared" si="93"/>
        <v>0</v>
      </c>
      <c r="AM164" s="365">
        <f t="shared" si="94"/>
        <v>0</v>
      </c>
      <c r="AN164" s="365">
        <f t="shared" si="95"/>
        <v>0</v>
      </c>
      <c r="AO164" s="365">
        <f t="shared" si="78"/>
        <v>0</v>
      </c>
      <c r="AP164" s="365">
        <f t="shared" si="96"/>
        <v>0</v>
      </c>
      <c r="AQ164" s="365">
        <f t="shared" si="97"/>
        <v>0</v>
      </c>
      <c r="AR164" s="365">
        <f t="shared" si="98"/>
        <v>0</v>
      </c>
      <c r="AS164" s="365">
        <f t="shared" si="99"/>
        <v>0</v>
      </c>
      <c r="AT164" s="363"/>
    </row>
    <row r="165" ht="24" spans="1:47">
      <c r="A165" s="284" t="s">
        <v>195</v>
      </c>
      <c r="B165" s="284" t="s">
        <v>196</v>
      </c>
      <c r="C165" s="284" t="s">
        <v>390</v>
      </c>
      <c r="D165" s="284" t="s">
        <v>391</v>
      </c>
      <c r="E165" s="365">
        <f t="shared" si="81"/>
        <v>253.24</v>
      </c>
      <c r="F165" s="365">
        <f t="shared" si="82"/>
        <v>103.33</v>
      </c>
      <c r="G165" s="365">
        <v>57.76</v>
      </c>
      <c r="H165" s="365">
        <v>40.76</v>
      </c>
      <c r="I165" s="365">
        <v>4.81</v>
      </c>
      <c r="J165" s="365"/>
      <c r="K165" s="365"/>
      <c r="L165" s="365">
        <f t="shared" si="83"/>
        <v>149.91</v>
      </c>
      <c r="M165" s="365">
        <v>9.91</v>
      </c>
      <c r="N165" s="365">
        <v>20</v>
      </c>
      <c r="O165" s="366">
        <v>120</v>
      </c>
      <c r="P165" s="365">
        <f t="shared" si="84"/>
        <v>-57.904</v>
      </c>
      <c r="Q165" s="365">
        <f t="shared" si="85"/>
        <v>0.38</v>
      </c>
      <c r="R165" s="365">
        <v>-10.92</v>
      </c>
      <c r="S165" s="365">
        <v>11.52</v>
      </c>
      <c r="T165" s="365">
        <v>-0.48</v>
      </c>
      <c r="U165" s="365"/>
      <c r="V165" s="365">
        <v>0.26</v>
      </c>
      <c r="W165" s="365">
        <f t="shared" si="100"/>
        <v>-58.284</v>
      </c>
      <c r="X165" s="365"/>
      <c r="Y165" s="365">
        <f>29.53+8.31</f>
        <v>37.84</v>
      </c>
      <c r="Z165" s="365">
        <v>9</v>
      </c>
      <c r="AA165" s="365"/>
      <c r="AB165" s="365">
        <v>14.276</v>
      </c>
      <c r="AC165" s="365">
        <v>0.6</v>
      </c>
      <c r="AD165" s="366">
        <v>-120</v>
      </c>
      <c r="AE165" s="365">
        <f t="shared" si="86"/>
        <v>195.336</v>
      </c>
      <c r="AF165" s="365">
        <f t="shared" si="87"/>
        <v>103.71</v>
      </c>
      <c r="AG165" s="365">
        <f t="shared" si="88"/>
        <v>46.84</v>
      </c>
      <c r="AH165" s="365">
        <f t="shared" si="89"/>
        <v>52.28</v>
      </c>
      <c r="AI165" s="365">
        <f t="shared" si="90"/>
        <v>4.33</v>
      </c>
      <c r="AJ165" s="365">
        <f t="shared" si="91"/>
        <v>0</v>
      </c>
      <c r="AK165" s="365">
        <f t="shared" si="92"/>
        <v>0.26</v>
      </c>
      <c r="AL165" s="365">
        <f t="shared" si="93"/>
        <v>91.626</v>
      </c>
      <c r="AM165" s="365">
        <f t="shared" si="94"/>
        <v>9.91</v>
      </c>
      <c r="AN165" s="365">
        <f t="shared" si="95"/>
        <v>37.84</v>
      </c>
      <c r="AO165" s="365">
        <f t="shared" si="78"/>
        <v>9</v>
      </c>
      <c r="AP165" s="365">
        <f t="shared" si="96"/>
        <v>0</v>
      </c>
      <c r="AQ165" s="365">
        <f t="shared" si="97"/>
        <v>14.276</v>
      </c>
      <c r="AR165" s="365">
        <f t="shared" si="98"/>
        <v>20.6</v>
      </c>
      <c r="AS165" s="365">
        <f t="shared" si="99"/>
        <v>0</v>
      </c>
      <c r="AT165" s="363" t="s">
        <v>783</v>
      </c>
      <c r="AU165">
        <v>14.276</v>
      </c>
    </row>
    <row r="166" ht="24" spans="1:46">
      <c r="A166" s="284" t="s">
        <v>195</v>
      </c>
      <c r="B166" s="284" t="s">
        <v>199</v>
      </c>
      <c r="C166" s="284" t="s">
        <v>392</v>
      </c>
      <c r="D166" s="284" t="s">
        <v>393</v>
      </c>
      <c r="E166" s="365">
        <f t="shared" si="81"/>
        <v>0</v>
      </c>
      <c r="F166" s="365">
        <f t="shared" si="82"/>
        <v>0</v>
      </c>
      <c r="G166" s="365"/>
      <c r="H166" s="365"/>
      <c r="I166" s="365"/>
      <c r="J166" s="365"/>
      <c r="K166" s="365"/>
      <c r="L166" s="365">
        <f t="shared" si="83"/>
        <v>0</v>
      </c>
      <c r="M166" s="365"/>
      <c r="N166" s="365"/>
      <c r="O166" s="365"/>
      <c r="P166" s="365">
        <f t="shared" si="84"/>
        <v>0</v>
      </c>
      <c r="Q166" s="365">
        <f t="shared" si="85"/>
        <v>0</v>
      </c>
      <c r="R166" s="365"/>
      <c r="S166" s="365"/>
      <c r="T166" s="365"/>
      <c r="U166" s="365"/>
      <c r="V166" s="365"/>
      <c r="W166" s="365">
        <f t="shared" si="100"/>
        <v>0</v>
      </c>
      <c r="X166" s="365"/>
      <c r="Y166" s="365"/>
      <c r="Z166" s="365"/>
      <c r="AA166" s="365"/>
      <c r="AB166" s="365"/>
      <c r="AC166" s="365"/>
      <c r="AD166" s="366">
        <v>0</v>
      </c>
      <c r="AE166" s="365">
        <f t="shared" si="86"/>
        <v>0</v>
      </c>
      <c r="AF166" s="365">
        <f t="shared" si="87"/>
        <v>0</v>
      </c>
      <c r="AG166" s="365">
        <f t="shared" si="88"/>
        <v>0</v>
      </c>
      <c r="AH166" s="365">
        <f t="shared" si="89"/>
        <v>0</v>
      </c>
      <c r="AI166" s="365">
        <f t="shared" si="90"/>
        <v>0</v>
      </c>
      <c r="AJ166" s="365">
        <f t="shared" si="91"/>
        <v>0</v>
      </c>
      <c r="AK166" s="365">
        <f t="shared" si="92"/>
        <v>0</v>
      </c>
      <c r="AL166" s="365">
        <f t="shared" si="93"/>
        <v>0</v>
      </c>
      <c r="AM166" s="365">
        <f t="shared" si="94"/>
        <v>0</v>
      </c>
      <c r="AN166" s="365">
        <f t="shared" si="95"/>
        <v>0</v>
      </c>
      <c r="AO166" s="365">
        <f t="shared" si="78"/>
        <v>0</v>
      </c>
      <c r="AP166" s="365">
        <f t="shared" si="96"/>
        <v>0</v>
      </c>
      <c r="AQ166" s="365">
        <f t="shared" si="97"/>
        <v>0</v>
      </c>
      <c r="AR166" s="365">
        <f t="shared" si="98"/>
        <v>0</v>
      </c>
      <c r="AS166" s="365">
        <f t="shared" si="99"/>
        <v>0</v>
      </c>
      <c r="AT166" s="363"/>
    </row>
    <row r="167" ht="24" spans="1:47">
      <c r="A167" s="284" t="s">
        <v>195</v>
      </c>
      <c r="B167" s="284" t="s">
        <v>196</v>
      </c>
      <c r="C167" s="284" t="s">
        <v>394</v>
      </c>
      <c r="D167" s="284" t="s">
        <v>395</v>
      </c>
      <c r="E167" s="365">
        <f t="shared" si="81"/>
        <v>130.75</v>
      </c>
      <c r="F167" s="365">
        <f t="shared" si="82"/>
        <v>61.75</v>
      </c>
      <c r="G167" s="365">
        <v>35.9</v>
      </c>
      <c r="H167" s="365">
        <v>22.86</v>
      </c>
      <c r="I167" s="365">
        <v>2.99</v>
      </c>
      <c r="J167" s="365"/>
      <c r="K167" s="365"/>
      <c r="L167" s="365">
        <f t="shared" si="83"/>
        <v>69</v>
      </c>
      <c r="M167" s="365"/>
      <c r="N167" s="365"/>
      <c r="O167" s="365">
        <v>69</v>
      </c>
      <c r="P167" s="365">
        <f t="shared" si="84"/>
        <v>-28.2362</v>
      </c>
      <c r="Q167" s="365">
        <f t="shared" si="85"/>
        <v>5.24</v>
      </c>
      <c r="R167" s="365">
        <v>4.62</v>
      </c>
      <c r="S167" s="365">
        <v>0.33</v>
      </c>
      <c r="T167" s="365">
        <v>0.29</v>
      </c>
      <c r="U167" s="365"/>
      <c r="V167" s="365"/>
      <c r="W167" s="365">
        <f t="shared" si="100"/>
        <v>-33.4762</v>
      </c>
      <c r="X167" s="365"/>
      <c r="Y167" s="365">
        <f>18.8+5.18</f>
        <v>23.98</v>
      </c>
      <c r="Z167" s="365">
        <v>3</v>
      </c>
      <c r="AA167" s="365"/>
      <c r="AB167" s="365">
        <v>8.5438</v>
      </c>
      <c r="AC167" s="365"/>
      <c r="AD167" s="366">
        <v>-69</v>
      </c>
      <c r="AE167" s="365">
        <f t="shared" si="86"/>
        <v>102.5138</v>
      </c>
      <c r="AF167" s="365">
        <f t="shared" si="87"/>
        <v>66.99</v>
      </c>
      <c r="AG167" s="365">
        <f t="shared" si="88"/>
        <v>40.52</v>
      </c>
      <c r="AH167" s="365">
        <f t="shared" si="89"/>
        <v>23.19</v>
      </c>
      <c r="AI167" s="365">
        <f t="shared" si="90"/>
        <v>3.28</v>
      </c>
      <c r="AJ167" s="365">
        <f t="shared" si="91"/>
        <v>0</v>
      </c>
      <c r="AK167" s="365">
        <f t="shared" si="92"/>
        <v>0</v>
      </c>
      <c r="AL167" s="365">
        <f t="shared" si="93"/>
        <v>35.5238</v>
      </c>
      <c r="AM167" s="365">
        <f t="shared" si="94"/>
        <v>0</v>
      </c>
      <c r="AN167" s="365">
        <f t="shared" si="95"/>
        <v>23.98</v>
      </c>
      <c r="AO167" s="365">
        <f t="shared" si="78"/>
        <v>3</v>
      </c>
      <c r="AP167" s="365">
        <f t="shared" si="96"/>
        <v>0</v>
      </c>
      <c r="AQ167" s="365">
        <f t="shared" si="97"/>
        <v>8.5438</v>
      </c>
      <c r="AR167" s="365">
        <f t="shared" si="98"/>
        <v>0</v>
      </c>
      <c r="AS167" s="365">
        <f t="shared" si="99"/>
        <v>0</v>
      </c>
      <c r="AT167" s="363"/>
      <c r="AU167">
        <v>8.5438</v>
      </c>
    </row>
    <row r="168" ht="24" spans="1:46">
      <c r="A168" s="284" t="s">
        <v>195</v>
      </c>
      <c r="B168" s="284" t="s">
        <v>199</v>
      </c>
      <c r="C168" s="284" t="s">
        <v>396</v>
      </c>
      <c r="D168" s="284" t="s">
        <v>397</v>
      </c>
      <c r="E168" s="365">
        <f t="shared" si="81"/>
        <v>0</v>
      </c>
      <c r="F168" s="365">
        <f t="shared" si="82"/>
        <v>0</v>
      </c>
      <c r="G168" s="365"/>
      <c r="H168" s="365"/>
      <c r="I168" s="365"/>
      <c r="J168" s="365"/>
      <c r="K168" s="365"/>
      <c r="L168" s="365">
        <f t="shared" si="83"/>
        <v>0</v>
      </c>
      <c r="M168" s="365"/>
      <c r="N168" s="365"/>
      <c r="O168" s="365"/>
      <c r="P168" s="365">
        <f t="shared" si="84"/>
        <v>0</v>
      </c>
      <c r="Q168" s="365">
        <f t="shared" si="85"/>
        <v>0</v>
      </c>
      <c r="R168" s="365"/>
      <c r="S168" s="365"/>
      <c r="T168" s="365"/>
      <c r="U168" s="365"/>
      <c r="V168" s="365"/>
      <c r="W168" s="365">
        <f t="shared" si="100"/>
        <v>0</v>
      </c>
      <c r="X168" s="365"/>
      <c r="Y168" s="365"/>
      <c r="Z168" s="365"/>
      <c r="AA168" s="365"/>
      <c r="AB168" s="365"/>
      <c r="AC168" s="365"/>
      <c r="AD168" s="366">
        <v>0</v>
      </c>
      <c r="AE168" s="365">
        <f t="shared" si="86"/>
        <v>0</v>
      </c>
      <c r="AF168" s="365">
        <f t="shared" si="87"/>
        <v>0</v>
      </c>
      <c r="AG168" s="365">
        <f t="shared" si="88"/>
        <v>0</v>
      </c>
      <c r="AH168" s="365">
        <f t="shared" si="89"/>
        <v>0</v>
      </c>
      <c r="AI168" s="365">
        <f t="shared" si="90"/>
        <v>0</v>
      </c>
      <c r="AJ168" s="365">
        <f t="shared" si="91"/>
        <v>0</v>
      </c>
      <c r="AK168" s="365">
        <f t="shared" si="92"/>
        <v>0</v>
      </c>
      <c r="AL168" s="365">
        <f t="shared" si="93"/>
        <v>0</v>
      </c>
      <c r="AM168" s="365">
        <f t="shared" si="94"/>
        <v>0</v>
      </c>
      <c r="AN168" s="365">
        <f t="shared" si="95"/>
        <v>0</v>
      </c>
      <c r="AO168" s="365">
        <f t="shared" si="78"/>
        <v>0</v>
      </c>
      <c r="AP168" s="365">
        <f t="shared" si="96"/>
        <v>0</v>
      </c>
      <c r="AQ168" s="365">
        <f t="shared" si="97"/>
        <v>0</v>
      </c>
      <c r="AR168" s="365">
        <f t="shared" si="98"/>
        <v>0</v>
      </c>
      <c r="AS168" s="365">
        <f t="shared" si="99"/>
        <v>0</v>
      </c>
      <c r="AT168" s="363"/>
    </row>
    <row r="169" ht="24" spans="1:46">
      <c r="A169" s="284" t="s">
        <v>195</v>
      </c>
      <c r="B169" s="284" t="s">
        <v>199</v>
      </c>
      <c r="C169" s="284" t="s">
        <v>398</v>
      </c>
      <c r="D169" s="284" t="s">
        <v>397</v>
      </c>
      <c r="E169" s="365">
        <f t="shared" si="81"/>
        <v>0</v>
      </c>
      <c r="F169" s="365">
        <f t="shared" si="82"/>
        <v>0</v>
      </c>
      <c r="G169" s="365"/>
      <c r="H169" s="365"/>
      <c r="I169" s="365"/>
      <c r="J169" s="365"/>
      <c r="K169" s="365"/>
      <c r="L169" s="365">
        <f t="shared" si="83"/>
        <v>0</v>
      </c>
      <c r="M169" s="365"/>
      <c r="N169" s="365"/>
      <c r="O169" s="365"/>
      <c r="P169" s="365">
        <f t="shared" si="84"/>
        <v>0</v>
      </c>
      <c r="Q169" s="365">
        <f t="shared" si="85"/>
        <v>0</v>
      </c>
      <c r="R169" s="365"/>
      <c r="S169" s="365"/>
      <c r="T169" s="365"/>
      <c r="U169" s="365"/>
      <c r="V169" s="365"/>
      <c r="W169" s="365">
        <f t="shared" si="100"/>
        <v>0</v>
      </c>
      <c r="X169" s="365"/>
      <c r="Y169" s="365"/>
      <c r="Z169" s="365"/>
      <c r="AA169" s="365"/>
      <c r="AB169" s="365"/>
      <c r="AC169" s="365"/>
      <c r="AD169" s="366">
        <v>0</v>
      </c>
      <c r="AE169" s="365">
        <f t="shared" si="86"/>
        <v>0</v>
      </c>
      <c r="AF169" s="365">
        <f t="shared" si="87"/>
        <v>0</v>
      </c>
      <c r="AG169" s="365">
        <f t="shared" si="88"/>
        <v>0</v>
      </c>
      <c r="AH169" s="365">
        <f t="shared" si="89"/>
        <v>0</v>
      </c>
      <c r="AI169" s="365">
        <f t="shared" si="90"/>
        <v>0</v>
      </c>
      <c r="AJ169" s="365">
        <f t="shared" si="91"/>
        <v>0</v>
      </c>
      <c r="AK169" s="365">
        <f t="shared" si="92"/>
        <v>0</v>
      </c>
      <c r="AL169" s="365">
        <f t="shared" si="93"/>
        <v>0</v>
      </c>
      <c r="AM169" s="365">
        <f t="shared" si="94"/>
        <v>0</v>
      </c>
      <c r="AN169" s="365">
        <f t="shared" si="95"/>
        <v>0</v>
      </c>
      <c r="AO169" s="365">
        <f t="shared" si="78"/>
        <v>0</v>
      </c>
      <c r="AP169" s="365">
        <f t="shared" si="96"/>
        <v>0</v>
      </c>
      <c r="AQ169" s="365">
        <f t="shared" si="97"/>
        <v>0</v>
      </c>
      <c r="AR169" s="365">
        <f t="shared" si="98"/>
        <v>0</v>
      </c>
      <c r="AS169" s="365">
        <f t="shared" si="99"/>
        <v>0</v>
      </c>
      <c r="AT169" s="363"/>
    </row>
    <row r="170" ht="24" spans="1:47">
      <c r="A170" s="284" t="s">
        <v>195</v>
      </c>
      <c r="B170" s="284" t="s">
        <v>196</v>
      </c>
      <c r="C170" s="284" t="s">
        <v>399</v>
      </c>
      <c r="D170" s="284" t="s">
        <v>400</v>
      </c>
      <c r="E170" s="365">
        <f t="shared" si="81"/>
        <v>60.64</v>
      </c>
      <c r="F170" s="365">
        <f t="shared" si="82"/>
        <v>31.09</v>
      </c>
      <c r="G170" s="365">
        <v>17.84</v>
      </c>
      <c r="H170" s="365">
        <v>11.76</v>
      </c>
      <c r="I170" s="365">
        <v>1.49</v>
      </c>
      <c r="J170" s="365"/>
      <c r="K170" s="365"/>
      <c r="L170" s="365">
        <f t="shared" si="83"/>
        <v>29.55</v>
      </c>
      <c r="M170" s="365">
        <v>4.95</v>
      </c>
      <c r="N170" s="371">
        <v>1.6</v>
      </c>
      <c r="O170" s="365">
        <v>23</v>
      </c>
      <c r="P170" s="365">
        <f t="shared" si="84"/>
        <v>9.1148</v>
      </c>
      <c r="Q170" s="365">
        <f t="shared" si="85"/>
        <v>10</v>
      </c>
      <c r="R170" s="365">
        <v>6.91</v>
      </c>
      <c r="S170" s="365">
        <v>2.95</v>
      </c>
      <c r="T170" s="365">
        <v>0.14</v>
      </c>
      <c r="U170" s="365"/>
      <c r="V170" s="365"/>
      <c r="W170" s="365">
        <f t="shared" si="100"/>
        <v>-0.885200000000001</v>
      </c>
      <c r="X170" s="365"/>
      <c r="Y170" s="365">
        <f>11.26+3.57</f>
        <v>14.83</v>
      </c>
      <c r="Z170" s="365">
        <v>1</v>
      </c>
      <c r="AA170" s="365"/>
      <c r="AB170" s="365">
        <v>6.2848</v>
      </c>
      <c r="AC170" s="371"/>
      <c r="AD170" s="366">
        <v>-23</v>
      </c>
      <c r="AE170" s="365">
        <f t="shared" si="86"/>
        <v>69.7548</v>
      </c>
      <c r="AF170" s="365">
        <f t="shared" si="87"/>
        <v>41.09</v>
      </c>
      <c r="AG170" s="365">
        <f t="shared" ref="AG170:AG186" si="101">G170+R170</f>
        <v>24.75</v>
      </c>
      <c r="AH170" s="365">
        <f t="shared" ref="AH170:AH186" si="102">H170+S170</f>
        <v>14.71</v>
      </c>
      <c r="AI170" s="365">
        <f t="shared" ref="AI170:AI186" si="103">I170+T170</f>
        <v>1.63</v>
      </c>
      <c r="AJ170" s="365">
        <f t="shared" ref="AJ170:AJ186" si="104">J170+U170</f>
        <v>0</v>
      </c>
      <c r="AK170" s="365">
        <f t="shared" ref="AK170:AK186" si="105">K170+V170</f>
        <v>0</v>
      </c>
      <c r="AL170" s="365">
        <f t="shared" si="93"/>
        <v>28.6648</v>
      </c>
      <c r="AM170" s="365">
        <f t="shared" ref="AM170:AM186" si="106">M170+X170</f>
        <v>4.95</v>
      </c>
      <c r="AN170" s="365">
        <f t="shared" ref="AN170:AN186" si="107">Y170</f>
        <v>14.83</v>
      </c>
      <c r="AO170" s="365">
        <f t="shared" si="78"/>
        <v>1</v>
      </c>
      <c r="AP170" s="365">
        <f t="shared" ref="AP170:AP186" si="108">AA170</f>
        <v>0</v>
      </c>
      <c r="AQ170" s="365">
        <f t="shared" si="97"/>
        <v>6.2848</v>
      </c>
      <c r="AR170" s="365">
        <f t="shared" ref="AR170:AR186" si="109">N170+AC170</f>
        <v>1.6</v>
      </c>
      <c r="AS170" s="365">
        <f t="shared" ref="AS170:AS186" si="110">O170+AD170</f>
        <v>0</v>
      </c>
      <c r="AT170" s="363"/>
      <c r="AU170">
        <v>6.2848</v>
      </c>
    </row>
    <row r="171" ht="24" spans="1:46">
      <c r="A171" s="284" t="s">
        <v>195</v>
      </c>
      <c r="B171" s="284" t="s">
        <v>196</v>
      </c>
      <c r="C171" s="284" t="s">
        <v>401</v>
      </c>
      <c r="D171" s="284" t="s">
        <v>355</v>
      </c>
      <c r="E171" s="365">
        <f t="shared" si="81"/>
        <v>9</v>
      </c>
      <c r="F171" s="365">
        <f t="shared" si="82"/>
        <v>0</v>
      </c>
      <c r="G171" s="365"/>
      <c r="H171" s="365"/>
      <c r="I171" s="365"/>
      <c r="J171" s="365"/>
      <c r="K171" s="365"/>
      <c r="L171" s="365">
        <f t="shared" si="83"/>
        <v>9</v>
      </c>
      <c r="M171" s="365"/>
      <c r="N171" s="365"/>
      <c r="O171" s="366">
        <v>9</v>
      </c>
      <c r="P171" s="365">
        <f t="shared" si="84"/>
        <v>-9</v>
      </c>
      <c r="Q171" s="365">
        <f t="shared" si="85"/>
        <v>0</v>
      </c>
      <c r="R171" s="365"/>
      <c r="S171" s="365"/>
      <c r="T171" s="365"/>
      <c r="U171" s="365"/>
      <c r="V171" s="365"/>
      <c r="W171" s="365">
        <f t="shared" si="100"/>
        <v>-9</v>
      </c>
      <c r="X171" s="365"/>
      <c r="Y171" s="365"/>
      <c r="Z171" s="365"/>
      <c r="AA171" s="365"/>
      <c r="AB171" s="365"/>
      <c r="AC171" s="365"/>
      <c r="AD171" s="366">
        <v>-9</v>
      </c>
      <c r="AE171" s="365">
        <f t="shared" si="86"/>
        <v>0</v>
      </c>
      <c r="AF171" s="365">
        <f t="shared" si="87"/>
        <v>0</v>
      </c>
      <c r="AG171" s="365">
        <f t="shared" si="101"/>
        <v>0</v>
      </c>
      <c r="AH171" s="365">
        <f t="shared" si="102"/>
        <v>0</v>
      </c>
      <c r="AI171" s="365">
        <f t="shared" si="103"/>
        <v>0</v>
      </c>
      <c r="AJ171" s="365">
        <f t="shared" si="104"/>
        <v>0</v>
      </c>
      <c r="AK171" s="365">
        <f t="shared" si="105"/>
        <v>0</v>
      </c>
      <c r="AL171" s="365">
        <f t="shared" si="93"/>
        <v>0</v>
      </c>
      <c r="AM171" s="365">
        <f t="shared" si="106"/>
        <v>0</v>
      </c>
      <c r="AN171" s="365">
        <f t="shared" si="107"/>
        <v>0</v>
      </c>
      <c r="AO171" s="365">
        <f t="shared" si="78"/>
        <v>0</v>
      </c>
      <c r="AP171" s="365">
        <f t="shared" si="108"/>
        <v>0</v>
      </c>
      <c r="AQ171" s="365">
        <f t="shared" si="97"/>
        <v>0</v>
      </c>
      <c r="AR171" s="365">
        <f t="shared" si="109"/>
        <v>0</v>
      </c>
      <c r="AS171" s="365">
        <f t="shared" si="110"/>
        <v>0</v>
      </c>
      <c r="AT171" s="363"/>
    </row>
    <row r="172" ht="24" spans="1:47">
      <c r="A172" s="284" t="s">
        <v>195</v>
      </c>
      <c r="B172" s="284" t="s">
        <v>196</v>
      </c>
      <c r="C172" s="284" t="s">
        <v>402</v>
      </c>
      <c r="D172" s="284" t="s">
        <v>355</v>
      </c>
      <c r="E172" s="365">
        <f t="shared" si="81"/>
        <v>7</v>
      </c>
      <c r="F172" s="365">
        <f t="shared" si="82"/>
        <v>0</v>
      </c>
      <c r="G172" s="365"/>
      <c r="H172" s="365"/>
      <c r="I172" s="365"/>
      <c r="J172" s="365"/>
      <c r="K172" s="365"/>
      <c r="L172" s="365">
        <f t="shared" si="83"/>
        <v>7</v>
      </c>
      <c r="M172" s="365"/>
      <c r="N172" s="365"/>
      <c r="O172" s="366">
        <v>7</v>
      </c>
      <c r="P172" s="365">
        <f t="shared" si="84"/>
        <v>-7</v>
      </c>
      <c r="Q172" s="365">
        <f t="shared" si="85"/>
        <v>0</v>
      </c>
      <c r="R172" s="365"/>
      <c r="S172" s="365"/>
      <c r="T172" s="365"/>
      <c r="U172" s="365"/>
      <c r="V172" s="365"/>
      <c r="W172" s="365">
        <f t="shared" si="100"/>
        <v>-7</v>
      </c>
      <c r="X172" s="365"/>
      <c r="Y172" s="365"/>
      <c r="Z172" s="365"/>
      <c r="AA172" s="365"/>
      <c r="AB172" s="365"/>
      <c r="AC172" s="365"/>
      <c r="AD172" s="366">
        <v>-7</v>
      </c>
      <c r="AE172" s="365">
        <f t="shared" si="86"/>
        <v>0</v>
      </c>
      <c r="AF172" s="365">
        <f t="shared" si="87"/>
        <v>0</v>
      </c>
      <c r="AG172" s="365">
        <f t="shared" si="101"/>
        <v>0</v>
      </c>
      <c r="AH172" s="365">
        <f t="shared" si="102"/>
        <v>0</v>
      </c>
      <c r="AI172" s="365">
        <f t="shared" si="103"/>
        <v>0</v>
      </c>
      <c r="AJ172" s="365">
        <f t="shared" si="104"/>
        <v>0</v>
      </c>
      <c r="AK172" s="365">
        <f t="shared" si="105"/>
        <v>0</v>
      </c>
      <c r="AL172" s="365">
        <f t="shared" si="93"/>
        <v>0</v>
      </c>
      <c r="AM172" s="365">
        <f t="shared" si="106"/>
        <v>0</v>
      </c>
      <c r="AN172" s="365">
        <f t="shared" si="107"/>
        <v>0</v>
      </c>
      <c r="AO172" s="365">
        <f t="shared" si="78"/>
        <v>0</v>
      </c>
      <c r="AP172" s="365">
        <f t="shared" si="108"/>
        <v>0</v>
      </c>
      <c r="AQ172" s="365">
        <f t="shared" si="97"/>
        <v>0</v>
      </c>
      <c r="AR172" s="365">
        <f t="shared" si="109"/>
        <v>0</v>
      </c>
      <c r="AS172" s="365">
        <f t="shared" si="110"/>
        <v>0</v>
      </c>
      <c r="AT172" s="363"/>
      <c r="AU172">
        <v>0</v>
      </c>
    </row>
    <row r="173" ht="24" spans="1:47">
      <c r="A173" s="284" t="s">
        <v>195</v>
      </c>
      <c r="B173" s="284" t="s">
        <v>196</v>
      </c>
      <c r="C173" s="284" t="s">
        <v>403</v>
      </c>
      <c r="D173" s="284" t="s">
        <v>355</v>
      </c>
      <c r="E173" s="365">
        <f t="shared" si="81"/>
        <v>15</v>
      </c>
      <c r="F173" s="365">
        <f t="shared" si="82"/>
        <v>0</v>
      </c>
      <c r="G173" s="365"/>
      <c r="H173" s="365"/>
      <c r="I173" s="365"/>
      <c r="J173" s="365"/>
      <c r="K173" s="365"/>
      <c r="L173" s="365">
        <f t="shared" si="83"/>
        <v>15</v>
      </c>
      <c r="M173" s="365"/>
      <c r="N173" s="365"/>
      <c r="O173" s="366">
        <v>15</v>
      </c>
      <c r="P173" s="365">
        <f t="shared" si="84"/>
        <v>-15</v>
      </c>
      <c r="Q173" s="365">
        <f t="shared" si="85"/>
        <v>0</v>
      </c>
      <c r="R173" s="365"/>
      <c r="S173" s="365"/>
      <c r="T173" s="365"/>
      <c r="U173" s="365"/>
      <c r="V173" s="365"/>
      <c r="W173" s="365">
        <f t="shared" si="100"/>
        <v>-15</v>
      </c>
      <c r="X173" s="365"/>
      <c r="Y173" s="365"/>
      <c r="Z173" s="365"/>
      <c r="AA173" s="365"/>
      <c r="AB173" s="365"/>
      <c r="AC173" s="365"/>
      <c r="AD173" s="366">
        <v>-15</v>
      </c>
      <c r="AE173" s="365">
        <f t="shared" si="86"/>
        <v>0</v>
      </c>
      <c r="AF173" s="365">
        <f t="shared" si="87"/>
        <v>0</v>
      </c>
      <c r="AG173" s="365">
        <f t="shared" si="101"/>
        <v>0</v>
      </c>
      <c r="AH173" s="365">
        <f t="shared" si="102"/>
        <v>0</v>
      </c>
      <c r="AI173" s="365">
        <f t="shared" si="103"/>
        <v>0</v>
      </c>
      <c r="AJ173" s="365">
        <f t="shared" si="104"/>
        <v>0</v>
      </c>
      <c r="AK173" s="365">
        <f t="shared" si="105"/>
        <v>0</v>
      </c>
      <c r="AL173" s="365">
        <f t="shared" si="93"/>
        <v>0</v>
      </c>
      <c r="AM173" s="365">
        <f t="shared" si="106"/>
        <v>0</v>
      </c>
      <c r="AN173" s="365">
        <f t="shared" si="107"/>
        <v>0</v>
      </c>
      <c r="AO173" s="365">
        <f t="shared" si="78"/>
        <v>0</v>
      </c>
      <c r="AP173" s="365">
        <f t="shared" si="108"/>
        <v>0</v>
      </c>
      <c r="AQ173" s="365">
        <f t="shared" si="97"/>
        <v>0</v>
      </c>
      <c r="AR173" s="365">
        <f t="shared" si="109"/>
        <v>0</v>
      </c>
      <c r="AS173" s="365">
        <f t="shared" si="110"/>
        <v>0</v>
      </c>
      <c r="AT173" s="363"/>
      <c r="AU173">
        <v>0</v>
      </c>
    </row>
    <row r="174" ht="24" spans="1:47">
      <c r="A174" s="284" t="s">
        <v>195</v>
      </c>
      <c r="B174" s="284" t="s">
        <v>196</v>
      </c>
      <c r="C174" s="284" t="s">
        <v>404</v>
      </c>
      <c r="D174" s="284" t="s">
        <v>400</v>
      </c>
      <c r="E174" s="365">
        <f t="shared" si="81"/>
        <v>25.46</v>
      </c>
      <c r="F174" s="365">
        <f t="shared" si="82"/>
        <v>13.46</v>
      </c>
      <c r="G174" s="365">
        <v>7.44</v>
      </c>
      <c r="H174" s="365">
        <v>5.21</v>
      </c>
      <c r="I174" s="365">
        <v>0.81</v>
      </c>
      <c r="J174" s="365"/>
      <c r="K174" s="365"/>
      <c r="L174" s="365">
        <f t="shared" si="83"/>
        <v>12</v>
      </c>
      <c r="M174" s="365"/>
      <c r="N174" s="365"/>
      <c r="O174" s="365">
        <v>12</v>
      </c>
      <c r="P174" s="365">
        <f t="shared" si="84"/>
        <v>-4.981</v>
      </c>
      <c r="Q174" s="365">
        <f t="shared" si="85"/>
        <v>-1.69</v>
      </c>
      <c r="R174" s="365">
        <v>0.28</v>
      </c>
      <c r="S174" s="365">
        <v>-1.9</v>
      </c>
      <c r="T174" s="365">
        <v>-0.07</v>
      </c>
      <c r="U174" s="365"/>
      <c r="V174" s="365"/>
      <c r="W174" s="365">
        <f t="shared" si="100"/>
        <v>-3.291</v>
      </c>
      <c r="X174" s="365"/>
      <c r="Y174" s="365">
        <f>3.28+0.79</f>
        <v>4.07</v>
      </c>
      <c r="Z174" s="365">
        <v>3</v>
      </c>
      <c r="AA174" s="365"/>
      <c r="AB174" s="365">
        <v>1.639</v>
      </c>
      <c r="AC174" s="365"/>
      <c r="AD174" s="366">
        <v>-12</v>
      </c>
      <c r="AE174" s="365">
        <f t="shared" si="86"/>
        <v>20.479</v>
      </c>
      <c r="AF174" s="365">
        <f t="shared" si="87"/>
        <v>11.77</v>
      </c>
      <c r="AG174" s="365">
        <f t="shared" si="101"/>
        <v>7.72</v>
      </c>
      <c r="AH174" s="365">
        <f t="shared" si="102"/>
        <v>3.31</v>
      </c>
      <c r="AI174" s="365">
        <f t="shared" si="103"/>
        <v>0.74</v>
      </c>
      <c r="AJ174" s="365">
        <f t="shared" si="104"/>
        <v>0</v>
      </c>
      <c r="AK174" s="365">
        <f t="shared" si="105"/>
        <v>0</v>
      </c>
      <c r="AL174" s="365">
        <f t="shared" si="93"/>
        <v>8.709</v>
      </c>
      <c r="AM174" s="365">
        <f t="shared" si="106"/>
        <v>0</v>
      </c>
      <c r="AN174" s="365">
        <f t="shared" si="107"/>
        <v>4.07</v>
      </c>
      <c r="AO174" s="365">
        <f t="shared" si="78"/>
        <v>3</v>
      </c>
      <c r="AP174" s="365">
        <f t="shared" si="108"/>
        <v>0</v>
      </c>
      <c r="AQ174" s="365">
        <f t="shared" si="97"/>
        <v>1.639</v>
      </c>
      <c r="AR174" s="365">
        <f t="shared" si="109"/>
        <v>0</v>
      </c>
      <c r="AS174" s="365">
        <f t="shared" si="110"/>
        <v>0</v>
      </c>
      <c r="AT174" s="363"/>
      <c r="AU174">
        <v>1.639</v>
      </c>
    </row>
    <row r="175" ht="24" spans="1:47">
      <c r="A175" s="284" t="s">
        <v>195</v>
      </c>
      <c r="B175" s="284" t="s">
        <v>196</v>
      </c>
      <c r="C175" s="284" t="s">
        <v>405</v>
      </c>
      <c r="D175" s="284" t="s">
        <v>400</v>
      </c>
      <c r="E175" s="365">
        <f t="shared" si="81"/>
        <v>98.03</v>
      </c>
      <c r="F175" s="365">
        <f t="shared" si="82"/>
        <v>52.08</v>
      </c>
      <c r="G175" s="365">
        <v>29.26</v>
      </c>
      <c r="H175" s="365">
        <v>20.38</v>
      </c>
      <c r="I175" s="365">
        <v>2.44</v>
      </c>
      <c r="J175" s="365"/>
      <c r="K175" s="365"/>
      <c r="L175" s="365">
        <f t="shared" si="83"/>
        <v>45.95</v>
      </c>
      <c r="M175" s="365">
        <v>4.95</v>
      </c>
      <c r="N175" s="365"/>
      <c r="O175" s="365">
        <v>41</v>
      </c>
      <c r="P175" s="365">
        <f t="shared" si="84"/>
        <v>-5.216</v>
      </c>
      <c r="Q175" s="365">
        <f t="shared" si="85"/>
        <v>5.16</v>
      </c>
      <c r="R175" s="365">
        <v>4.58</v>
      </c>
      <c r="S175" s="365">
        <v>0.35</v>
      </c>
      <c r="T175" s="365">
        <v>0.23</v>
      </c>
      <c r="U175" s="365"/>
      <c r="V175" s="365"/>
      <c r="W175" s="365">
        <f t="shared" si="100"/>
        <v>-10.376</v>
      </c>
      <c r="X175" s="365"/>
      <c r="Y175" s="365">
        <f>15.81+4.74</f>
        <v>20.55</v>
      </c>
      <c r="Z175" s="365">
        <v>5</v>
      </c>
      <c r="AA175" s="365"/>
      <c r="AB175" s="365">
        <v>4.474</v>
      </c>
      <c r="AC175" s="365">
        <v>0.6</v>
      </c>
      <c r="AD175" s="366">
        <v>-41</v>
      </c>
      <c r="AE175" s="365">
        <f t="shared" si="86"/>
        <v>92.814</v>
      </c>
      <c r="AF175" s="365">
        <f t="shared" si="87"/>
        <v>57.24</v>
      </c>
      <c r="AG175" s="365">
        <f t="shared" si="101"/>
        <v>33.84</v>
      </c>
      <c r="AH175" s="365">
        <f t="shared" si="102"/>
        <v>20.73</v>
      </c>
      <c r="AI175" s="365">
        <f t="shared" si="103"/>
        <v>2.67</v>
      </c>
      <c r="AJ175" s="365">
        <f t="shared" si="104"/>
        <v>0</v>
      </c>
      <c r="AK175" s="365">
        <f t="shared" si="105"/>
        <v>0</v>
      </c>
      <c r="AL175" s="365">
        <f t="shared" si="93"/>
        <v>35.574</v>
      </c>
      <c r="AM175" s="365">
        <f t="shared" si="106"/>
        <v>4.95</v>
      </c>
      <c r="AN175" s="365">
        <f t="shared" si="107"/>
        <v>20.55</v>
      </c>
      <c r="AO175" s="365">
        <f t="shared" si="78"/>
        <v>5</v>
      </c>
      <c r="AP175" s="365">
        <f t="shared" si="108"/>
        <v>0</v>
      </c>
      <c r="AQ175" s="365">
        <f t="shared" si="97"/>
        <v>4.474</v>
      </c>
      <c r="AR175" s="365">
        <f t="shared" si="109"/>
        <v>0.6</v>
      </c>
      <c r="AS175" s="365">
        <f t="shared" si="110"/>
        <v>0</v>
      </c>
      <c r="AT175" s="363" t="s">
        <v>783</v>
      </c>
      <c r="AU175">
        <v>4.474</v>
      </c>
    </row>
    <row r="176" ht="24" spans="1:47">
      <c r="A176" s="284" t="s">
        <v>195</v>
      </c>
      <c r="B176" s="284" t="s">
        <v>196</v>
      </c>
      <c r="C176" s="284" t="s">
        <v>406</v>
      </c>
      <c r="D176" s="284" t="s">
        <v>400</v>
      </c>
      <c r="E176" s="365">
        <f t="shared" si="81"/>
        <v>24.9</v>
      </c>
      <c r="F176" s="365">
        <f t="shared" si="82"/>
        <v>12.9</v>
      </c>
      <c r="G176" s="365">
        <v>7.35</v>
      </c>
      <c r="H176" s="365">
        <v>4.94</v>
      </c>
      <c r="I176" s="365">
        <v>0.61</v>
      </c>
      <c r="J176" s="365"/>
      <c r="K176" s="365"/>
      <c r="L176" s="365">
        <f t="shared" si="83"/>
        <v>12</v>
      </c>
      <c r="M176" s="365"/>
      <c r="N176" s="365"/>
      <c r="O176" s="365">
        <v>12</v>
      </c>
      <c r="P176" s="365">
        <f t="shared" si="84"/>
        <v>-1.8492</v>
      </c>
      <c r="Q176" s="365">
        <f t="shared" si="85"/>
        <v>1.64</v>
      </c>
      <c r="R176" s="365">
        <v>1.27</v>
      </c>
      <c r="S176" s="365">
        <v>0.31</v>
      </c>
      <c r="T176" s="365">
        <v>0.06</v>
      </c>
      <c r="U176" s="365"/>
      <c r="V176" s="365"/>
      <c r="W176" s="365">
        <f t="shared" si="100"/>
        <v>-3.4892</v>
      </c>
      <c r="X176" s="365"/>
      <c r="Y176" s="365">
        <f>4.24+1.27</f>
        <v>5.51</v>
      </c>
      <c r="Z176" s="365">
        <v>2</v>
      </c>
      <c r="AA176" s="365"/>
      <c r="AB176" s="365">
        <v>1.0008</v>
      </c>
      <c r="AC176" s="365"/>
      <c r="AD176" s="366">
        <v>-12</v>
      </c>
      <c r="AE176" s="365">
        <f t="shared" si="86"/>
        <v>23.0508</v>
      </c>
      <c r="AF176" s="365">
        <f t="shared" si="87"/>
        <v>14.54</v>
      </c>
      <c r="AG176" s="365">
        <f t="shared" si="101"/>
        <v>8.62</v>
      </c>
      <c r="AH176" s="365">
        <f t="shared" si="102"/>
        <v>5.25</v>
      </c>
      <c r="AI176" s="365">
        <f t="shared" si="103"/>
        <v>0.67</v>
      </c>
      <c r="AJ176" s="365">
        <f t="shared" si="104"/>
        <v>0</v>
      </c>
      <c r="AK176" s="365">
        <f t="shared" si="105"/>
        <v>0</v>
      </c>
      <c r="AL176" s="365">
        <f t="shared" si="93"/>
        <v>8.5108</v>
      </c>
      <c r="AM176" s="365">
        <f t="shared" si="106"/>
        <v>0</v>
      </c>
      <c r="AN176" s="365">
        <f t="shared" si="107"/>
        <v>5.51</v>
      </c>
      <c r="AO176" s="365">
        <f t="shared" si="78"/>
        <v>2</v>
      </c>
      <c r="AP176" s="365">
        <f t="shared" si="108"/>
        <v>0</v>
      </c>
      <c r="AQ176" s="365">
        <f t="shared" si="97"/>
        <v>1.0008</v>
      </c>
      <c r="AR176" s="365">
        <f t="shared" si="109"/>
        <v>0</v>
      </c>
      <c r="AS176" s="365">
        <f t="shared" si="110"/>
        <v>0</v>
      </c>
      <c r="AT176" s="363"/>
      <c r="AU176">
        <v>1.0008</v>
      </c>
    </row>
    <row r="177" ht="24" spans="1:47">
      <c r="A177" s="284" t="s">
        <v>195</v>
      </c>
      <c r="B177" s="284" t="s">
        <v>196</v>
      </c>
      <c r="C177" s="284" t="s">
        <v>407</v>
      </c>
      <c r="D177" s="284" t="s">
        <v>400</v>
      </c>
      <c r="E177" s="365">
        <f t="shared" si="81"/>
        <v>136</v>
      </c>
      <c r="F177" s="365">
        <f t="shared" si="82"/>
        <v>77</v>
      </c>
      <c r="G177" s="365">
        <v>42.97</v>
      </c>
      <c r="H177" s="365">
        <v>30.45</v>
      </c>
      <c r="I177" s="365">
        <v>3.58</v>
      </c>
      <c r="J177" s="365"/>
      <c r="K177" s="365"/>
      <c r="L177" s="365">
        <f t="shared" si="83"/>
        <v>59</v>
      </c>
      <c r="M177" s="365"/>
      <c r="N177" s="365"/>
      <c r="O177" s="366">
        <v>59</v>
      </c>
      <c r="P177" s="365">
        <f t="shared" si="84"/>
        <v>-11.587</v>
      </c>
      <c r="Q177" s="365">
        <f t="shared" si="85"/>
        <v>0.11</v>
      </c>
      <c r="R177" s="365">
        <v>2.04</v>
      </c>
      <c r="S177" s="365">
        <v>-2.06</v>
      </c>
      <c r="T177" s="365">
        <v>0.13</v>
      </c>
      <c r="U177" s="365"/>
      <c r="V177" s="365"/>
      <c r="W177" s="365">
        <f t="shared" si="100"/>
        <v>-11.697</v>
      </c>
      <c r="X177" s="365"/>
      <c r="Y177" s="365">
        <f>22.89+6.49</f>
        <v>29.38</v>
      </c>
      <c r="Z177" s="365">
        <v>10</v>
      </c>
      <c r="AA177" s="365"/>
      <c r="AB177" s="365">
        <v>7.773</v>
      </c>
      <c r="AC177" s="365">
        <v>0.15</v>
      </c>
      <c r="AD177" s="366">
        <v>-59</v>
      </c>
      <c r="AE177" s="365">
        <f t="shared" si="86"/>
        <v>124.413</v>
      </c>
      <c r="AF177" s="365">
        <f t="shared" si="87"/>
        <v>77.11</v>
      </c>
      <c r="AG177" s="365">
        <f t="shared" si="101"/>
        <v>45.01</v>
      </c>
      <c r="AH177" s="365">
        <f t="shared" si="102"/>
        <v>28.39</v>
      </c>
      <c r="AI177" s="365">
        <f t="shared" si="103"/>
        <v>3.71</v>
      </c>
      <c r="AJ177" s="365">
        <f t="shared" si="104"/>
        <v>0</v>
      </c>
      <c r="AK177" s="365">
        <f t="shared" si="105"/>
        <v>0</v>
      </c>
      <c r="AL177" s="365">
        <f t="shared" si="93"/>
        <v>47.303</v>
      </c>
      <c r="AM177" s="365">
        <f t="shared" si="106"/>
        <v>0</v>
      </c>
      <c r="AN177" s="365">
        <f t="shared" si="107"/>
        <v>29.38</v>
      </c>
      <c r="AO177" s="365">
        <f t="shared" si="78"/>
        <v>10</v>
      </c>
      <c r="AP177" s="365">
        <f t="shared" si="108"/>
        <v>0</v>
      </c>
      <c r="AQ177" s="365">
        <f t="shared" si="97"/>
        <v>7.773</v>
      </c>
      <c r="AR177" s="365">
        <f t="shared" si="109"/>
        <v>0.15</v>
      </c>
      <c r="AS177" s="365">
        <f t="shared" si="110"/>
        <v>0</v>
      </c>
      <c r="AT177" s="363" t="s">
        <v>773</v>
      </c>
      <c r="AU177">
        <v>7.773</v>
      </c>
    </row>
    <row r="178" ht="24" spans="1:47">
      <c r="A178" s="284" t="s">
        <v>195</v>
      </c>
      <c r="B178" s="284" t="s">
        <v>196</v>
      </c>
      <c r="C178" s="284" t="s">
        <v>408</v>
      </c>
      <c r="D178" s="284" t="s">
        <v>409</v>
      </c>
      <c r="E178" s="365">
        <f t="shared" si="81"/>
        <v>21.17</v>
      </c>
      <c r="F178" s="365">
        <f t="shared" si="82"/>
        <v>5.17</v>
      </c>
      <c r="G178" s="365">
        <v>2.59</v>
      </c>
      <c r="H178" s="365">
        <v>2.36</v>
      </c>
      <c r="I178" s="365">
        <v>0.22</v>
      </c>
      <c r="J178" s="365"/>
      <c r="K178" s="365"/>
      <c r="L178" s="365">
        <f t="shared" si="83"/>
        <v>16</v>
      </c>
      <c r="M178" s="365"/>
      <c r="N178" s="365"/>
      <c r="O178" s="366">
        <v>16</v>
      </c>
      <c r="P178" s="365">
        <f t="shared" si="84"/>
        <v>-12.2232</v>
      </c>
      <c r="Q178" s="365">
        <f t="shared" si="85"/>
        <v>0.4</v>
      </c>
      <c r="R178" s="365">
        <v>0.38</v>
      </c>
      <c r="S178" s="365"/>
      <c r="T178" s="365">
        <v>0.02</v>
      </c>
      <c r="U178" s="365"/>
      <c r="V178" s="365"/>
      <c r="W178" s="365">
        <f t="shared" si="100"/>
        <v>-12.6232</v>
      </c>
      <c r="X178" s="365"/>
      <c r="Y178" s="365">
        <v>1.9</v>
      </c>
      <c r="Z178" s="365">
        <v>1</v>
      </c>
      <c r="AA178" s="365"/>
      <c r="AB178" s="365">
        <v>0.4768</v>
      </c>
      <c r="AC178" s="365"/>
      <c r="AD178" s="366">
        <v>-16</v>
      </c>
      <c r="AE178" s="365">
        <f t="shared" si="86"/>
        <v>8.9468</v>
      </c>
      <c r="AF178" s="365">
        <f t="shared" si="87"/>
        <v>5.57</v>
      </c>
      <c r="AG178" s="365">
        <f t="shared" si="101"/>
        <v>2.97</v>
      </c>
      <c r="AH178" s="365">
        <f t="shared" si="102"/>
        <v>2.36</v>
      </c>
      <c r="AI178" s="365">
        <f t="shared" si="103"/>
        <v>0.24</v>
      </c>
      <c r="AJ178" s="365">
        <f t="shared" si="104"/>
        <v>0</v>
      </c>
      <c r="AK178" s="365">
        <f t="shared" si="105"/>
        <v>0</v>
      </c>
      <c r="AL178" s="365">
        <f t="shared" si="93"/>
        <v>3.3768</v>
      </c>
      <c r="AM178" s="365">
        <f t="shared" si="106"/>
        <v>0</v>
      </c>
      <c r="AN178" s="365">
        <f t="shared" si="107"/>
        <v>1.9</v>
      </c>
      <c r="AO178" s="365">
        <f t="shared" si="78"/>
        <v>1</v>
      </c>
      <c r="AP178" s="365">
        <f t="shared" si="108"/>
        <v>0</v>
      </c>
      <c r="AQ178" s="365">
        <f t="shared" si="97"/>
        <v>0.4768</v>
      </c>
      <c r="AR178" s="365">
        <f t="shared" si="109"/>
        <v>0</v>
      </c>
      <c r="AS178" s="365">
        <f t="shared" si="110"/>
        <v>0</v>
      </c>
      <c r="AT178" s="363"/>
      <c r="AU178">
        <v>0.4768</v>
      </c>
    </row>
    <row r="179" ht="24" spans="1:47">
      <c r="A179" s="284" t="s">
        <v>195</v>
      </c>
      <c r="B179" s="284" t="s">
        <v>199</v>
      </c>
      <c r="C179" s="284" t="s">
        <v>410</v>
      </c>
      <c r="D179" s="284" t="s">
        <v>411</v>
      </c>
      <c r="E179" s="365">
        <f t="shared" si="81"/>
        <v>0</v>
      </c>
      <c r="F179" s="365">
        <f t="shared" si="82"/>
        <v>0</v>
      </c>
      <c r="G179" s="365"/>
      <c r="H179" s="365"/>
      <c r="I179" s="365"/>
      <c r="J179" s="365"/>
      <c r="K179" s="365"/>
      <c r="L179" s="365">
        <f t="shared" si="83"/>
        <v>0</v>
      </c>
      <c r="M179" s="365"/>
      <c r="N179" s="365"/>
      <c r="O179" s="366"/>
      <c r="P179" s="365">
        <f t="shared" si="84"/>
        <v>0</v>
      </c>
      <c r="Q179" s="365">
        <f t="shared" si="85"/>
        <v>0</v>
      </c>
      <c r="R179" s="365"/>
      <c r="S179" s="365"/>
      <c r="T179" s="365"/>
      <c r="U179" s="365"/>
      <c r="V179" s="365"/>
      <c r="W179" s="365">
        <f t="shared" si="100"/>
        <v>0</v>
      </c>
      <c r="X179" s="365"/>
      <c r="Y179" s="365"/>
      <c r="Z179" s="365"/>
      <c r="AA179" s="365"/>
      <c r="AB179" s="365"/>
      <c r="AC179" s="365"/>
      <c r="AD179" s="366">
        <v>0</v>
      </c>
      <c r="AE179" s="365">
        <f t="shared" si="86"/>
        <v>0</v>
      </c>
      <c r="AF179" s="365">
        <f t="shared" si="87"/>
        <v>0</v>
      </c>
      <c r="AG179" s="365">
        <f t="shared" si="101"/>
        <v>0</v>
      </c>
      <c r="AH179" s="365">
        <f t="shared" si="102"/>
        <v>0</v>
      </c>
      <c r="AI179" s="365">
        <f t="shared" si="103"/>
        <v>0</v>
      </c>
      <c r="AJ179" s="365">
        <f t="shared" si="104"/>
        <v>0</v>
      </c>
      <c r="AK179" s="365">
        <f t="shared" si="105"/>
        <v>0</v>
      </c>
      <c r="AL179" s="365">
        <f t="shared" si="93"/>
        <v>0</v>
      </c>
      <c r="AM179" s="365">
        <f t="shared" si="106"/>
        <v>0</v>
      </c>
      <c r="AN179" s="365">
        <f t="shared" si="107"/>
        <v>0</v>
      </c>
      <c r="AO179" s="365">
        <f t="shared" si="78"/>
        <v>0</v>
      </c>
      <c r="AP179" s="365">
        <f t="shared" si="108"/>
        <v>0</v>
      </c>
      <c r="AQ179" s="365">
        <f t="shared" si="97"/>
        <v>0</v>
      </c>
      <c r="AR179" s="365">
        <f t="shared" si="109"/>
        <v>0</v>
      </c>
      <c r="AS179" s="365">
        <f t="shared" si="110"/>
        <v>0</v>
      </c>
      <c r="AT179" s="363"/>
      <c r="AU179">
        <v>1</v>
      </c>
    </row>
    <row r="180" ht="24" spans="1:47">
      <c r="A180" s="284" t="s">
        <v>195</v>
      </c>
      <c r="B180" s="284" t="s">
        <v>199</v>
      </c>
      <c r="C180" s="284" t="s">
        <v>412</v>
      </c>
      <c r="D180" s="284" t="s">
        <v>411</v>
      </c>
      <c r="E180" s="365">
        <f t="shared" si="81"/>
        <v>0</v>
      </c>
      <c r="F180" s="365">
        <f t="shared" si="82"/>
        <v>0</v>
      </c>
      <c r="G180" s="365"/>
      <c r="H180" s="365"/>
      <c r="I180" s="365"/>
      <c r="J180" s="365"/>
      <c r="K180" s="365"/>
      <c r="L180" s="365">
        <f t="shared" si="83"/>
        <v>0</v>
      </c>
      <c r="M180" s="365"/>
      <c r="N180" s="365"/>
      <c r="O180" s="366"/>
      <c r="P180" s="365">
        <f t="shared" si="84"/>
        <v>0</v>
      </c>
      <c r="Q180" s="365">
        <f t="shared" si="85"/>
        <v>0</v>
      </c>
      <c r="R180" s="365"/>
      <c r="S180" s="365"/>
      <c r="T180" s="365"/>
      <c r="U180" s="365"/>
      <c r="V180" s="365"/>
      <c r="W180" s="365">
        <f t="shared" si="100"/>
        <v>0</v>
      </c>
      <c r="X180" s="365"/>
      <c r="Y180" s="365"/>
      <c r="Z180" s="365"/>
      <c r="AA180" s="365"/>
      <c r="AB180" s="365"/>
      <c r="AC180" s="365"/>
      <c r="AD180" s="366">
        <v>0</v>
      </c>
      <c r="AE180" s="365">
        <f t="shared" si="86"/>
        <v>0</v>
      </c>
      <c r="AF180" s="365">
        <f t="shared" si="87"/>
        <v>0</v>
      </c>
      <c r="AG180" s="365">
        <f t="shared" si="101"/>
        <v>0</v>
      </c>
      <c r="AH180" s="365">
        <f t="shared" si="102"/>
        <v>0</v>
      </c>
      <c r="AI180" s="365">
        <f t="shared" si="103"/>
        <v>0</v>
      </c>
      <c r="AJ180" s="365">
        <f t="shared" si="104"/>
        <v>0</v>
      </c>
      <c r="AK180" s="365">
        <f t="shared" si="105"/>
        <v>0</v>
      </c>
      <c r="AL180" s="365">
        <f t="shared" si="93"/>
        <v>0</v>
      </c>
      <c r="AM180" s="365">
        <f t="shared" si="106"/>
        <v>0</v>
      </c>
      <c r="AN180" s="365">
        <f t="shared" si="107"/>
        <v>0</v>
      </c>
      <c r="AO180" s="365">
        <f t="shared" si="78"/>
        <v>0</v>
      </c>
      <c r="AP180" s="365">
        <f t="shared" si="108"/>
        <v>0</v>
      </c>
      <c r="AQ180" s="365">
        <f t="shared" si="97"/>
        <v>0</v>
      </c>
      <c r="AR180" s="365">
        <f t="shared" si="109"/>
        <v>0</v>
      </c>
      <c r="AS180" s="365">
        <f t="shared" si="110"/>
        <v>0</v>
      </c>
      <c r="AT180" s="363"/>
      <c r="AU180">
        <v>1.5</v>
      </c>
    </row>
    <row r="181" ht="24" spans="1:47">
      <c r="A181" s="284" t="s">
        <v>195</v>
      </c>
      <c r="B181" s="284" t="s">
        <v>199</v>
      </c>
      <c r="C181" s="284" t="s">
        <v>413</v>
      </c>
      <c r="D181" s="284" t="s">
        <v>411</v>
      </c>
      <c r="E181" s="365">
        <f t="shared" si="81"/>
        <v>0</v>
      </c>
      <c r="F181" s="365">
        <f t="shared" si="82"/>
        <v>0</v>
      </c>
      <c r="G181" s="365"/>
      <c r="H181" s="365"/>
      <c r="I181" s="365"/>
      <c r="J181" s="365"/>
      <c r="K181" s="365"/>
      <c r="L181" s="365">
        <f t="shared" si="83"/>
        <v>0</v>
      </c>
      <c r="M181" s="365"/>
      <c r="N181" s="365"/>
      <c r="O181" s="365"/>
      <c r="P181" s="365">
        <f t="shared" si="84"/>
        <v>0</v>
      </c>
      <c r="Q181" s="365">
        <f t="shared" si="85"/>
        <v>0</v>
      </c>
      <c r="R181" s="365"/>
      <c r="S181" s="365"/>
      <c r="T181" s="365"/>
      <c r="U181" s="365"/>
      <c r="V181" s="365"/>
      <c r="W181" s="365">
        <f t="shared" si="100"/>
        <v>0</v>
      </c>
      <c r="X181" s="365"/>
      <c r="Y181" s="365"/>
      <c r="Z181" s="365"/>
      <c r="AA181" s="365"/>
      <c r="AB181" s="365"/>
      <c r="AC181" s="365"/>
      <c r="AD181" s="366">
        <v>0</v>
      </c>
      <c r="AE181" s="365">
        <f t="shared" si="86"/>
        <v>0</v>
      </c>
      <c r="AF181" s="365">
        <f t="shared" si="87"/>
        <v>0</v>
      </c>
      <c r="AG181" s="365">
        <f t="shared" si="101"/>
        <v>0</v>
      </c>
      <c r="AH181" s="365">
        <f t="shared" si="102"/>
        <v>0</v>
      </c>
      <c r="AI181" s="365">
        <f t="shared" si="103"/>
        <v>0</v>
      </c>
      <c r="AJ181" s="365">
        <f t="shared" si="104"/>
        <v>0</v>
      </c>
      <c r="AK181" s="365">
        <f t="shared" si="105"/>
        <v>0</v>
      </c>
      <c r="AL181" s="365">
        <f t="shared" si="93"/>
        <v>0</v>
      </c>
      <c r="AM181" s="365">
        <f t="shared" si="106"/>
        <v>0</v>
      </c>
      <c r="AN181" s="365">
        <f t="shared" si="107"/>
        <v>0</v>
      </c>
      <c r="AO181" s="365">
        <f t="shared" si="78"/>
        <v>0</v>
      </c>
      <c r="AP181" s="365">
        <f t="shared" si="108"/>
        <v>0</v>
      </c>
      <c r="AQ181" s="365">
        <f t="shared" si="97"/>
        <v>0</v>
      </c>
      <c r="AR181" s="365">
        <f t="shared" si="109"/>
        <v>0</v>
      </c>
      <c r="AS181" s="365">
        <f t="shared" si="110"/>
        <v>0</v>
      </c>
      <c r="AT181" s="363"/>
      <c r="AU181">
        <v>1.5</v>
      </c>
    </row>
    <row r="182" ht="24" spans="1:47">
      <c r="A182" s="284" t="s">
        <v>195</v>
      </c>
      <c r="B182" s="284" t="s">
        <v>199</v>
      </c>
      <c r="C182" s="284" t="s">
        <v>414</v>
      </c>
      <c r="D182" s="284" t="s">
        <v>411</v>
      </c>
      <c r="E182" s="365">
        <f t="shared" si="81"/>
        <v>0</v>
      </c>
      <c r="F182" s="365">
        <f t="shared" si="82"/>
        <v>0</v>
      </c>
      <c r="G182" s="365"/>
      <c r="H182" s="365"/>
      <c r="I182" s="365"/>
      <c r="J182" s="365"/>
      <c r="K182" s="365"/>
      <c r="L182" s="365">
        <f t="shared" si="83"/>
        <v>0</v>
      </c>
      <c r="M182" s="365"/>
      <c r="N182" s="365"/>
      <c r="O182" s="365"/>
      <c r="P182" s="365">
        <f t="shared" si="84"/>
        <v>0</v>
      </c>
      <c r="Q182" s="365">
        <f t="shared" si="85"/>
        <v>0</v>
      </c>
      <c r="R182" s="365"/>
      <c r="S182" s="365"/>
      <c r="T182" s="365"/>
      <c r="U182" s="365"/>
      <c r="V182" s="365"/>
      <c r="W182" s="365">
        <f t="shared" si="100"/>
        <v>0</v>
      </c>
      <c r="X182" s="365"/>
      <c r="Y182" s="365"/>
      <c r="Z182" s="365"/>
      <c r="AA182" s="365"/>
      <c r="AB182" s="365"/>
      <c r="AC182" s="365"/>
      <c r="AD182" s="366">
        <v>0</v>
      </c>
      <c r="AE182" s="365">
        <f t="shared" si="86"/>
        <v>0</v>
      </c>
      <c r="AF182" s="365">
        <f t="shared" si="87"/>
        <v>0</v>
      </c>
      <c r="AG182" s="365">
        <f t="shared" si="101"/>
        <v>0</v>
      </c>
      <c r="AH182" s="365">
        <f t="shared" si="102"/>
        <v>0</v>
      </c>
      <c r="AI182" s="365">
        <f t="shared" si="103"/>
        <v>0</v>
      </c>
      <c r="AJ182" s="365">
        <f t="shared" si="104"/>
        <v>0</v>
      </c>
      <c r="AK182" s="365">
        <f t="shared" si="105"/>
        <v>0</v>
      </c>
      <c r="AL182" s="365">
        <f t="shared" si="93"/>
        <v>0</v>
      </c>
      <c r="AM182" s="365">
        <f t="shared" si="106"/>
        <v>0</v>
      </c>
      <c r="AN182" s="365">
        <f t="shared" si="107"/>
        <v>0</v>
      </c>
      <c r="AO182" s="365">
        <f t="shared" si="78"/>
        <v>0</v>
      </c>
      <c r="AP182" s="365">
        <f t="shared" si="108"/>
        <v>0</v>
      </c>
      <c r="AQ182" s="365">
        <f t="shared" si="97"/>
        <v>0</v>
      </c>
      <c r="AR182" s="365">
        <f t="shared" si="109"/>
        <v>0</v>
      </c>
      <c r="AS182" s="365">
        <f t="shared" si="110"/>
        <v>0</v>
      </c>
      <c r="AT182" s="363"/>
      <c r="AU182">
        <v>0.5</v>
      </c>
    </row>
    <row r="183" ht="24" spans="1:47">
      <c r="A183" s="284" t="s">
        <v>195</v>
      </c>
      <c r="B183" s="284" t="s">
        <v>196</v>
      </c>
      <c r="C183" s="284" t="s">
        <v>415</v>
      </c>
      <c r="D183" s="284" t="s">
        <v>416</v>
      </c>
      <c r="E183" s="365">
        <f t="shared" si="81"/>
        <v>890.62</v>
      </c>
      <c r="F183" s="365">
        <f t="shared" si="82"/>
        <v>528.33</v>
      </c>
      <c r="G183" s="365">
        <v>297.96</v>
      </c>
      <c r="H183" s="365">
        <v>199.42</v>
      </c>
      <c r="I183" s="365">
        <v>24.83</v>
      </c>
      <c r="J183" s="365">
        <v>6.12</v>
      </c>
      <c r="K183" s="365"/>
      <c r="L183" s="365">
        <f t="shared" si="83"/>
        <v>362.29</v>
      </c>
      <c r="M183" s="365">
        <v>22.29</v>
      </c>
      <c r="N183" s="365"/>
      <c r="O183" s="366">
        <v>340</v>
      </c>
      <c r="P183" s="365">
        <f t="shared" si="84"/>
        <v>-29.1894</v>
      </c>
      <c r="Q183" s="365">
        <f t="shared" si="85"/>
        <v>-3.25</v>
      </c>
      <c r="R183" s="365">
        <v>-4.2</v>
      </c>
      <c r="S183" s="365"/>
      <c r="T183" s="365">
        <v>0.59</v>
      </c>
      <c r="U183" s="365">
        <v>0.36</v>
      </c>
      <c r="V183" s="365"/>
      <c r="W183" s="365">
        <f t="shared" si="100"/>
        <v>-25.9394</v>
      </c>
      <c r="X183" s="365"/>
      <c r="Y183" s="365">
        <f>141.56+42.99</f>
        <v>184.55</v>
      </c>
      <c r="Z183" s="365">
        <v>70</v>
      </c>
      <c r="AA183" s="365"/>
      <c r="AB183" s="365">
        <v>57.1106</v>
      </c>
      <c r="AC183" s="365">
        <v>2.4</v>
      </c>
      <c r="AD183" s="366">
        <v>-340</v>
      </c>
      <c r="AE183" s="365">
        <f t="shared" si="86"/>
        <v>861.4306</v>
      </c>
      <c r="AF183" s="365">
        <f t="shared" si="87"/>
        <v>525.08</v>
      </c>
      <c r="AG183" s="365">
        <f t="shared" si="101"/>
        <v>293.76</v>
      </c>
      <c r="AH183" s="365">
        <f t="shared" si="102"/>
        <v>199.42</v>
      </c>
      <c r="AI183" s="365">
        <f t="shared" si="103"/>
        <v>25.42</v>
      </c>
      <c r="AJ183" s="365">
        <f t="shared" si="104"/>
        <v>6.48</v>
      </c>
      <c r="AK183" s="365">
        <f t="shared" si="105"/>
        <v>0</v>
      </c>
      <c r="AL183" s="365">
        <f t="shared" si="93"/>
        <v>336.3506</v>
      </c>
      <c r="AM183" s="365">
        <f t="shared" si="106"/>
        <v>22.29</v>
      </c>
      <c r="AN183" s="365">
        <f t="shared" si="107"/>
        <v>184.55</v>
      </c>
      <c r="AO183" s="365">
        <f t="shared" si="78"/>
        <v>70</v>
      </c>
      <c r="AP183" s="365">
        <f t="shared" si="108"/>
        <v>0</v>
      </c>
      <c r="AQ183" s="365">
        <f t="shared" si="97"/>
        <v>57.1106</v>
      </c>
      <c r="AR183" s="365">
        <f t="shared" si="109"/>
        <v>2.4</v>
      </c>
      <c r="AS183" s="365">
        <f t="shared" si="110"/>
        <v>0</v>
      </c>
      <c r="AT183" s="363" t="s">
        <v>784</v>
      </c>
      <c r="AU183">
        <v>57.1106</v>
      </c>
    </row>
    <row r="184" ht="24" spans="1:47">
      <c r="A184" s="284" t="s">
        <v>195</v>
      </c>
      <c r="B184" s="284" t="s">
        <v>199</v>
      </c>
      <c r="C184" s="284" t="s">
        <v>417</v>
      </c>
      <c r="D184" s="284" t="s">
        <v>418</v>
      </c>
      <c r="E184" s="365">
        <f t="shared" si="81"/>
        <v>0</v>
      </c>
      <c r="F184" s="365">
        <f t="shared" si="82"/>
        <v>0</v>
      </c>
      <c r="G184" s="365"/>
      <c r="H184" s="365"/>
      <c r="I184" s="365"/>
      <c r="J184" s="365"/>
      <c r="K184" s="365"/>
      <c r="L184" s="365">
        <f t="shared" si="83"/>
        <v>0</v>
      </c>
      <c r="M184" s="365"/>
      <c r="N184" s="365"/>
      <c r="O184" s="365"/>
      <c r="P184" s="365">
        <f t="shared" si="84"/>
        <v>0</v>
      </c>
      <c r="Q184" s="365">
        <f t="shared" si="85"/>
        <v>0</v>
      </c>
      <c r="R184" s="365"/>
      <c r="S184" s="365"/>
      <c r="T184" s="365"/>
      <c r="U184" s="365"/>
      <c r="V184" s="365"/>
      <c r="W184" s="365">
        <f t="shared" si="100"/>
        <v>0</v>
      </c>
      <c r="X184" s="365"/>
      <c r="Y184" s="365"/>
      <c r="Z184" s="365"/>
      <c r="AA184" s="365"/>
      <c r="AB184" s="365"/>
      <c r="AC184" s="365"/>
      <c r="AD184" s="366">
        <v>0</v>
      </c>
      <c r="AE184" s="365">
        <f t="shared" si="86"/>
        <v>0</v>
      </c>
      <c r="AF184" s="365">
        <f t="shared" si="87"/>
        <v>0</v>
      </c>
      <c r="AG184" s="365">
        <f t="shared" si="101"/>
        <v>0</v>
      </c>
      <c r="AH184" s="365">
        <f t="shared" si="102"/>
        <v>0</v>
      </c>
      <c r="AI184" s="365">
        <f t="shared" si="103"/>
        <v>0</v>
      </c>
      <c r="AJ184" s="365">
        <f t="shared" si="104"/>
        <v>0</v>
      </c>
      <c r="AK184" s="365">
        <f t="shared" si="105"/>
        <v>0</v>
      </c>
      <c r="AL184" s="365">
        <f t="shared" si="93"/>
        <v>0</v>
      </c>
      <c r="AM184" s="365">
        <f t="shared" si="106"/>
        <v>0</v>
      </c>
      <c r="AN184" s="365">
        <f t="shared" si="107"/>
        <v>0</v>
      </c>
      <c r="AO184" s="365">
        <f t="shared" si="78"/>
        <v>0</v>
      </c>
      <c r="AP184" s="365">
        <f t="shared" si="108"/>
        <v>0</v>
      </c>
      <c r="AQ184" s="365">
        <f t="shared" si="97"/>
        <v>0</v>
      </c>
      <c r="AR184" s="365">
        <f t="shared" si="109"/>
        <v>0</v>
      </c>
      <c r="AS184" s="365">
        <f t="shared" si="110"/>
        <v>0</v>
      </c>
      <c r="AT184" s="363"/>
      <c r="AU184">
        <v>4.5417</v>
      </c>
    </row>
    <row r="185" ht="24" spans="1:47">
      <c r="A185" s="284" t="s">
        <v>195</v>
      </c>
      <c r="B185" s="284" t="s">
        <v>199</v>
      </c>
      <c r="C185" s="284" t="s">
        <v>419</v>
      </c>
      <c r="D185" s="284" t="s">
        <v>418</v>
      </c>
      <c r="E185" s="365">
        <f t="shared" si="81"/>
        <v>0</v>
      </c>
      <c r="F185" s="365">
        <f t="shared" si="82"/>
        <v>0</v>
      </c>
      <c r="G185" s="365"/>
      <c r="H185" s="365"/>
      <c r="I185" s="365"/>
      <c r="J185" s="365"/>
      <c r="K185" s="365"/>
      <c r="L185" s="365">
        <f t="shared" si="83"/>
        <v>0</v>
      </c>
      <c r="M185" s="365"/>
      <c r="N185" s="365"/>
      <c r="O185" s="365"/>
      <c r="P185" s="365">
        <f t="shared" si="84"/>
        <v>0</v>
      </c>
      <c r="Q185" s="365">
        <f t="shared" si="85"/>
        <v>0</v>
      </c>
      <c r="R185" s="365"/>
      <c r="S185" s="365"/>
      <c r="T185" s="365"/>
      <c r="U185" s="365"/>
      <c r="V185" s="365"/>
      <c r="W185" s="365">
        <f t="shared" si="100"/>
        <v>0</v>
      </c>
      <c r="X185" s="365"/>
      <c r="Y185" s="365"/>
      <c r="Z185" s="365"/>
      <c r="AA185" s="365"/>
      <c r="AB185" s="365"/>
      <c r="AC185" s="365"/>
      <c r="AD185" s="366">
        <v>0</v>
      </c>
      <c r="AE185" s="365">
        <f t="shared" si="86"/>
        <v>0</v>
      </c>
      <c r="AF185" s="365">
        <f t="shared" si="87"/>
        <v>0</v>
      </c>
      <c r="AG185" s="365">
        <f t="shared" si="101"/>
        <v>0</v>
      </c>
      <c r="AH185" s="365">
        <f t="shared" si="102"/>
        <v>0</v>
      </c>
      <c r="AI185" s="365">
        <f t="shared" si="103"/>
        <v>0</v>
      </c>
      <c r="AJ185" s="365">
        <f t="shared" si="104"/>
        <v>0</v>
      </c>
      <c r="AK185" s="365">
        <f t="shared" si="105"/>
        <v>0</v>
      </c>
      <c r="AL185" s="365">
        <f t="shared" si="93"/>
        <v>0</v>
      </c>
      <c r="AM185" s="365">
        <f t="shared" si="106"/>
        <v>0</v>
      </c>
      <c r="AN185" s="365">
        <f t="shared" si="107"/>
        <v>0</v>
      </c>
      <c r="AO185" s="365">
        <f t="shared" si="78"/>
        <v>0</v>
      </c>
      <c r="AP185" s="365">
        <f t="shared" si="108"/>
        <v>0</v>
      </c>
      <c r="AQ185" s="365">
        <f t="shared" si="97"/>
        <v>0</v>
      </c>
      <c r="AR185" s="365">
        <f t="shared" si="109"/>
        <v>0</v>
      </c>
      <c r="AS185" s="365">
        <f t="shared" si="110"/>
        <v>0</v>
      </c>
      <c r="AT185" s="363"/>
      <c r="AU185">
        <v>1.5</v>
      </c>
    </row>
    <row r="186" ht="24" spans="1:47">
      <c r="A186" s="284" t="s">
        <v>195</v>
      </c>
      <c r="B186" s="284" t="s">
        <v>199</v>
      </c>
      <c r="C186" s="284" t="s">
        <v>420</v>
      </c>
      <c r="D186" s="284" t="s">
        <v>418</v>
      </c>
      <c r="E186" s="365">
        <f t="shared" si="81"/>
        <v>0</v>
      </c>
      <c r="F186" s="365">
        <f t="shared" si="82"/>
        <v>0</v>
      </c>
      <c r="G186" s="365"/>
      <c r="H186" s="365"/>
      <c r="I186" s="365"/>
      <c r="J186" s="365"/>
      <c r="K186" s="365"/>
      <c r="L186" s="365">
        <f t="shared" si="83"/>
        <v>0</v>
      </c>
      <c r="M186" s="365"/>
      <c r="N186" s="365"/>
      <c r="O186" s="365"/>
      <c r="P186" s="365">
        <f t="shared" si="84"/>
        <v>0</v>
      </c>
      <c r="Q186" s="365">
        <f t="shared" si="85"/>
        <v>0</v>
      </c>
      <c r="R186" s="365"/>
      <c r="S186" s="365"/>
      <c r="T186" s="365"/>
      <c r="U186" s="365"/>
      <c r="V186" s="365"/>
      <c r="W186" s="365">
        <f t="shared" si="100"/>
        <v>0</v>
      </c>
      <c r="X186" s="365"/>
      <c r="Y186" s="365"/>
      <c r="Z186" s="365"/>
      <c r="AA186" s="365"/>
      <c r="AB186" s="365"/>
      <c r="AC186" s="365"/>
      <c r="AD186" s="366">
        <v>0</v>
      </c>
      <c r="AE186" s="365">
        <f t="shared" si="86"/>
        <v>0</v>
      </c>
      <c r="AF186" s="365">
        <f t="shared" si="87"/>
        <v>0</v>
      </c>
      <c r="AG186" s="365">
        <f t="shared" si="101"/>
        <v>0</v>
      </c>
      <c r="AH186" s="365">
        <f t="shared" si="102"/>
        <v>0</v>
      </c>
      <c r="AI186" s="365">
        <f t="shared" si="103"/>
        <v>0</v>
      </c>
      <c r="AJ186" s="365">
        <f t="shared" si="104"/>
        <v>0</v>
      </c>
      <c r="AK186" s="365">
        <f t="shared" si="105"/>
        <v>0</v>
      </c>
      <c r="AL186" s="365">
        <f t="shared" si="93"/>
        <v>0</v>
      </c>
      <c r="AM186" s="365">
        <f t="shared" si="106"/>
        <v>0</v>
      </c>
      <c r="AN186" s="365">
        <f t="shared" si="107"/>
        <v>0</v>
      </c>
      <c r="AO186" s="365">
        <f t="shared" si="78"/>
        <v>0</v>
      </c>
      <c r="AP186" s="365">
        <f t="shared" si="108"/>
        <v>0</v>
      </c>
      <c r="AQ186" s="365">
        <f t="shared" si="97"/>
        <v>0</v>
      </c>
      <c r="AR186" s="365">
        <f t="shared" si="109"/>
        <v>0</v>
      </c>
      <c r="AS186" s="365">
        <f t="shared" si="110"/>
        <v>0</v>
      </c>
      <c r="AT186" s="363"/>
      <c r="AU186">
        <v>12.68</v>
      </c>
    </row>
    <row r="187" s="311" customFormat="1" ht="21" customHeight="1" spans="1:47">
      <c r="A187" s="329"/>
      <c r="B187" s="329" t="s">
        <v>745</v>
      </c>
      <c r="C187" s="329" t="s">
        <v>133</v>
      </c>
      <c r="D187" s="329">
        <v>204</v>
      </c>
      <c r="E187" s="364">
        <f t="shared" ref="E187:O187" si="111">SUM(E188:E197)</f>
        <v>6275.3</v>
      </c>
      <c r="F187" s="364">
        <f t="shared" si="111"/>
        <v>3482.05</v>
      </c>
      <c r="G187" s="364">
        <f t="shared" si="111"/>
        <v>1434.98</v>
      </c>
      <c r="H187" s="364">
        <f t="shared" si="111"/>
        <v>1814.48</v>
      </c>
      <c r="I187" s="364">
        <f t="shared" si="111"/>
        <v>151.83</v>
      </c>
      <c r="J187" s="364">
        <f t="shared" si="111"/>
        <v>8.04</v>
      </c>
      <c r="K187" s="364">
        <f t="shared" si="111"/>
        <v>72.72</v>
      </c>
      <c r="L187" s="364">
        <f t="shared" si="111"/>
        <v>2793.25</v>
      </c>
      <c r="M187" s="364">
        <f t="shared" si="111"/>
        <v>1131.11</v>
      </c>
      <c r="N187" s="364">
        <f t="shared" si="111"/>
        <v>9.14</v>
      </c>
      <c r="O187" s="364">
        <f t="shared" si="111"/>
        <v>1653</v>
      </c>
      <c r="P187" s="364">
        <f t="shared" si="84"/>
        <v>608.4805</v>
      </c>
      <c r="Q187" s="364">
        <f t="shared" ref="Q187:AD187" si="112">SUM(Q188:Q197)</f>
        <v>227.85</v>
      </c>
      <c r="R187" s="364">
        <f t="shared" si="112"/>
        <v>189.25</v>
      </c>
      <c r="S187" s="364">
        <f t="shared" si="112"/>
        <v>35.09</v>
      </c>
      <c r="T187" s="364">
        <f t="shared" si="112"/>
        <v>7.94</v>
      </c>
      <c r="U187" s="364">
        <f t="shared" si="112"/>
        <v>-0.3</v>
      </c>
      <c r="V187" s="364">
        <f t="shared" si="112"/>
        <v>-4.13</v>
      </c>
      <c r="W187" s="364">
        <f t="shared" si="112"/>
        <v>380.6305</v>
      </c>
      <c r="X187" s="364">
        <f t="shared" si="112"/>
        <v>74.25</v>
      </c>
      <c r="Y187" s="364">
        <f t="shared" si="112"/>
        <v>1218.65</v>
      </c>
      <c r="Z187" s="364">
        <f t="shared" si="112"/>
        <v>160</v>
      </c>
      <c r="AA187" s="364">
        <f t="shared" si="112"/>
        <v>300.3</v>
      </c>
      <c r="AB187" s="364">
        <f t="shared" si="112"/>
        <v>268.9305</v>
      </c>
      <c r="AC187" s="364">
        <f t="shared" si="112"/>
        <v>11.5</v>
      </c>
      <c r="AD187" s="364">
        <f t="shared" si="112"/>
        <v>-1653</v>
      </c>
      <c r="AE187" s="364">
        <f t="shared" si="86"/>
        <v>6883.7805</v>
      </c>
      <c r="AF187" s="364">
        <f t="shared" ref="AF187:AS187" si="113">SUM(AF188:AF197)</f>
        <v>3709.9</v>
      </c>
      <c r="AG187" s="364">
        <f t="shared" si="113"/>
        <v>1624.23</v>
      </c>
      <c r="AH187" s="364">
        <f t="shared" si="113"/>
        <v>1849.57</v>
      </c>
      <c r="AI187" s="364">
        <f t="shared" si="113"/>
        <v>159.77</v>
      </c>
      <c r="AJ187" s="364">
        <f t="shared" si="113"/>
        <v>7.74</v>
      </c>
      <c r="AK187" s="364">
        <f t="shared" si="113"/>
        <v>68.59</v>
      </c>
      <c r="AL187" s="364">
        <f t="shared" si="113"/>
        <v>3173.8805</v>
      </c>
      <c r="AM187" s="364">
        <f t="shared" si="113"/>
        <v>1205.36</v>
      </c>
      <c r="AN187" s="364">
        <f t="shared" si="113"/>
        <v>1218.65</v>
      </c>
      <c r="AO187" s="364">
        <f t="shared" si="113"/>
        <v>160</v>
      </c>
      <c r="AP187" s="364">
        <f t="shared" si="113"/>
        <v>300.3</v>
      </c>
      <c r="AQ187" s="364">
        <f t="shared" si="113"/>
        <v>268.9305</v>
      </c>
      <c r="AR187" s="364">
        <f t="shared" si="113"/>
        <v>20.64</v>
      </c>
      <c r="AS187" s="364">
        <f t="shared" si="113"/>
        <v>0</v>
      </c>
      <c r="AT187" s="372"/>
      <c r="AU187" s="373"/>
    </row>
    <row r="188" ht="24" spans="1:47">
      <c r="A188" s="284" t="s">
        <v>195</v>
      </c>
      <c r="B188" s="284" t="s">
        <v>196</v>
      </c>
      <c r="C188" s="284" t="s">
        <v>421</v>
      </c>
      <c r="D188" s="284" t="s">
        <v>422</v>
      </c>
      <c r="E188" s="365">
        <f>F188+L188</f>
        <v>4650.54</v>
      </c>
      <c r="F188" s="365">
        <f>SUM(G188:K188)</f>
        <v>2785.43</v>
      </c>
      <c r="G188" s="365">
        <v>1125.54</v>
      </c>
      <c r="H188" s="365">
        <v>1536.59</v>
      </c>
      <c r="I188" s="365">
        <v>123.3</v>
      </c>
      <c r="J188" s="365"/>
      <c r="K188" s="365"/>
      <c r="L188" s="365">
        <f>SUM(M188:O188)</f>
        <v>1865.11</v>
      </c>
      <c r="M188" s="366">
        <v>663.64</v>
      </c>
      <c r="N188" s="374">
        <v>3.47</v>
      </c>
      <c r="O188" s="366">
        <f>1100+98</f>
        <v>1198</v>
      </c>
      <c r="P188" s="365">
        <f t="shared" si="84"/>
        <v>705.1807</v>
      </c>
      <c r="Q188" s="365">
        <f t="shared" ref="Q188:Q197" si="114">SUM(R188:V188)</f>
        <v>210.85</v>
      </c>
      <c r="R188" s="365">
        <v>181.59</v>
      </c>
      <c r="S188" s="365">
        <v>23.27</v>
      </c>
      <c r="T188" s="365">
        <v>5.99</v>
      </c>
      <c r="U188" s="365"/>
      <c r="V188" s="365"/>
      <c r="W188" s="365">
        <f t="shared" ref="W188:W197" si="115">SUM(X188:AD188)</f>
        <v>494.3307</v>
      </c>
      <c r="X188" s="366">
        <v>70.39</v>
      </c>
      <c r="Y188" s="366">
        <v>1001.95</v>
      </c>
      <c r="Z188" s="366">
        <v>95</v>
      </c>
      <c r="AA188" s="366">
        <v>300.3</v>
      </c>
      <c r="AB188" s="365">
        <v>214.5407</v>
      </c>
      <c r="AC188" s="386">
        <v>10.15</v>
      </c>
      <c r="AD188" s="366">
        <v>-1198</v>
      </c>
      <c r="AE188" s="365">
        <f t="shared" si="86"/>
        <v>5355.7207</v>
      </c>
      <c r="AF188" s="365">
        <f t="shared" ref="AF188:AF197" si="116">SUM(AG188:AK188)</f>
        <v>2996.28</v>
      </c>
      <c r="AG188" s="365">
        <f t="shared" ref="AG188:AK188" si="117">G188+R188</f>
        <v>1307.13</v>
      </c>
      <c r="AH188" s="365">
        <f t="shared" si="117"/>
        <v>1559.86</v>
      </c>
      <c r="AI188" s="365">
        <f t="shared" si="117"/>
        <v>129.29</v>
      </c>
      <c r="AJ188" s="365">
        <f t="shared" si="117"/>
        <v>0</v>
      </c>
      <c r="AK188" s="365">
        <f t="shared" si="117"/>
        <v>0</v>
      </c>
      <c r="AL188" s="365">
        <f t="shared" ref="AL188:AL197" si="118">SUM(AM188:AS188)</f>
        <v>2359.4407</v>
      </c>
      <c r="AM188" s="365">
        <f t="shared" ref="AM188:AM197" si="119">M188+X188</f>
        <v>734.03</v>
      </c>
      <c r="AN188" s="365">
        <f t="shared" ref="AN188:AN197" si="120">Y188</f>
        <v>1001.95</v>
      </c>
      <c r="AO188" s="365">
        <f t="shared" ref="AO188:AO197" si="121">Z188</f>
        <v>95</v>
      </c>
      <c r="AP188" s="365">
        <f t="shared" ref="AP188:AP197" si="122">AA188</f>
        <v>300.3</v>
      </c>
      <c r="AQ188" s="365">
        <f t="shared" ref="AQ188:AQ197" si="123">AB188</f>
        <v>214.5407</v>
      </c>
      <c r="AR188" s="365">
        <f t="shared" ref="AR188:AR197" si="124">N188+AC188</f>
        <v>13.62</v>
      </c>
      <c r="AS188" s="365">
        <f t="shared" ref="AS188:AS197" si="125">O188+AD188</f>
        <v>0</v>
      </c>
      <c r="AT188" s="363" t="s">
        <v>785</v>
      </c>
      <c r="AU188">
        <v>214.5407</v>
      </c>
    </row>
    <row r="189" ht="24" spans="1:47">
      <c r="A189" s="284" t="s">
        <v>195</v>
      </c>
      <c r="B189" s="284" t="s">
        <v>196</v>
      </c>
      <c r="C189" s="284" t="s">
        <v>423</v>
      </c>
      <c r="D189" s="284" t="s">
        <v>422</v>
      </c>
      <c r="E189" s="365">
        <f>F189+L189</f>
        <v>683.3</v>
      </c>
      <c r="F189" s="365">
        <f>SUM(G189:K189)</f>
        <v>252.45</v>
      </c>
      <c r="G189" s="365">
        <v>104.73</v>
      </c>
      <c r="H189" s="365">
        <v>131.69</v>
      </c>
      <c r="I189" s="365">
        <v>11.47</v>
      </c>
      <c r="J189" s="365">
        <v>0.96</v>
      </c>
      <c r="K189" s="365">
        <v>3.6</v>
      </c>
      <c r="L189" s="365">
        <f>SUM(M189:O189)</f>
        <v>430.85</v>
      </c>
      <c r="M189" s="365">
        <v>330.85</v>
      </c>
      <c r="N189" s="365"/>
      <c r="O189" s="366">
        <v>100</v>
      </c>
      <c r="P189" s="365">
        <f t="shared" si="84"/>
        <v>20.5772</v>
      </c>
      <c r="Q189" s="365">
        <f t="shared" si="114"/>
        <v>15.18</v>
      </c>
      <c r="R189" s="365">
        <v>11.73</v>
      </c>
      <c r="S189" s="365">
        <v>1.71</v>
      </c>
      <c r="T189" s="365">
        <v>0.77</v>
      </c>
      <c r="U189" s="365"/>
      <c r="V189" s="365">
        <v>0.97</v>
      </c>
      <c r="W189" s="365">
        <f t="shared" si="115"/>
        <v>5.3972</v>
      </c>
      <c r="X189" s="365">
        <v>3.86</v>
      </c>
      <c r="Y189" s="365">
        <v>74.3</v>
      </c>
      <c r="Z189" s="365">
        <v>12</v>
      </c>
      <c r="AA189" s="365"/>
      <c r="AB189" s="365">
        <v>15.2372</v>
      </c>
      <c r="AC189" s="365"/>
      <c r="AD189" s="366">
        <v>-100</v>
      </c>
      <c r="AE189" s="365">
        <f t="shared" si="86"/>
        <v>703.8772</v>
      </c>
      <c r="AF189" s="365">
        <f t="shared" si="116"/>
        <v>267.63</v>
      </c>
      <c r="AG189" s="365">
        <f t="shared" ref="AG189:AG197" si="126">G189+R189</f>
        <v>116.46</v>
      </c>
      <c r="AH189" s="365">
        <f t="shared" ref="AH189:AH197" si="127">H189+S189</f>
        <v>133.4</v>
      </c>
      <c r="AI189" s="365">
        <f t="shared" ref="AI189:AI197" si="128">I189+T189</f>
        <v>12.24</v>
      </c>
      <c r="AJ189" s="365">
        <f t="shared" ref="AJ189:AJ197" si="129">J189+U189</f>
        <v>0.96</v>
      </c>
      <c r="AK189" s="365">
        <f t="shared" ref="AK189:AK197" si="130">K189+V189</f>
        <v>4.57</v>
      </c>
      <c r="AL189" s="365">
        <f t="shared" si="118"/>
        <v>436.2472</v>
      </c>
      <c r="AM189" s="365">
        <f t="shared" si="119"/>
        <v>334.71</v>
      </c>
      <c r="AN189" s="365">
        <f t="shared" si="120"/>
        <v>74.3</v>
      </c>
      <c r="AO189" s="365">
        <f t="shared" si="121"/>
        <v>12</v>
      </c>
      <c r="AP189" s="365">
        <f t="shared" si="122"/>
        <v>0</v>
      </c>
      <c r="AQ189" s="365">
        <f t="shared" si="123"/>
        <v>15.2372</v>
      </c>
      <c r="AR189" s="365">
        <f t="shared" si="124"/>
        <v>0</v>
      </c>
      <c r="AS189" s="365">
        <f t="shared" si="125"/>
        <v>0</v>
      </c>
      <c r="AT189" s="351"/>
      <c r="AU189">
        <v>15.2372</v>
      </c>
    </row>
    <row r="190" ht="24" spans="1:47">
      <c r="A190" s="284" t="s">
        <v>195</v>
      </c>
      <c r="B190" s="284" t="s">
        <v>196</v>
      </c>
      <c r="C190" s="284" t="s">
        <v>424</v>
      </c>
      <c r="D190" s="284" t="s">
        <v>422</v>
      </c>
      <c r="E190" s="365">
        <f>F190+L190</f>
        <v>129.81</v>
      </c>
      <c r="F190" s="365">
        <f>SUM(G190:K190)</f>
        <v>0</v>
      </c>
      <c r="G190" s="365"/>
      <c r="H190" s="365"/>
      <c r="I190" s="365"/>
      <c r="J190" s="365"/>
      <c r="K190" s="365"/>
      <c r="L190" s="365">
        <f>SUM(M190:O190)</f>
        <v>129.81</v>
      </c>
      <c r="M190" s="365">
        <v>57.81</v>
      </c>
      <c r="N190" s="365"/>
      <c r="O190" s="366">
        <v>72</v>
      </c>
      <c r="P190" s="365">
        <f t="shared" si="84"/>
        <v>-72</v>
      </c>
      <c r="Q190" s="365">
        <f t="shared" si="114"/>
        <v>0</v>
      </c>
      <c r="R190" s="365"/>
      <c r="S190" s="365"/>
      <c r="T190" s="365"/>
      <c r="U190" s="365"/>
      <c r="V190" s="365"/>
      <c r="W190" s="365">
        <f t="shared" si="115"/>
        <v>-72</v>
      </c>
      <c r="X190" s="365"/>
      <c r="Y190" s="365"/>
      <c r="Z190" s="365"/>
      <c r="AA190" s="365"/>
      <c r="AB190" s="365"/>
      <c r="AC190" s="365"/>
      <c r="AD190" s="366">
        <v>-72</v>
      </c>
      <c r="AE190" s="365">
        <f t="shared" si="86"/>
        <v>57.81</v>
      </c>
      <c r="AF190" s="365">
        <f t="shared" si="116"/>
        <v>0</v>
      </c>
      <c r="AG190" s="365">
        <f t="shared" si="126"/>
        <v>0</v>
      </c>
      <c r="AH190" s="365">
        <f t="shared" si="127"/>
        <v>0</v>
      </c>
      <c r="AI190" s="365">
        <f t="shared" si="128"/>
        <v>0</v>
      </c>
      <c r="AJ190" s="365">
        <f t="shared" si="129"/>
        <v>0</v>
      </c>
      <c r="AK190" s="365">
        <f t="shared" si="130"/>
        <v>0</v>
      </c>
      <c r="AL190" s="365">
        <f t="shared" si="118"/>
        <v>57.81</v>
      </c>
      <c r="AM190" s="365">
        <f t="shared" si="119"/>
        <v>57.81</v>
      </c>
      <c r="AN190" s="365">
        <f t="shared" si="120"/>
        <v>0</v>
      </c>
      <c r="AO190" s="365">
        <f t="shared" si="121"/>
        <v>0</v>
      </c>
      <c r="AP190" s="365">
        <f t="shared" si="122"/>
        <v>0</v>
      </c>
      <c r="AQ190" s="365">
        <f t="shared" si="123"/>
        <v>0</v>
      </c>
      <c r="AR190" s="365">
        <f t="shared" si="124"/>
        <v>0</v>
      </c>
      <c r="AS190" s="365">
        <f t="shared" si="125"/>
        <v>0</v>
      </c>
      <c r="AT190" s="363"/>
      <c r="AU190">
        <v>0</v>
      </c>
    </row>
    <row r="191" ht="24" spans="1:47">
      <c r="A191" s="284" t="s">
        <v>195</v>
      </c>
      <c r="B191" s="284" t="s">
        <v>199</v>
      </c>
      <c r="C191" s="284" t="s">
        <v>425</v>
      </c>
      <c r="D191" s="284" t="s">
        <v>426</v>
      </c>
      <c r="E191" s="365">
        <f>F191+L191</f>
        <v>0</v>
      </c>
      <c r="F191" s="365">
        <f>SUM(G191:K191)</f>
        <v>0</v>
      </c>
      <c r="G191" s="365"/>
      <c r="H191" s="365"/>
      <c r="I191" s="365"/>
      <c r="J191" s="365"/>
      <c r="K191" s="365"/>
      <c r="L191" s="365">
        <f>SUM(M191:O191)</f>
        <v>0</v>
      </c>
      <c r="M191" s="365"/>
      <c r="N191" s="365"/>
      <c r="O191" s="365"/>
      <c r="P191" s="365">
        <f t="shared" si="84"/>
        <v>0</v>
      </c>
      <c r="Q191" s="365">
        <f t="shared" si="114"/>
        <v>0</v>
      </c>
      <c r="R191" s="365"/>
      <c r="S191" s="365"/>
      <c r="T191" s="365"/>
      <c r="U191" s="365"/>
      <c r="V191" s="365"/>
      <c r="W191" s="365">
        <f t="shared" si="115"/>
        <v>0</v>
      </c>
      <c r="X191" s="365"/>
      <c r="Y191" s="365"/>
      <c r="Z191" s="365"/>
      <c r="AA191" s="365"/>
      <c r="AB191" s="365"/>
      <c r="AC191" s="365"/>
      <c r="AD191" s="366">
        <v>0</v>
      </c>
      <c r="AE191" s="365">
        <f t="shared" si="86"/>
        <v>0</v>
      </c>
      <c r="AF191" s="365">
        <f t="shared" si="116"/>
        <v>0</v>
      </c>
      <c r="AG191" s="365">
        <f t="shared" si="126"/>
        <v>0</v>
      </c>
      <c r="AH191" s="365">
        <f t="shared" si="127"/>
        <v>0</v>
      </c>
      <c r="AI191" s="365">
        <f t="shared" si="128"/>
        <v>0</v>
      </c>
      <c r="AJ191" s="365">
        <f t="shared" si="129"/>
        <v>0</v>
      </c>
      <c r="AK191" s="365">
        <f t="shared" si="130"/>
        <v>0</v>
      </c>
      <c r="AL191" s="365">
        <f t="shared" si="118"/>
        <v>0</v>
      </c>
      <c r="AM191" s="365">
        <f t="shared" si="119"/>
        <v>0</v>
      </c>
      <c r="AN191" s="365">
        <f t="shared" si="120"/>
        <v>0</v>
      </c>
      <c r="AO191" s="365">
        <f t="shared" si="121"/>
        <v>0</v>
      </c>
      <c r="AP191" s="365">
        <f t="shared" si="122"/>
        <v>0</v>
      </c>
      <c r="AQ191" s="365">
        <f t="shared" si="123"/>
        <v>0</v>
      </c>
      <c r="AR191" s="365">
        <f t="shared" si="124"/>
        <v>0</v>
      </c>
      <c r="AS191" s="365">
        <f t="shared" si="125"/>
        <v>0</v>
      </c>
      <c r="AT191" s="363"/>
      <c r="AU191">
        <v>0</v>
      </c>
    </row>
    <row r="192" ht="24" spans="1:46">
      <c r="A192" s="284" t="s">
        <v>195</v>
      </c>
      <c r="B192" s="284" t="s">
        <v>199</v>
      </c>
      <c r="C192" s="284" t="s">
        <v>786</v>
      </c>
      <c r="D192" s="284" t="s">
        <v>426</v>
      </c>
      <c r="E192" s="365"/>
      <c r="F192" s="365"/>
      <c r="G192" s="365"/>
      <c r="H192" s="365"/>
      <c r="I192" s="365"/>
      <c r="J192" s="365"/>
      <c r="K192" s="365"/>
      <c r="L192" s="365"/>
      <c r="M192" s="365"/>
      <c r="N192" s="365"/>
      <c r="O192" s="365"/>
      <c r="P192" s="365">
        <f t="shared" si="84"/>
        <v>0</v>
      </c>
      <c r="Q192" s="365">
        <f t="shared" si="114"/>
        <v>0</v>
      </c>
      <c r="R192" s="365"/>
      <c r="S192" s="365"/>
      <c r="T192" s="365"/>
      <c r="U192" s="365"/>
      <c r="V192" s="365"/>
      <c r="W192" s="365">
        <f t="shared" si="115"/>
        <v>0</v>
      </c>
      <c r="X192" s="365"/>
      <c r="Y192" s="365"/>
      <c r="Z192" s="365"/>
      <c r="AA192" s="365"/>
      <c r="AB192" s="365"/>
      <c r="AC192" s="365"/>
      <c r="AD192" s="366"/>
      <c r="AE192" s="365">
        <f t="shared" si="86"/>
        <v>0</v>
      </c>
      <c r="AF192" s="365">
        <f t="shared" si="116"/>
        <v>0</v>
      </c>
      <c r="AG192" s="365">
        <f t="shared" si="126"/>
        <v>0</v>
      </c>
      <c r="AH192" s="365">
        <f t="shared" si="127"/>
        <v>0</v>
      </c>
      <c r="AI192" s="365">
        <f t="shared" si="128"/>
        <v>0</v>
      </c>
      <c r="AJ192" s="365">
        <f t="shared" si="129"/>
        <v>0</v>
      </c>
      <c r="AK192" s="365">
        <f t="shared" si="130"/>
        <v>0</v>
      </c>
      <c r="AL192" s="365">
        <f t="shared" si="118"/>
        <v>0</v>
      </c>
      <c r="AM192" s="365">
        <f t="shared" si="119"/>
        <v>0</v>
      </c>
      <c r="AN192" s="365">
        <f t="shared" si="120"/>
        <v>0</v>
      </c>
      <c r="AO192" s="365">
        <f t="shared" si="121"/>
        <v>0</v>
      </c>
      <c r="AP192" s="365">
        <f t="shared" si="122"/>
        <v>0</v>
      </c>
      <c r="AQ192" s="365">
        <f t="shared" si="123"/>
        <v>0</v>
      </c>
      <c r="AR192" s="365">
        <f t="shared" si="124"/>
        <v>0</v>
      </c>
      <c r="AS192" s="365">
        <f t="shared" si="125"/>
        <v>0</v>
      </c>
      <c r="AT192" s="363"/>
    </row>
    <row r="193" ht="24" spans="1:47">
      <c r="A193" s="284" t="s">
        <v>195</v>
      </c>
      <c r="B193" s="284" t="s">
        <v>196</v>
      </c>
      <c r="C193" s="284" t="s">
        <v>427</v>
      </c>
      <c r="D193" s="284" t="s">
        <v>428</v>
      </c>
      <c r="E193" s="365">
        <f>F193+L193</f>
        <v>737.56</v>
      </c>
      <c r="F193" s="365">
        <f>SUM(G193:K193)</f>
        <v>405.08</v>
      </c>
      <c r="G193" s="365">
        <v>182.17</v>
      </c>
      <c r="H193" s="365">
        <v>131.53</v>
      </c>
      <c r="I193" s="365">
        <v>15.18</v>
      </c>
      <c r="J193" s="365">
        <v>7.08</v>
      </c>
      <c r="K193" s="365">
        <v>69.12</v>
      </c>
      <c r="L193" s="365">
        <f>SUM(M193:O193)</f>
        <v>332.48</v>
      </c>
      <c r="M193" s="365">
        <f>62.4+16.41</f>
        <v>78.81</v>
      </c>
      <c r="N193" s="386">
        <v>5.67</v>
      </c>
      <c r="O193" s="366">
        <v>248</v>
      </c>
      <c r="P193" s="365">
        <f t="shared" si="84"/>
        <v>-37.5904</v>
      </c>
      <c r="Q193" s="365">
        <f t="shared" si="114"/>
        <v>-0.720000000000001</v>
      </c>
      <c r="R193" s="365">
        <v>-6.61</v>
      </c>
      <c r="S193" s="365">
        <v>10.11</v>
      </c>
      <c r="T193" s="365">
        <v>1.18</v>
      </c>
      <c r="U193" s="365">
        <v>-0.3</v>
      </c>
      <c r="V193" s="365">
        <v>-5.1</v>
      </c>
      <c r="W193" s="365">
        <f t="shared" si="115"/>
        <v>-36.8704</v>
      </c>
      <c r="X193" s="365"/>
      <c r="Y193" s="365">
        <v>126.74</v>
      </c>
      <c r="Z193" s="365">
        <v>48</v>
      </c>
      <c r="AA193" s="365"/>
      <c r="AB193" s="365">
        <v>35.1896</v>
      </c>
      <c r="AC193" s="386">
        <v>1.2</v>
      </c>
      <c r="AD193" s="366">
        <v>-248</v>
      </c>
      <c r="AE193" s="365">
        <f t="shared" si="86"/>
        <v>699.9696</v>
      </c>
      <c r="AF193" s="365">
        <f t="shared" si="116"/>
        <v>404.36</v>
      </c>
      <c r="AG193" s="365">
        <f t="shared" si="126"/>
        <v>175.56</v>
      </c>
      <c r="AH193" s="365">
        <f t="shared" si="127"/>
        <v>141.64</v>
      </c>
      <c r="AI193" s="365">
        <f t="shared" si="128"/>
        <v>16.36</v>
      </c>
      <c r="AJ193" s="365">
        <f t="shared" si="129"/>
        <v>6.78</v>
      </c>
      <c r="AK193" s="365">
        <f t="shared" si="130"/>
        <v>64.02</v>
      </c>
      <c r="AL193" s="365">
        <f t="shared" si="118"/>
        <v>295.6096</v>
      </c>
      <c r="AM193" s="365">
        <f t="shared" si="119"/>
        <v>78.81</v>
      </c>
      <c r="AN193" s="365">
        <f t="shared" si="120"/>
        <v>126.74</v>
      </c>
      <c r="AO193" s="365">
        <f t="shared" si="121"/>
        <v>48</v>
      </c>
      <c r="AP193" s="365">
        <f t="shared" si="122"/>
        <v>0</v>
      </c>
      <c r="AQ193" s="365">
        <f t="shared" si="123"/>
        <v>35.1896</v>
      </c>
      <c r="AR193" s="365">
        <f t="shared" si="124"/>
        <v>6.87</v>
      </c>
      <c r="AS193" s="365">
        <f t="shared" si="125"/>
        <v>0</v>
      </c>
      <c r="AT193" s="363" t="s">
        <v>787</v>
      </c>
      <c r="AU193">
        <v>35.1896</v>
      </c>
    </row>
    <row r="194" ht="24" spans="1:46">
      <c r="A194" s="284" t="s">
        <v>195</v>
      </c>
      <c r="B194" s="284" t="s">
        <v>366</v>
      </c>
      <c r="C194" s="284" t="s">
        <v>429</v>
      </c>
      <c r="D194" s="284" t="s">
        <v>430</v>
      </c>
      <c r="E194" s="365">
        <f>F194+L194</f>
        <v>0</v>
      </c>
      <c r="F194" s="365">
        <f>SUM(G194:K194)</f>
        <v>0</v>
      </c>
      <c r="G194" s="365"/>
      <c r="H194" s="365"/>
      <c r="I194" s="365"/>
      <c r="J194" s="365"/>
      <c r="K194" s="365"/>
      <c r="L194" s="365">
        <f>SUM(M194:O194)</f>
        <v>0</v>
      </c>
      <c r="M194" s="365"/>
      <c r="N194" s="365"/>
      <c r="O194" s="365"/>
      <c r="P194" s="365">
        <f t="shared" si="84"/>
        <v>0</v>
      </c>
      <c r="Q194" s="365">
        <f t="shared" si="114"/>
        <v>0</v>
      </c>
      <c r="R194" s="365"/>
      <c r="S194" s="365"/>
      <c r="T194" s="365"/>
      <c r="U194" s="365"/>
      <c r="V194" s="365"/>
      <c r="W194" s="365">
        <f t="shared" si="115"/>
        <v>0</v>
      </c>
      <c r="X194" s="365"/>
      <c r="Y194" s="365"/>
      <c r="Z194" s="365"/>
      <c r="AA194" s="365"/>
      <c r="AB194" s="365"/>
      <c r="AC194" s="365"/>
      <c r="AD194" s="366">
        <v>0</v>
      </c>
      <c r="AE194" s="365">
        <f t="shared" si="86"/>
        <v>0</v>
      </c>
      <c r="AF194" s="365">
        <f t="shared" si="116"/>
        <v>0</v>
      </c>
      <c r="AG194" s="365">
        <f t="shared" si="126"/>
        <v>0</v>
      </c>
      <c r="AH194" s="365">
        <f t="shared" si="127"/>
        <v>0</v>
      </c>
      <c r="AI194" s="365">
        <f t="shared" si="128"/>
        <v>0</v>
      </c>
      <c r="AJ194" s="365">
        <f t="shared" si="129"/>
        <v>0</v>
      </c>
      <c r="AK194" s="365">
        <f t="shared" si="130"/>
        <v>0</v>
      </c>
      <c r="AL194" s="365">
        <f t="shared" si="118"/>
        <v>0</v>
      </c>
      <c r="AM194" s="365">
        <f t="shared" si="119"/>
        <v>0</v>
      </c>
      <c r="AN194" s="365">
        <f t="shared" si="120"/>
        <v>0</v>
      </c>
      <c r="AO194" s="365">
        <f t="shared" si="121"/>
        <v>0</v>
      </c>
      <c r="AP194" s="365">
        <f t="shared" si="122"/>
        <v>0</v>
      </c>
      <c r="AQ194" s="365">
        <f t="shared" si="123"/>
        <v>0</v>
      </c>
      <c r="AR194" s="365">
        <f t="shared" si="124"/>
        <v>0</v>
      </c>
      <c r="AS194" s="365">
        <f t="shared" si="125"/>
        <v>0</v>
      </c>
      <c r="AT194" s="363"/>
    </row>
    <row r="195" ht="24" spans="1:47">
      <c r="A195" s="284" t="s">
        <v>195</v>
      </c>
      <c r="B195" s="284" t="s">
        <v>199</v>
      </c>
      <c r="C195" s="284" t="s">
        <v>431</v>
      </c>
      <c r="D195" s="284" t="s">
        <v>430</v>
      </c>
      <c r="E195" s="365">
        <f>F195+L195</f>
        <v>0</v>
      </c>
      <c r="F195" s="365">
        <f>SUM(G195:K195)</f>
        <v>0</v>
      </c>
      <c r="G195" s="365"/>
      <c r="H195" s="365"/>
      <c r="I195" s="365"/>
      <c r="J195" s="365"/>
      <c r="K195" s="365"/>
      <c r="L195" s="365">
        <f>SUM(M195:O195)</f>
        <v>0</v>
      </c>
      <c r="M195" s="365"/>
      <c r="N195" s="365"/>
      <c r="O195" s="365"/>
      <c r="P195" s="365">
        <f t="shared" si="84"/>
        <v>0</v>
      </c>
      <c r="Q195" s="365">
        <f t="shared" si="114"/>
        <v>0</v>
      </c>
      <c r="R195" s="365"/>
      <c r="S195" s="365"/>
      <c r="T195" s="365"/>
      <c r="U195" s="365"/>
      <c r="V195" s="365"/>
      <c r="W195" s="365">
        <f t="shared" si="115"/>
        <v>0</v>
      </c>
      <c r="X195" s="365"/>
      <c r="Y195" s="365"/>
      <c r="Z195" s="365"/>
      <c r="AA195" s="365"/>
      <c r="AB195" s="365"/>
      <c r="AC195" s="365"/>
      <c r="AD195" s="366">
        <v>0</v>
      </c>
      <c r="AE195" s="365">
        <f t="shared" si="86"/>
        <v>0</v>
      </c>
      <c r="AF195" s="365">
        <f t="shared" si="116"/>
        <v>0</v>
      </c>
      <c r="AG195" s="365">
        <f t="shared" si="126"/>
        <v>0</v>
      </c>
      <c r="AH195" s="365">
        <f t="shared" si="127"/>
        <v>0</v>
      </c>
      <c r="AI195" s="365">
        <f t="shared" si="128"/>
        <v>0</v>
      </c>
      <c r="AJ195" s="365">
        <f t="shared" si="129"/>
        <v>0</v>
      </c>
      <c r="AK195" s="365">
        <f t="shared" si="130"/>
        <v>0</v>
      </c>
      <c r="AL195" s="365">
        <f t="shared" si="118"/>
        <v>0</v>
      </c>
      <c r="AM195" s="365">
        <f t="shared" si="119"/>
        <v>0</v>
      </c>
      <c r="AN195" s="365">
        <f t="shared" si="120"/>
        <v>0</v>
      </c>
      <c r="AO195" s="365">
        <f t="shared" si="121"/>
        <v>0</v>
      </c>
      <c r="AP195" s="365">
        <f t="shared" si="122"/>
        <v>0</v>
      </c>
      <c r="AQ195" s="365">
        <f t="shared" si="123"/>
        <v>0</v>
      </c>
      <c r="AR195" s="365">
        <f t="shared" si="124"/>
        <v>0</v>
      </c>
      <c r="AS195" s="365">
        <f t="shared" si="125"/>
        <v>0</v>
      </c>
      <c r="AT195" s="363"/>
      <c r="AU195">
        <v>2</v>
      </c>
    </row>
    <row r="196" ht="24" spans="1:47">
      <c r="A196" s="284" t="s">
        <v>195</v>
      </c>
      <c r="B196" s="284" t="s">
        <v>199</v>
      </c>
      <c r="C196" s="284" t="s">
        <v>432</v>
      </c>
      <c r="D196" s="284" t="s">
        <v>430</v>
      </c>
      <c r="E196" s="365">
        <f>F196+L196</f>
        <v>0</v>
      </c>
      <c r="F196" s="365">
        <f>SUM(G196:K196)</f>
        <v>0</v>
      </c>
      <c r="G196" s="365"/>
      <c r="H196" s="365"/>
      <c r="I196" s="365"/>
      <c r="J196" s="365"/>
      <c r="K196" s="365"/>
      <c r="L196" s="365">
        <f>SUM(M196:O196)</f>
        <v>0</v>
      </c>
      <c r="M196" s="365"/>
      <c r="N196" s="365"/>
      <c r="O196" s="365"/>
      <c r="P196" s="365">
        <f t="shared" si="84"/>
        <v>0</v>
      </c>
      <c r="Q196" s="365">
        <f t="shared" si="114"/>
        <v>0</v>
      </c>
      <c r="R196" s="365"/>
      <c r="S196" s="365"/>
      <c r="T196" s="365"/>
      <c r="U196" s="365"/>
      <c r="V196" s="365"/>
      <c r="W196" s="365">
        <f t="shared" si="115"/>
        <v>0</v>
      </c>
      <c r="X196" s="365"/>
      <c r="Y196" s="365"/>
      <c r="Z196" s="365"/>
      <c r="AA196" s="365"/>
      <c r="AB196" s="365"/>
      <c r="AC196" s="365"/>
      <c r="AD196" s="366">
        <v>0</v>
      </c>
      <c r="AE196" s="365">
        <f t="shared" si="86"/>
        <v>0</v>
      </c>
      <c r="AF196" s="365">
        <f t="shared" si="116"/>
        <v>0</v>
      </c>
      <c r="AG196" s="365">
        <f t="shared" si="126"/>
        <v>0</v>
      </c>
      <c r="AH196" s="365">
        <f t="shared" si="127"/>
        <v>0</v>
      </c>
      <c r="AI196" s="365">
        <f t="shared" si="128"/>
        <v>0</v>
      </c>
      <c r="AJ196" s="365">
        <f t="shared" si="129"/>
        <v>0</v>
      </c>
      <c r="AK196" s="365">
        <f t="shared" si="130"/>
        <v>0</v>
      </c>
      <c r="AL196" s="365">
        <f t="shared" si="118"/>
        <v>0</v>
      </c>
      <c r="AM196" s="365">
        <f t="shared" si="119"/>
        <v>0</v>
      </c>
      <c r="AN196" s="365">
        <f t="shared" si="120"/>
        <v>0</v>
      </c>
      <c r="AO196" s="365">
        <f t="shared" si="121"/>
        <v>0</v>
      </c>
      <c r="AP196" s="365">
        <f t="shared" si="122"/>
        <v>0</v>
      </c>
      <c r="AQ196" s="365">
        <f t="shared" si="123"/>
        <v>0</v>
      </c>
      <c r="AR196" s="365">
        <f t="shared" si="124"/>
        <v>0</v>
      </c>
      <c r="AS196" s="365">
        <f t="shared" si="125"/>
        <v>0</v>
      </c>
      <c r="AT196" s="363"/>
      <c r="AU196">
        <v>1.0417</v>
      </c>
    </row>
    <row r="197" ht="36" spans="1:47">
      <c r="A197" s="284" t="s">
        <v>195</v>
      </c>
      <c r="B197" s="284" t="s">
        <v>196</v>
      </c>
      <c r="C197" s="284" t="s">
        <v>433</v>
      </c>
      <c r="D197" s="284" t="s">
        <v>434</v>
      </c>
      <c r="E197" s="365">
        <f>F197+L197</f>
        <v>74.09</v>
      </c>
      <c r="F197" s="365">
        <f>SUM(G197:K197)</f>
        <v>39.09</v>
      </c>
      <c r="G197" s="365">
        <v>22.54</v>
      </c>
      <c r="H197" s="365">
        <v>14.67</v>
      </c>
      <c r="I197" s="365">
        <v>1.88</v>
      </c>
      <c r="J197" s="365"/>
      <c r="K197" s="365"/>
      <c r="L197" s="365">
        <f>SUM(M197:O197)</f>
        <v>35</v>
      </c>
      <c r="M197" s="365"/>
      <c r="N197" s="365"/>
      <c r="O197" s="366">
        <v>35</v>
      </c>
      <c r="P197" s="365">
        <f t="shared" si="84"/>
        <v>-7.687</v>
      </c>
      <c r="Q197" s="365">
        <f t="shared" si="114"/>
        <v>2.54</v>
      </c>
      <c r="R197" s="365">
        <v>2.54</v>
      </c>
      <c r="S197" s="365"/>
      <c r="T197" s="365"/>
      <c r="U197" s="365"/>
      <c r="V197" s="365"/>
      <c r="W197" s="365">
        <f t="shared" si="115"/>
        <v>-10.227</v>
      </c>
      <c r="X197" s="365"/>
      <c r="Y197" s="365">
        <v>15.66</v>
      </c>
      <c r="Z197" s="365">
        <v>5</v>
      </c>
      <c r="AA197" s="365"/>
      <c r="AB197" s="365">
        <v>3.963</v>
      </c>
      <c r="AC197" s="365">
        <v>0.15</v>
      </c>
      <c r="AD197" s="366">
        <v>-35</v>
      </c>
      <c r="AE197" s="365">
        <f t="shared" si="86"/>
        <v>66.403</v>
      </c>
      <c r="AF197" s="365">
        <f t="shared" si="116"/>
        <v>41.63</v>
      </c>
      <c r="AG197" s="365">
        <f t="shared" si="126"/>
        <v>25.08</v>
      </c>
      <c r="AH197" s="365">
        <f t="shared" si="127"/>
        <v>14.67</v>
      </c>
      <c r="AI197" s="365">
        <f t="shared" si="128"/>
        <v>1.88</v>
      </c>
      <c r="AJ197" s="365">
        <f t="shared" si="129"/>
        <v>0</v>
      </c>
      <c r="AK197" s="365">
        <f t="shared" si="130"/>
        <v>0</v>
      </c>
      <c r="AL197" s="365">
        <f t="shared" si="118"/>
        <v>24.773</v>
      </c>
      <c r="AM197" s="365">
        <f t="shared" si="119"/>
        <v>0</v>
      </c>
      <c r="AN197" s="365">
        <f t="shared" si="120"/>
        <v>15.66</v>
      </c>
      <c r="AO197" s="365">
        <f t="shared" si="121"/>
        <v>5</v>
      </c>
      <c r="AP197" s="365">
        <f t="shared" si="122"/>
        <v>0</v>
      </c>
      <c r="AQ197" s="365">
        <f t="shared" si="123"/>
        <v>3.963</v>
      </c>
      <c r="AR197" s="365">
        <f t="shared" si="124"/>
        <v>0.15</v>
      </c>
      <c r="AS197" s="365">
        <f t="shared" si="125"/>
        <v>0</v>
      </c>
      <c r="AT197" s="363" t="s">
        <v>773</v>
      </c>
      <c r="AU197">
        <v>3.963</v>
      </c>
    </row>
    <row r="198" s="311" customFormat="1" ht="21" customHeight="1" spans="1:47">
      <c r="A198" s="329"/>
      <c r="B198" s="329" t="s">
        <v>746</v>
      </c>
      <c r="C198" s="329" t="s">
        <v>134</v>
      </c>
      <c r="D198" s="329">
        <v>205</v>
      </c>
      <c r="E198" s="364">
        <f t="shared" ref="E198:O198" si="131">SUM(E199:E258)</f>
        <v>235.72</v>
      </c>
      <c r="F198" s="364">
        <f t="shared" si="131"/>
        <v>131.72</v>
      </c>
      <c r="G198" s="364">
        <f t="shared" si="131"/>
        <v>74.63</v>
      </c>
      <c r="H198" s="364">
        <f t="shared" si="131"/>
        <v>49.8</v>
      </c>
      <c r="I198" s="364">
        <f t="shared" si="131"/>
        <v>6.22</v>
      </c>
      <c r="J198" s="364">
        <f t="shared" si="131"/>
        <v>0</v>
      </c>
      <c r="K198" s="364">
        <f t="shared" si="131"/>
        <v>1.07</v>
      </c>
      <c r="L198" s="364">
        <f t="shared" si="131"/>
        <v>104</v>
      </c>
      <c r="M198" s="364">
        <f t="shared" si="131"/>
        <v>0</v>
      </c>
      <c r="N198" s="364">
        <f t="shared" si="131"/>
        <v>0</v>
      </c>
      <c r="O198" s="364">
        <f t="shared" si="131"/>
        <v>104</v>
      </c>
      <c r="P198" s="364">
        <f t="shared" si="84"/>
        <v>105.9761</v>
      </c>
      <c r="Q198" s="364">
        <f t="shared" ref="Q198:AD198" si="132">SUM(Q199:Q258)</f>
        <v>-37.69</v>
      </c>
      <c r="R198" s="364">
        <f t="shared" si="132"/>
        <v>-40.18</v>
      </c>
      <c r="S198" s="364">
        <f t="shared" si="132"/>
        <v>2.39</v>
      </c>
      <c r="T198" s="364">
        <f t="shared" si="132"/>
        <v>0.1</v>
      </c>
      <c r="U198" s="364">
        <f t="shared" si="132"/>
        <v>0</v>
      </c>
      <c r="V198" s="364">
        <f t="shared" si="132"/>
        <v>0</v>
      </c>
      <c r="W198" s="364">
        <f t="shared" si="132"/>
        <v>143.6661</v>
      </c>
      <c r="X198" s="364">
        <f t="shared" si="132"/>
        <v>33</v>
      </c>
      <c r="Y198" s="364">
        <f t="shared" si="132"/>
        <v>33.39</v>
      </c>
      <c r="Z198" s="364">
        <f t="shared" si="132"/>
        <v>24</v>
      </c>
      <c r="AA198" s="364">
        <f t="shared" si="132"/>
        <v>0</v>
      </c>
      <c r="AB198" s="364">
        <f t="shared" si="132"/>
        <v>23.9361</v>
      </c>
      <c r="AC198" s="364">
        <f t="shared" si="132"/>
        <v>133.34</v>
      </c>
      <c r="AD198" s="364">
        <f t="shared" si="132"/>
        <v>-104</v>
      </c>
      <c r="AE198" s="364">
        <f t="shared" si="86"/>
        <v>341.6961</v>
      </c>
      <c r="AF198" s="364">
        <f t="shared" ref="AF198:AS198" si="133">SUM(AF199:AF258)</f>
        <v>94.03</v>
      </c>
      <c r="AG198" s="364">
        <f t="shared" si="133"/>
        <v>34.45</v>
      </c>
      <c r="AH198" s="364">
        <f t="shared" si="133"/>
        <v>52.19</v>
      </c>
      <c r="AI198" s="364">
        <f t="shared" si="133"/>
        <v>6.32</v>
      </c>
      <c r="AJ198" s="364">
        <f t="shared" si="133"/>
        <v>0</v>
      </c>
      <c r="AK198" s="364">
        <f t="shared" si="133"/>
        <v>1.07</v>
      </c>
      <c r="AL198" s="364">
        <f t="shared" si="133"/>
        <v>247.6661</v>
      </c>
      <c r="AM198" s="364">
        <f t="shared" si="133"/>
        <v>33</v>
      </c>
      <c r="AN198" s="364">
        <f t="shared" si="133"/>
        <v>33.39</v>
      </c>
      <c r="AO198" s="364">
        <f t="shared" si="133"/>
        <v>24</v>
      </c>
      <c r="AP198" s="364">
        <f t="shared" si="133"/>
        <v>0</v>
      </c>
      <c r="AQ198" s="364">
        <f t="shared" si="133"/>
        <v>23.9361</v>
      </c>
      <c r="AR198" s="364">
        <f t="shared" si="133"/>
        <v>133.34</v>
      </c>
      <c r="AS198" s="364">
        <f t="shared" si="133"/>
        <v>0</v>
      </c>
      <c r="AT198" s="372"/>
      <c r="AU198" s="373"/>
    </row>
    <row r="199" ht="48" spans="1:47">
      <c r="A199" s="284" t="s">
        <v>195</v>
      </c>
      <c r="B199" s="284" t="s">
        <v>196</v>
      </c>
      <c r="C199" s="284" t="s">
        <v>435</v>
      </c>
      <c r="D199" s="284" t="s">
        <v>436</v>
      </c>
      <c r="E199" s="365">
        <f t="shared" ref="E199:E258" si="134">F199+L199</f>
        <v>106.18</v>
      </c>
      <c r="F199" s="365">
        <f t="shared" ref="F199:F258" si="135">SUM(G199:K199)</f>
        <v>106.18</v>
      </c>
      <c r="G199" s="365">
        <v>59.93</v>
      </c>
      <c r="H199" s="365">
        <v>40.19</v>
      </c>
      <c r="I199" s="365">
        <v>4.99</v>
      </c>
      <c r="J199" s="365"/>
      <c r="K199" s="365">
        <v>1.07</v>
      </c>
      <c r="L199" s="365">
        <f t="shared" ref="L199:L258" si="136">SUM(M199:O199)</f>
        <v>0</v>
      </c>
      <c r="M199" s="365"/>
      <c r="N199" s="365"/>
      <c r="O199" s="365"/>
      <c r="P199" s="365">
        <f t="shared" si="84"/>
        <v>175.8645</v>
      </c>
      <c r="Q199" s="365">
        <f t="shared" ref="Q199:Q258" si="137">SUM(R199:V199)</f>
        <v>-41.46</v>
      </c>
      <c r="R199" s="365">
        <v>-41.46</v>
      </c>
      <c r="S199" s="365"/>
      <c r="T199" s="365"/>
      <c r="U199" s="365"/>
      <c r="V199" s="365"/>
      <c r="W199" s="365">
        <f t="shared" ref="W199:W258" si="138">SUM(X199:AD199)</f>
        <v>217.3245</v>
      </c>
      <c r="X199" s="365">
        <v>33</v>
      </c>
      <c r="Y199" s="365">
        <v>17.97</v>
      </c>
      <c r="Z199" s="365">
        <v>22</v>
      </c>
      <c r="AA199" s="365"/>
      <c r="AB199" s="365">
        <v>11.3145</v>
      </c>
      <c r="AC199" s="365">
        <v>133.04</v>
      </c>
      <c r="AD199" s="366">
        <v>0</v>
      </c>
      <c r="AE199" s="365">
        <f t="shared" ref="AE199:AE262" si="139">AF199+AL199</f>
        <v>282.0445</v>
      </c>
      <c r="AF199" s="365">
        <f t="shared" ref="AF199:AF258" si="140">SUM(AG199:AK199)</f>
        <v>64.72</v>
      </c>
      <c r="AG199" s="365">
        <f t="shared" ref="AG199:AG258" si="141">G199+R199</f>
        <v>18.47</v>
      </c>
      <c r="AH199" s="365">
        <f t="shared" ref="AH199:AH258" si="142">H199+S199</f>
        <v>40.19</v>
      </c>
      <c r="AI199" s="365">
        <f t="shared" ref="AI199:AI258" si="143">I199+T199</f>
        <v>4.99</v>
      </c>
      <c r="AJ199" s="365">
        <f t="shared" ref="AJ199:AJ258" si="144">J199+U199</f>
        <v>0</v>
      </c>
      <c r="AK199" s="365">
        <f t="shared" ref="AK199:AK258" si="145">K199+V199</f>
        <v>1.07</v>
      </c>
      <c r="AL199" s="365">
        <f t="shared" ref="AL199:AL258" si="146">SUM(AM199:AS199)</f>
        <v>217.3245</v>
      </c>
      <c r="AM199" s="365">
        <f t="shared" ref="AM199:AM258" si="147">M199+X199</f>
        <v>33</v>
      </c>
      <c r="AN199" s="365">
        <f t="shared" ref="AN199:AN258" si="148">Y199</f>
        <v>17.97</v>
      </c>
      <c r="AO199" s="365">
        <f t="shared" ref="AO199:AO258" si="149">Z199</f>
        <v>22</v>
      </c>
      <c r="AP199" s="365">
        <f t="shared" ref="AP199:AP258" si="150">AA199</f>
        <v>0</v>
      </c>
      <c r="AQ199" s="365">
        <f t="shared" ref="AQ199:AQ258" si="151">AB199</f>
        <v>11.3145</v>
      </c>
      <c r="AR199" s="365">
        <f t="shared" ref="AR199:AR258" si="152">N199+AC199</f>
        <v>133.04</v>
      </c>
      <c r="AS199" s="365">
        <f t="shared" ref="AS199:AS258" si="153">O199+AD199</f>
        <v>0</v>
      </c>
      <c r="AT199" s="363" t="s">
        <v>788</v>
      </c>
      <c r="AU199">
        <v>11.3145</v>
      </c>
    </row>
    <row r="200" ht="24" spans="1:47">
      <c r="A200" s="284" t="s">
        <v>195</v>
      </c>
      <c r="B200" s="284" t="s">
        <v>438</v>
      </c>
      <c r="C200" s="284" t="s">
        <v>439</v>
      </c>
      <c r="D200" s="284" t="s">
        <v>440</v>
      </c>
      <c r="E200" s="365">
        <f t="shared" si="134"/>
        <v>0</v>
      </c>
      <c r="F200" s="365">
        <f t="shared" si="135"/>
        <v>0</v>
      </c>
      <c r="G200" s="365"/>
      <c r="H200" s="365"/>
      <c r="I200" s="365"/>
      <c r="J200" s="365"/>
      <c r="K200" s="365"/>
      <c r="L200" s="365">
        <f t="shared" si="136"/>
        <v>0</v>
      </c>
      <c r="M200" s="365"/>
      <c r="N200" s="365"/>
      <c r="O200" s="365"/>
      <c r="P200" s="365">
        <f t="shared" ref="P200:P263" si="154">Q200+W200</f>
        <v>0</v>
      </c>
      <c r="Q200" s="365">
        <f t="shared" si="137"/>
        <v>0</v>
      </c>
      <c r="R200" s="365"/>
      <c r="S200" s="365"/>
      <c r="T200" s="365"/>
      <c r="U200" s="365"/>
      <c r="V200" s="365"/>
      <c r="W200" s="365">
        <f t="shared" si="138"/>
        <v>0</v>
      </c>
      <c r="X200" s="365"/>
      <c r="Y200" s="365"/>
      <c r="Z200" s="365"/>
      <c r="AA200" s="365"/>
      <c r="AB200" s="365"/>
      <c r="AC200" s="365"/>
      <c r="AD200" s="366">
        <v>0</v>
      </c>
      <c r="AE200" s="365">
        <f t="shared" si="139"/>
        <v>0</v>
      </c>
      <c r="AF200" s="365">
        <f t="shared" si="140"/>
        <v>0</v>
      </c>
      <c r="AG200" s="365">
        <f t="shared" si="141"/>
        <v>0</v>
      </c>
      <c r="AH200" s="365">
        <f t="shared" si="142"/>
        <v>0</v>
      </c>
      <c r="AI200" s="365">
        <f t="shared" si="143"/>
        <v>0</v>
      </c>
      <c r="AJ200" s="365">
        <f t="shared" si="144"/>
        <v>0</v>
      </c>
      <c r="AK200" s="365">
        <f t="shared" si="145"/>
        <v>0</v>
      </c>
      <c r="AL200" s="365">
        <f t="shared" si="146"/>
        <v>0</v>
      </c>
      <c r="AM200" s="365">
        <f t="shared" si="147"/>
        <v>0</v>
      </c>
      <c r="AN200" s="365">
        <f t="shared" si="148"/>
        <v>0</v>
      </c>
      <c r="AO200" s="365">
        <f t="shared" si="149"/>
        <v>0</v>
      </c>
      <c r="AP200" s="365">
        <f t="shared" si="150"/>
        <v>0</v>
      </c>
      <c r="AQ200" s="365">
        <f t="shared" si="151"/>
        <v>0</v>
      </c>
      <c r="AR200" s="365">
        <f t="shared" si="152"/>
        <v>0</v>
      </c>
      <c r="AS200" s="365">
        <f t="shared" si="153"/>
        <v>0</v>
      </c>
      <c r="AT200" s="363"/>
      <c r="AU200">
        <v>142.5583</v>
      </c>
    </row>
    <row r="201" ht="24" spans="1:47">
      <c r="A201" s="284" t="s">
        <v>195</v>
      </c>
      <c r="B201" s="284" t="s">
        <v>438</v>
      </c>
      <c r="C201" s="284" t="s">
        <v>441</v>
      </c>
      <c r="D201" s="284" t="s">
        <v>440</v>
      </c>
      <c r="E201" s="365">
        <f t="shared" si="134"/>
        <v>0</v>
      </c>
      <c r="F201" s="365">
        <f t="shared" si="135"/>
        <v>0</v>
      </c>
      <c r="G201" s="365"/>
      <c r="H201" s="365"/>
      <c r="I201" s="365"/>
      <c r="J201" s="365"/>
      <c r="K201" s="365"/>
      <c r="L201" s="365">
        <f t="shared" si="136"/>
        <v>0</v>
      </c>
      <c r="M201" s="365"/>
      <c r="N201" s="365"/>
      <c r="O201" s="365"/>
      <c r="P201" s="365">
        <f t="shared" si="154"/>
        <v>0</v>
      </c>
      <c r="Q201" s="365">
        <f t="shared" si="137"/>
        <v>0</v>
      </c>
      <c r="R201" s="365"/>
      <c r="S201" s="365"/>
      <c r="T201" s="365"/>
      <c r="U201" s="365"/>
      <c r="V201" s="365"/>
      <c r="W201" s="365">
        <f t="shared" si="138"/>
        <v>0</v>
      </c>
      <c r="X201" s="365"/>
      <c r="Y201" s="365"/>
      <c r="Z201" s="365"/>
      <c r="AA201" s="365"/>
      <c r="AB201" s="365"/>
      <c r="AC201" s="365"/>
      <c r="AD201" s="366">
        <v>0</v>
      </c>
      <c r="AE201" s="365">
        <f t="shared" si="139"/>
        <v>0</v>
      </c>
      <c r="AF201" s="365">
        <f t="shared" si="140"/>
        <v>0</v>
      </c>
      <c r="AG201" s="365">
        <f t="shared" si="141"/>
        <v>0</v>
      </c>
      <c r="AH201" s="365">
        <f t="shared" si="142"/>
        <v>0</v>
      </c>
      <c r="AI201" s="365">
        <f t="shared" si="143"/>
        <v>0</v>
      </c>
      <c r="AJ201" s="365">
        <f t="shared" si="144"/>
        <v>0</v>
      </c>
      <c r="AK201" s="365">
        <f t="shared" si="145"/>
        <v>0</v>
      </c>
      <c r="AL201" s="365">
        <f t="shared" si="146"/>
        <v>0</v>
      </c>
      <c r="AM201" s="365">
        <f t="shared" si="147"/>
        <v>0</v>
      </c>
      <c r="AN201" s="365">
        <f t="shared" si="148"/>
        <v>0</v>
      </c>
      <c r="AO201" s="365">
        <f t="shared" si="149"/>
        <v>0</v>
      </c>
      <c r="AP201" s="365">
        <f t="shared" si="150"/>
        <v>0</v>
      </c>
      <c r="AQ201" s="365">
        <f t="shared" si="151"/>
        <v>0</v>
      </c>
      <c r="AR201" s="365">
        <f t="shared" si="152"/>
        <v>0</v>
      </c>
      <c r="AS201" s="365">
        <f t="shared" si="153"/>
        <v>0</v>
      </c>
      <c r="AT201" s="363"/>
      <c r="AU201">
        <v>99.81</v>
      </c>
    </row>
    <row r="202" ht="24" spans="1:47">
      <c r="A202" s="284" t="s">
        <v>195</v>
      </c>
      <c r="B202" s="284" t="s">
        <v>442</v>
      </c>
      <c r="C202" s="284" t="s">
        <v>443</v>
      </c>
      <c r="D202" s="284" t="s">
        <v>444</v>
      </c>
      <c r="E202" s="365">
        <f t="shared" si="134"/>
        <v>0</v>
      </c>
      <c r="F202" s="365">
        <f t="shared" si="135"/>
        <v>0</v>
      </c>
      <c r="G202" s="365"/>
      <c r="H202" s="365"/>
      <c r="I202" s="365"/>
      <c r="J202" s="365"/>
      <c r="K202" s="365"/>
      <c r="L202" s="365">
        <f t="shared" si="136"/>
        <v>0</v>
      </c>
      <c r="M202" s="365"/>
      <c r="N202" s="365"/>
      <c r="O202" s="365"/>
      <c r="P202" s="365">
        <f t="shared" si="154"/>
        <v>0</v>
      </c>
      <c r="Q202" s="365">
        <f t="shared" si="137"/>
        <v>0</v>
      </c>
      <c r="R202" s="365"/>
      <c r="S202" s="365"/>
      <c r="T202" s="365"/>
      <c r="U202" s="365"/>
      <c r="V202" s="365"/>
      <c r="W202" s="365">
        <f t="shared" si="138"/>
        <v>0</v>
      </c>
      <c r="X202" s="365"/>
      <c r="Y202" s="365"/>
      <c r="Z202" s="365"/>
      <c r="AA202" s="365"/>
      <c r="AB202" s="365"/>
      <c r="AC202" s="365"/>
      <c r="AD202" s="366">
        <v>0</v>
      </c>
      <c r="AE202" s="365">
        <f t="shared" si="139"/>
        <v>0</v>
      </c>
      <c r="AF202" s="365">
        <f t="shared" si="140"/>
        <v>0</v>
      </c>
      <c r="AG202" s="365">
        <f t="shared" si="141"/>
        <v>0</v>
      </c>
      <c r="AH202" s="365">
        <f t="shared" si="142"/>
        <v>0</v>
      </c>
      <c r="AI202" s="365">
        <f t="shared" si="143"/>
        <v>0</v>
      </c>
      <c r="AJ202" s="365">
        <f t="shared" si="144"/>
        <v>0</v>
      </c>
      <c r="AK202" s="365">
        <f t="shared" si="145"/>
        <v>0</v>
      </c>
      <c r="AL202" s="365">
        <f t="shared" si="146"/>
        <v>0</v>
      </c>
      <c r="AM202" s="365">
        <f t="shared" si="147"/>
        <v>0</v>
      </c>
      <c r="AN202" s="365">
        <f t="shared" si="148"/>
        <v>0</v>
      </c>
      <c r="AO202" s="365">
        <f t="shared" si="149"/>
        <v>0</v>
      </c>
      <c r="AP202" s="365">
        <f t="shared" si="150"/>
        <v>0</v>
      </c>
      <c r="AQ202" s="365">
        <f t="shared" si="151"/>
        <v>0</v>
      </c>
      <c r="AR202" s="365">
        <f t="shared" si="152"/>
        <v>0</v>
      </c>
      <c r="AS202" s="365">
        <f t="shared" si="153"/>
        <v>0</v>
      </c>
      <c r="AT202" s="363"/>
      <c r="AU202">
        <v>103.3433</v>
      </c>
    </row>
    <row r="203" ht="24" spans="1:47">
      <c r="A203" s="284" t="s">
        <v>195</v>
      </c>
      <c r="B203" s="284" t="s">
        <v>442</v>
      </c>
      <c r="C203" s="284" t="s">
        <v>445</v>
      </c>
      <c r="D203" s="284" t="s">
        <v>444</v>
      </c>
      <c r="E203" s="365">
        <f t="shared" si="134"/>
        <v>0</v>
      </c>
      <c r="F203" s="365">
        <f t="shared" si="135"/>
        <v>0</v>
      </c>
      <c r="G203" s="365"/>
      <c r="H203" s="365"/>
      <c r="I203" s="365"/>
      <c r="J203" s="365"/>
      <c r="K203" s="365"/>
      <c r="L203" s="365">
        <f t="shared" si="136"/>
        <v>0</v>
      </c>
      <c r="M203" s="365"/>
      <c r="N203" s="365"/>
      <c r="O203" s="365"/>
      <c r="P203" s="365">
        <f t="shared" si="154"/>
        <v>0</v>
      </c>
      <c r="Q203" s="365">
        <f t="shared" si="137"/>
        <v>0</v>
      </c>
      <c r="R203" s="365"/>
      <c r="S203" s="365"/>
      <c r="T203" s="365"/>
      <c r="U203" s="365"/>
      <c r="V203" s="365"/>
      <c r="W203" s="365">
        <f t="shared" si="138"/>
        <v>0</v>
      </c>
      <c r="X203" s="365"/>
      <c r="Y203" s="365"/>
      <c r="Z203" s="365"/>
      <c r="AA203" s="365"/>
      <c r="AB203" s="365"/>
      <c r="AC203" s="365"/>
      <c r="AD203" s="366">
        <v>0</v>
      </c>
      <c r="AE203" s="365">
        <f t="shared" si="139"/>
        <v>0</v>
      </c>
      <c r="AF203" s="365">
        <f t="shared" si="140"/>
        <v>0</v>
      </c>
      <c r="AG203" s="365">
        <f t="shared" si="141"/>
        <v>0</v>
      </c>
      <c r="AH203" s="365">
        <f t="shared" si="142"/>
        <v>0</v>
      </c>
      <c r="AI203" s="365">
        <f t="shared" si="143"/>
        <v>0</v>
      </c>
      <c r="AJ203" s="365">
        <f t="shared" si="144"/>
        <v>0</v>
      </c>
      <c r="AK203" s="365">
        <f t="shared" si="145"/>
        <v>0</v>
      </c>
      <c r="AL203" s="365">
        <f t="shared" si="146"/>
        <v>0</v>
      </c>
      <c r="AM203" s="365">
        <f t="shared" si="147"/>
        <v>0</v>
      </c>
      <c r="AN203" s="365">
        <f t="shared" si="148"/>
        <v>0</v>
      </c>
      <c r="AO203" s="365">
        <f t="shared" si="149"/>
        <v>0</v>
      </c>
      <c r="AP203" s="365">
        <f t="shared" si="150"/>
        <v>0</v>
      </c>
      <c r="AQ203" s="365">
        <f t="shared" si="151"/>
        <v>0</v>
      </c>
      <c r="AR203" s="365">
        <f t="shared" si="152"/>
        <v>0</v>
      </c>
      <c r="AS203" s="365">
        <f t="shared" si="153"/>
        <v>0</v>
      </c>
      <c r="AT203" s="363"/>
      <c r="AU203">
        <v>55.2766</v>
      </c>
    </row>
    <row r="204" ht="24" spans="1:47">
      <c r="A204" s="284" t="s">
        <v>195</v>
      </c>
      <c r="B204" s="284" t="s">
        <v>199</v>
      </c>
      <c r="C204" s="284" t="s">
        <v>446</v>
      </c>
      <c r="D204" s="284" t="s">
        <v>447</v>
      </c>
      <c r="E204" s="365">
        <f t="shared" si="134"/>
        <v>0</v>
      </c>
      <c r="F204" s="365">
        <f t="shared" si="135"/>
        <v>0</v>
      </c>
      <c r="G204" s="365"/>
      <c r="H204" s="365"/>
      <c r="I204" s="365"/>
      <c r="J204" s="365"/>
      <c r="K204" s="365"/>
      <c r="L204" s="365">
        <f t="shared" si="136"/>
        <v>0</v>
      </c>
      <c r="M204" s="365"/>
      <c r="N204" s="365"/>
      <c r="O204" s="365"/>
      <c r="P204" s="365">
        <f t="shared" si="154"/>
        <v>0</v>
      </c>
      <c r="Q204" s="365">
        <f t="shared" si="137"/>
        <v>0</v>
      </c>
      <c r="R204" s="365"/>
      <c r="S204" s="365"/>
      <c r="T204" s="365"/>
      <c r="U204" s="365"/>
      <c r="V204" s="365"/>
      <c r="W204" s="365">
        <f t="shared" si="138"/>
        <v>0</v>
      </c>
      <c r="X204" s="365"/>
      <c r="Y204" s="365"/>
      <c r="Z204" s="365"/>
      <c r="AA204" s="365"/>
      <c r="AB204" s="365"/>
      <c r="AC204" s="365"/>
      <c r="AD204" s="366">
        <v>0</v>
      </c>
      <c r="AE204" s="365">
        <f t="shared" si="139"/>
        <v>0</v>
      </c>
      <c r="AF204" s="365">
        <f t="shared" si="140"/>
        <v>0</v>
      </c>
      <c r="AG204" s="365">
        <f t="shared" si="141"/>
        <v>0</v>
      </c>
      <c r="AH204" s="365">
        <f t="shared" si="142"/>
        <v>0</v>
      </c>
      <c r="AI204" s="365">
        <f t="shared" si="143"/>
        <v>0</v>
      </c>
      <c r="AJ204" s="365">
        <f t="shared" si="144"/>
        <v>0</v>
      </c>
      <c r="AK204" s="365">
        <f t="shared" si="145"/>
        <v>0</v>
      </c>
      <c r="AL204" s="365">
        <f t="shared" si="146"/>
        <v>0</v>
      </c>
      <c r="AM204" s="365">
        <f t="shared" si="147"/>
        <v>0</v>
      </c>
      <c r="AN204" s="365">
        <f t="shared" si="148"/>
        <v>0</v>
      </c>
      <c r="AO204" s="365">
        <f t="shared" si="149"/>
        <v>0</v>
      </c>
      <c r="AP204" s="365">
        <f t="shared" si="150"/>
        <v>0</v>
      </c>
      <c r="AQ204" s="365">
        <f t="shared" si="151"/>
        <v>0</v>
      </c>
      <c r="AR204" s="365">
        <f t="shared" si="152"/>
        <v>0</v>
      </c>
      <c r="AS204" s="365">
        <f t="shared" si="153"/>
        <v>0</v>
      </c>
      <c r="AT204" s="363"/>
      <c r="AU204">
        <v>31.63</v>
      </c>
    </row>
    <row r="205" ht="36" spans="1:47">
      <c r="A205" s="284" t="s">
        <v>195</v>
      </c>
      <c r="B205" s="284" t="s">
        <v>438</v>
      </c>
      <c r="C205" s="284" t="s">
        <v>448</v>
      </c>
      <c r="D205" s="284" t="s">
        <v>449</v>
      </c>
      <c r="E205" s="365">
        <f t="shared" si="134"/>
        <v>0</v>
      </c>
      <c r="F205" s="365">
        <f t="shared" si="135"/>
        <v>0</v>
      </c>
      <c r="G205" s="365"/>
      <c r="H205" s="365"/>
      <c r="I205" s="365"/>
      <c r="J205" s="365"/>
      <c r="K205" s="365"/>
      <c r="L205" s="365">
        <f t="shared" si="136"/>
        <v>0</v>
      </c>
      <c r="M205" s="365"/>
      <c r="N205" s="365"/>
      <c r="O205" s="365"/>
      <c r="P205" s="365">
        <f t="shared" si="154"/>
        <v>0</v>
      </c>
      <c r="Q205" s="365">
        <f t="shared" si="137"/>
        <v>0</v>
      </c>
      <c r="R205" s="365"/>
      <c r="S205" s="365"/>
      <c r="T205" s="365"/>
      <c r="U205" s="365"/>
      <c r="V205" s="365"/>
      <c r="W205" s="365">
        <f t="shared" si="138"/>
        <v>0</v>
      </c>
      <c r="X205" s="365"/>
      <c r="Y205" s="365"/>
      <c r="Z205" s="365"/>
      <c r="AA205" s="365"/>
      <c r="AB205" s="365"/>
      <c r="AC205" s="365"/>
      <c r="AD205" s="366">
        <v>0</v>
      </c>
      <c r="AE205" s="365">
        <f t="shared" si="139"/>
        <v>0</v>
      </c>
      <c r="AF205" s="365">
        <f t="shared" si="140"/>
        <v>0</v>
      </c>
      <c r="AG205" s="365">
        <f t="shared" si="141"/>
        <v>0</v>
      </c>
      <c r="AH205" s="365">
        <f t="shared" si="142"/>
        <v>0</v>
      </c>
      <c r="AI205" s="365">
        <f t="shared" si="143"/>
        <v>0</v>
      </c>
      <c r="AJ205" s="365">
        <f t="shared" si="144"/>
        <v>0</v>
      </c>
      <c r="AK205" s="365">
        <f t="shared" si="145"/>
        <v>0</v>
      </c>
      <c r="AL205" s="365">
        <f t="shared" si="146"/>
        <v>0</v>
      </c>
      <c r="AM205" s="365">
        <f t="shared" si="147"/>
        <v>0</v>
      </c>
      <c r="AN205" s="365">
        <f t="shared" si="148"/>
        <v>0</v>
      </c>
      <c r="AO205" s="365">
        <f t="shared" si="149"/>
        <v>0</v>
      </c>
      <c r="AP205" s="365">
        <f t="shared" si="150"/>
        <v>0</v>
      </c>
      <c r="AQ205" s="365">
        <f t="shared" si="151"/>
        <v>0</v>
      </c>
      <c r="AR205" s="365">
        <f t="shared" si="152"/>
        <v>0</v>
      </c>
      <c r="AS205" s="365">
        <f t="shared" si="153"/>
        <v>0</v>
      </c>
      <c r="AT205" s="363"/>
      <c r="AU205">
        <v>14.18</v>
      </c>
    </row>
    <row r="206" ht="24" spans="1:47">
      <c r="A206" s="284" t="s">
        <v>195</v>
      </c>
      <c r="B206" s="284" t="s">
        <v>442</v>
      </c>
      <c r="C206" s="284" t="s">
        <v>450</v>
      </c>
      <c r="D206" s="284" t="s">
        <v>444</v>
      </c>
      <c r="E206" s="365">
        <f t="shared" si="134"/>
        <v>0</v>
      </c>
      <c r="F206" s="365">
        <f t="shared" si="135"/>
        <v>0</v>
      </c>
      <c r="G206" s="365"/>
      <c r="H206" s="365"/>
      <c r="I206" s="365"/>
      <c r="J206" s="365"/>
      <c r="K206" s="365"/>
      <c r="L206" s="365">
        <f t="shared" si="136"/>
        <v>0</v>
      </c>
      <c r="M206" s="365"/>
      <c r="N206" s="365"/>
      <c r="O206" s="365"/>
      <c r="P206" s="365">
        <f t="shared" si="154"/>
        <v>0</v>
      </c>
      <c r="Q206" s="365">
        <f t="shared" si="137"/>
        <v>0</v>
      </c>
      <c r="R206" s="365"/>
      <c r="S206" s="365"/>
      <c r="T206" s="365"/>
      <c r="U206" s="365"/>
      <c r="V206" s="365"/>
      <c r="W206" s="365">
        <f t="shared" si="138"/>
        <v>0</v>
      </c>
      <c r="X206" s="365"/>
      <c r="Y206" s="365"/>
      <c r="Z206" s="365"/>
      <c r="AA206" s="365"/>
      <c r="AB206" s="365"/>
      <c r="AC206" s="365"/>
      <c r="AD206" s="366">
        <v>0</v>
      </c>
      <c r="AE206" s="365">
        <f t="shared" si="139"/>
        <v>0</v>
      </c>
      <c r="AF206" s="365">
        <f t="shared" si="140"/>
        <v>0</v>
      </c>
      <c r="AG206" s="365">
        <f t="shared" si="141"/>
        <v>0</v>
      </c>
      <c r="AH206" s="365">
        <f t="shared" si="142"/>
        <v>0</v>
      </c>
      <c r="AI206" s="365">
        <f t="shared" si="143"/>
        <v>0</v>
      </c>
      <c r="AJ206" s="365">
        <f t="shared" si="144"/>
        <v>0</v>
      </c>
      <c r="AK206" s="365">
        <f t="shared" si="145"/>
        <v>0</v>
      </c>
      <c r="AL206" s="365">
        <f t="shared" si="146"/>
        <v>0</v>
      </c>
      <c r="AM206" s="365">
        <f t="shared" si="147"/>
        <v>0</v>
      </c>
      <c r="AN206" s="365">
        <f t="shared" si="148"/>
        <v>0</v>
      </c>
      <c r="AO206" s="365">
        <f t="shared" si="149"/>
        <v>0</v>
      </c>
      <c r="AP206" s="365">
        <f t="shared" si="150"/>
        <v>0</v>
      </c>
      <c r="AQ206" s="365">
        <f t="shared" si="151"/>
        <v>0</v>
      </c>
      <c r="AR206" s="365">
        <f t="shared" si="152"/>
        <v>0</v>
      </c>
      <c r="AS206" s="365">
        <f t="shared" si="153"/>
        <v>0</v>
      </c>
      <c r="AT206" s="363"/>
      <c r="AU206">
        <v>18.6766</v>
      </c>
    </row>
    <row r="207" ht="36" spans="1:47">
      <c r="A207" s="284" t="s">
        <v>195</v>
      </c>
      <c r="B207" s="284" t="s">
        <v>438</v>
      </c>
      <c r="C207" s="284" t="s">
        <v>451</v>
      </c>
      <c r="D207" s="284" t="s">
        <v>452</v>
      </c>
      <c r="E207" s="365">
        <f t="shared" si="134"/>
        <v>0</v>
      </c>
      <c r="F207" s="365">
        <f t="shared" si="135"/>
        <v>0</v>
      </c>
      <c r="G207" s="365"/>
      <c r="H207" s="365"/>
      <c r="I207" s="365"/>
      <c r="J207" s="365"/>
      <c r="K207" s="365"/>
      <c r="L207" s="365">
        <f t="shared" si="136"/>
        <v>0</v>
      </c>
      <c r="M207" s="365"/>
      <c r="N207" s="365"/>
      <c r="O207" s="365"/>
      <c r="P207" s="365">
        <f t="shared" si="154"/>
        <v>0</v>
      </c>
      <c r="Q207" s="365">
        <f t="shared" si="137"/>
        <v>0</v>
      </c>
      <c r="R207" s="365"/>
      <c r="S207" s="365"/>
      <c r="T207" s="365"/>
      <c r="U207" s="365"/>
      <c r="V207" s="365"/>
      <c r="W207" s="365">
        <f t="shared" si="138"/>
        <v>0</v>
      </c>
      <c r="X207" s="365"/>
      <c r="Y207" s="365"/>
      <c r="Z207" s="365"/>
      <c r="AA207" s="365"/>
      <c r="AB207" s="365"/>
      <c r="AC207" s="365"/>
      <c r="AD207" s="366">
        <v>0</v>
      </c>
      <c r="AE207" s="365">
        <f t="shared" si="139"/>
        <v>0</v>
      </c>
      <c r="AF207" s="365">
        <f t="shared" si="140"/>
        <v>0</v>
      </c>
      <c r="AG207" s="365">
        <f t="shared" si="141"/>
        <v>0</v>
      </c>
      <c r="AH207" s="365">
        <f t="shared" si="142"/>
        <v>0</v>
      </c>
      <c r="AI207" s="365">
        <f t="shared" si="143"/>
        <v>0</v>
      </c>
      <c r="AJ207" s="365">
        <f t="shared" si="144"/>
        <v>0</v>
      </c>
      <c r="AK207" s="365">
        <f t="shared" si="145"/>
        <v>0</v>
      </c>
      <c r="AL207" s="365">
        <f t="shared" si="146"/>
        <v>0</v>
      </c>
      <c r="AM207" s="365">
        <f t="shared" si="147"/>
        <v>0</v>
      </c>
      <c r="AN207" s="365">
        <f t="shared" si="148"/>
        <v>0</v>
      </c>
      <c r="AO207" s="365">
        <f t="shared" si="149"/>
        <v>0</v>
      </c>
      <c r="AP207" s="365">
        <f t="shared" si="150"/>
        <v>0</v>
      </c>
      <c r="AQ207" s="365">
        <f t="shared" si="151"/>
        <v>0</v>
      </c>
      <c r="AR207" s="365">
        <f t="shared" si="152"/>
        <v>0</v>
      </c>
      <c r="AS207" s="365">
        <f t="shared" si="153"/>
        <v>0</v>
      </c>
      <c r="AT207" s="363"/>
      <c r="AU207">
        <v>78.0238</v>
      </c>
    </row>
    <row r="208" ht="24" spans="1:47">
      <c r="A208" s="284" t="s">
        <v>195</v>
      </c>
      <c r="B208" s="284" t="s">
        <v>442</v>
      </c>
      <c r="C208" s="284" t="s">
        <v>789</v>
      </c>
      <c r="D208" s="284" t="s">
        <v>454</v>
      </c>
      <c r="E208" s="365">
        <f t="shared" si="134"/>
        <v>0</v>
      </c>
      <c r="F208" s="365">
        <f t="shared" si="135"/>
        <v>0</v>
      </c>
      <c r="G208" s="365"/>
      <c r="H208" s="365"/>
      <c r="I208" s="365"/>
      <c r="J208" s="365"/>
      <c r="K208" s="365"/>
      <c r="L208" s="365">
        <f t="shared" si="136"/>
        <v>0</v>
      </c>
      <c r="M208" s="365"/>
      <c r="N208" s="365"/>
      <c r="O208" s="365"/>
      <c r="P208" s="365">
        <f t="shared" si="154"/>
        <v>0</v>
      </c>
      <c r="Q208" s="365">
        <f t="shared" si="137"/>
        <v>0</v>
      </c>
      <c r="R208" s="365"/>
      <c r="S208" s="365"/>
      <c r="T208" s="365"/>
      <c r="U208" s="365"/>
      <c r="V208" s="365"/>
      <c r="W208" s="365">
        <f t="shared" si="138"/>
        <v>0</v>
      </c>
      <c r="X208" s="365"/>
      <c r="Y208" s="365"/>
      <c r="Z208" s="365"/>
      <c r="AA208" s="365"/>
      <c r="AB208" s="365"/>
      <c r="AC208" s="365"/>
      <c r="AD208" s="366">
        <v>0</v>
      </c>
      <c r="AE208" s="365">
        <f t="shared" si="139"/>
        <v>0</v>
      </c>
      <c r="AF208" s="365">
        <f t="shared" si="140"/>
        <v>0</v>
      </c>
      <c r="AG208" s="365">
        <f t="shared" si="141"/>
        <v>0</v>
      </c>
      <c r="AH208" s="365">
        <f t="shared" si="142"/>
        <v>0</v>
      </c>
      <c r="AI208" s="365">
        <f t="shared" si="143"/>
        <v>0</v>
      </c>
      <c r="AJ208" s="365">
        <f t="shared" si="144"/>
        <v>0</v>
      </c>
      <c r="AK208" s="365">
        <f t="shared" si="145"/>
        <v>0</v>
      </c>
      <c r="AL208" s="365">
        <f t="shared" si="146"/>
        <v>0</v>
      </c>
      <c r="AM208" s="365">
        <f t="shared" si="147"/>
        <v>0</v>
      </c>
      <c r="AN208" s="365">
        <f t="shared" si="148"/>
        <v>0</v>
      </c>
      <c r="AO208" s="365">
        <f t="shared" si="149"/>
        <v>0</v>
      </c>
      <c r="AP208" s="365">
        <f t="shared" si="150"/>
        <v>0</v>
      </c>
      <c r="AQ208" s="365">
        <f t="shared" si="151"/>
        <v>0</v>
      </c>
      <c r="AR208" s="365">
        <f t="shared" si="152"/>
        <v>0</v>
      </c>
      <c r="AS208" s="365">
        <f t="shared" si="153"/>
        <v>0</v>
      </c>
      <c r="AT208" s="363"/>
      <c r="AU208">
        <v>15.1899</v>
      </c>
    </row>
    <row r="209" ht="24" spans="1:47">
      <c r="A209" s="284" t="s">
        <v>195</v>
      </c>
      <c r="B209" s="284" t="s">
        <v>442</v>
      </c>
      <c r="C209" s="284" t="s">
        <v>455</v>
      </c>
      <c r="D209" s="284" t="s">
        <v>444</v>
      </c>
      <c r="E209" s="365">
        <f t="shared" si="134"/>
        <v>0</v>
      </c>
      <c r="F209" s="365">
        <f t="shared" si="135"/>
        <v>0</v>
      </c>
      <c r="G209" s="365"/>
      <c r="H209" s="365"/>
      <c r="I209" s="365"/>
      <c r="J209" s="365"/>
      <c r="K209" s="365"/>
      <c r="L209" s="365">
        <f t="shared" si="136"/>
        <v>0</v>
      </c>
      <c r="M209" s="365"/>
      <c r="N209" s="365"/>
      <c r="O209" s="365"/>
      <c r="P209" s="365">
        <f t="shared" si="154"/>
        <v>0</v>
      </c>
      <c r="Q209" s="365">
        <f t="shared" si="137"/>
        <v>0</v>
      </c>
      <c r="R209" s="365"/>
      <c r="S209" s="365"/>
      <c r="T209" s="365"/>
      <c r="U209" s="365"/>
      <c r="V209" s="365"/>
      <c r="W209" s="365">
        <f t="shared" si="138"/>
        <v>0</v>
      </c>
      <c r="X209" s="365"/>
      <c r="Y209" s="365"/>
      <c r="Z209" s="365"/>
      <c r="AA209" s="365"/>
      <c r="AB209" s="365"/>
      <c r="AC209" s="365"/>
      <c r="AD209" s="366">
        <v>0</v>
      </c>
      <c r="AE209" s="365">
        <f t="shared" si="139"/>
        <v>0</v>
      </c>
      <c r="AF209" s="365">
        <f t="shared" si="140"/>
        <v>0</v>
      </c>
      <c r="AG209" s="365">
        <f t="shared" si="141"/>
        <v>0</v>
      </c>
      <c r="AH209" s="365">
        <f t="shared" si="142"/>
        <v>0</v>
      </c>
      <c r="AI209" s="365">
        <f t="shared" si="143"/>
        <v>0</v>
      </c>
      <c r="AJ209" s="365">
        <f t="shared" si="144"/>
        <v>0</v>
      </c>
      <c r="AK209" s="365">
        <f t="shared" si="145"/>
        <v>0</v>
      </c>
      <c r="AL209" s="365">
        <f t="shared" si="146"/>
        <v>0</v>
      </c>
      <c r="AM209" s="365">
        <f t="shared" si="147"/>
        <v>0</v>
      </c>
      <c r="AN209" s="365">
        <f t="shared" si="148"/>
        <v>0</v>
      </c>
      <c r="AO209" s="365">
        <f t="shared" si="149"/>
        <v>0</v>
      </c>
      <c r="AP209" s="365">
        <f t="shared" si="150"/>
        <v>0</v>
      </c>
      <c r="AQ209" s="365">
        <f t="shared" si="151"/>
        <v>0</v>
      </c>
      <c r="AR209" s="365">
        <f t="shared" si="152"/>
        <v>0</v>
      </c>
      <c r="AS209" s="365">
        <f t="shared" si="153"/>
        <v>0</v>
      </c>
      <c r="AT209" s="363"/>
      <c r="AU209">
        <v>28.8281</v>
      </c>
    </row>
    <row r="210" ht="36" spans="1:47">
      <c r="A210" s="284" t="s">
        <v>195</v>
      </c>
      <c r="B210" s="284" t="s">
        <v>199</v>
      </c>
      <c r="C210" s="284" t="s">
        <v>456</v>
      </c>
      <c r="D210" s="284" t="s">
        <v>457</v>
      </c>
      <c r="E210" s="365">
        <f t="shared" si="134"/>
        <v>0</v>
      </c>
      <c r="F210" s="365">
        <f t="shared" si="135"/>
        <v>0</v>
      </c>
      <c r="G210" s="365"/>
      <c r="H210" s="365"/>
      <c r="I210" s="365"/>
      <c r="J210" s="365"/>
      <c r="K210" s="365"/>
      <c r="L210" s="365">
        <f t="shared" si="136"/>
        <v>0</v>
      </c>
      <c r="M210" s="365"/>
      <c r="N210" s="365"/>
      <c r="O210" s="365"/>
      <c r="P210" s="365">
        <f t="shared" si="154"/>
        <v>0</v>
      </c>
      <c r="Q210" s="365">
        <f t="shared" si="137"/>
        <v>0</v>
      </c>
      <c r="R210" s="365"/>
      <c r="S210" s="365"/>
      <c r="T210" s="365"/>
      <c r="U210" s="365"/>
      <c r="V210" s="365"/>
      <c r="W210" s="365">
        <f t="shared" si="138"/>
        <v>0</v>
      </c>
      <c r="X210" s="365"/>
      <c r="Y210" s="365"/>
      <c r="Z210" s="365"/>
      <c r="AA210" s="365"/>
      <c r="AB210" s="365"/>
      <c r="AC210" s="365"/>
      <c r="AD210" s="366">
        <v>0</v>
      </c>
      <c r="AE210" s="365">
        <f t="shared" si="139"/>
        <v>0</v>
      </c>
      <c r="AF210" s="365">
        <f t="shared" si="140"/>
        <v>0</v>
      </c>
      <c r="AG210" s="365">
        <f t="shared" si="141"/>
        <v>0</v>
      </c>
      <c r="AH210" s="365">
        <f t="shared" si="142"/>
        <v>0</v>
      </c>
      <c r="AI210" s="365">
        <f t="shared" si="143"/>
        <v>0</v>
      </c>
      <c r="AJ210" s="365">
        <f t="shared" si="144"/>
        <v>0</v>
      </c>
      <c r="AK210" s="365">
        <f t="shared" si="145"/>
        <v>0</v>
      </c>
      <c r="AL210" s="365">
        <f t="shared" si="146"/>
        <v>0</v>
      </c>
      <c r="AM210" s="365">
        <f t="shared" si="147"/>
        <v>0</v>
      </c>
      <c r="AN210" s="365">
        <f t="shared" si="148"/>
        <v>0</v>
      </c>
      <c r="AO210" s="365">
        <f t="shared" si="149"/>
        <v>0</v>
      </c>
      <c r="AP210" s="365">
        <f t="shared" si="150"/>
        <v>0</v>
      </c>
      <c r="AQ210" s="365">
        <f t="shared" si="151"/>
        <v>0</v>
      </c>
      <c r="AR210" s="365">
        <f t="shared" si="152"/>
        <v>0</v>
      </c>
      <c r="AS210" s="365">
        <f t="shared" si="153"/>
        <v>0</v>
      </c>
      <c r="AT210" s="363"/>
      <c r="AU210">
        <v>5.02</v>
      </c>
    </row>
    <row r="211" ht="24" spans="1:47">
      <c r="A211" s="284" t="s">
        <v>195</v>
      </c>
      <c r="B211" s="284" t="s">
        <v>442</v>
      </c>
      <c r="C211" s="284" t="s">
        <v>458</v>
      </c>
      <c r="D211" s="284" t="s">
        <v>454</v>
      </c>
      <c r="E211" s="365">
        <f t="shared" si="134"/>
        <v>0</v>
      </c>
      <c r="F211" s="365">
        <f t="shared" si="135"/>
        <v>0</v>
      </c>
      <c r="G211" s="365"/>
      <c r="H211" s="365"/>
      <c r="I211" s="365"/>
      <c r="J211" s="365"/>
      <c r="K211" s="365"/>
      <c r="L211" s="365">
        <f t="shared" si="136"/>
        <v>0</v>
      </c>
      <c r="M211" s="365"/>
      <c r="N211" s="365"/>
      <c r="O211" s="365"/>
      <c r="P211" s="365">
        <f t="shared" si="154"/>
        <v>0</v>
      </c>
      <c r="Q211" s="365">
        <f t="shared" si="137"/>
        <v>0</v>
      </c>
      <c r="R211" s="365"/>
      <c r="S211" s="365"/>
      <c r="T211" s="365"/>
      <c r="U211" s="365"/>
      <c r="V211" s="365"/>
      <c r="W211" s="365">
        <f t="shared" si="138"/>
        <v>0</v>
      </c>
      <c r="X211" s="365"/>
      <c r="Y211" s="365"/>
      <c r="Z211" s="365"/>
      <c r="AA211" s="365"/>
      <c r="AB211" s="365"/>
      <c r="AC211" s="365"/>
      <c r="AD211" s="366">
        <v>0</v>
      </c>
      <c r="AE211" s="365">
        <f t="shared" si="139"/>
        <v>0</v>
      </c>
      <c r="AF211" s="365">
        <f t="shared" si="140"/>
        <v>0</v>
      </c>
      <c r="AG211" s="365">
        <f t="shared" si="141"/>
        <v>0</v>
      </c>
      <c r="AH211" s="365">
        <f t="shared" si="142"/>
        <v>0</v>
      </c>
      <c r="AI211" s="365">
        <f t="shared" si="143"/>
        <v>0</v>
      </c>
      <c r="AJ211" s="365">
        <f t="shared" si="144"/>
        <v>0</v>
      </c>
      <c r="AK211" s="365">
        <f t="shared" si="145"/>
        <v>0</v>
      </c>
      <c r="AL211" s="365">
        <f t="shared" si="146"/>
        <v>0</v>
      </c>
      <c r="AM211" s="365">
        <f t="shared" si="147"/>
        <v>0</v>
      </c>
      <c r="AN211" s="365">
        <f t="shared" si="148"/>
        <v>0</v>
      </c>
      <c r="AO211" s="365">
        <f t="shared" si="149"/>
        <v>0</v>
      </c>
      <c r="AP211" s="365">
        <f t="shared" si="150"/>
        <v>0</v>
      </c>
      <c r="AQ211" s="365">
        <f t="shared" si="151"/>
        <v>0</v>
      </c>
      <c r="AR211" s="365">
        <f t="shared" si="152"/>
        <v>0</v>
      </c>
      <c r="AS211" s="365">
        <f t="shared" si="153"/>
        <v>0</v>
      </c>
      <c r="AT211" s="363"/>
      <c r="AU211">
        <v>15.53</v>
      </c>
    </row>
    <row r="212" ht="24" spans="1:47">
      <c r="A212" s="284" t="s">
        <v>195</v>
      </c>
      <c r="B212" s="284" t="s">
        <v>442</v>
      </c>
      <c r="C212" s="284" t="s">
        <v>459</v>
      </c>
      <c r="D212" s="284" t="s">
        <v>444</v>
      </c>
      <c r="E212" s="365">
        <f t="shared" si="134"/>
        <v>0</v>
      </c>
      <c r="F212" s="365">
        <f t="shared" si="135"/>
        <v>0</v>
      </c>
      <c r="G212" s="365"/>
      <c r="H212" s="365"/>
      <c r="I212" s="365"/>
      <c r="J212" s="365"/>
      <c r="K212" s="365"/>
      <c r="L212" s="365">
        <f t="shared" si="136"/>
        <v>0</v>
      </c>
      <c r="M212" s="365"/>
      <c r="N212" s="365"/>
      <c r="O212" s="365"/>
      <c r="P212" s="365">
        <f t="shared" si="154"/>
        <v>0</v>
      </c>
      <c r="Q212" s="365">
        <f t="shared" si="137"/>
        <v>0</v>
      </c>
      <c r="R212" s="365"/>
      <c r="S212" s="365"/>
      <c r="T212" s="365"/>
      <c r="U212" s="365"/>
      <c r="V212" s="365"/>
      <c r="W212" s="365">
        <f t="shared" si="138"/>
        <v>0</v>
      </c>
      <c r="X212" s="365"/>
      <c r="Y212" s="365"/>
      <c r="Z212" s="365"/>
      <c r="AA212" s="365"/>
      <c r="AB212" s="365"/>
      <c r="AC212" s="365"/>
      <c r="AD212" s="366">
        <v>0</v>
      </c>
      <c r="AE212" s="365">
        <f t="shared" si="139"/>
        <v>0</v>
      </c>
      <c r="AF212" s="365">
        <f t="shared" si="140"/>
        <v>0</v>
      </c>
      <c r="AG212" s="365">
        <f t="shared" si="141"/>
        <v>0</v>
      </c>
      <c r="AH212" s="365">
        <f t="shared" si="142"/>
        <v>0</v>
      </c>
      <c r="AI212" s="365">
        <f t="shared" si="143"/>
        <v>0</v>
      </c>
      <c r="AJ212" s="365">
        <f t="shared" si="144"/>
        <v>0</v>
      </c>
      <c r="AK212" s="365">
        <f t="shared" si="145"/>
        <v>0</v>
      </c>
      <c r="AL212" s="365">
        <f t="shared" si="146"/>
        <v>0</v>
      </c>
      <c r="AM212" s="365">
        <f t="shared" si="147"/>
        <v>0</v>
      </c>
      <c r="AN212" s="365">
        <f t="shared" si="148"/>
        <v>0</v>
      </c>
      <c r="AO212" s="365">
        <f t="shared" si="149"/>
        <v>0</v>
      </c>
      <c r="AP212" s="365">
        <f t="shared" si="150"/>
        <v>0</v>
      </c>
      <c r="AQ212" s="365">
        <f t="shared" si="151"/>
        <v>0</v>
      </c>
      <c r="AR212" s="365">
        <f t="shared" si="152"/>
        <v>0</v>
      </c>
      <c r="AS212" s="365">
        <f t="shared" si="153"/>
        <v>0</v>
      </c>
      <c r="AT212" s="363"/>
      <c r="AU212">
        <v>19.96</v>
      </c>
    </row>
    <row r="213" ht="24" spans="1:47">
      <c r="A213" s="284" t="s">
        <v>195</v>
      </c>
      <c r="B213" s="284" t="s">
        <v>442</v>
      </c>
      <c r="C213" s="284" t="s">
        <v>460</v>
      </c>
      <c r="D213" s="284" t="s">
        <v>454</v>
      </c>
      <c r="E213" s="365">
        <f t="shared" si="134"/>
        <v>0</v>
      </c>
      <c r="F213" s="365">
        <f t="shared" si="135"/>
        <v>0</v>
      </c>
      <c r="G213" s="365"/>
      <c r="H213" s="365"/>
      <c r="I213" s="365"/>
      <c r="J213" s="365"/>
      <c r="K213" s="365"/>
      <c r="L213" s="365">
        <f t="shared" si="136"/>
        <v>0</v>
      </c>
      <c r="M213" s="365"/>
      <c r="N213" s="365"/>
      <c r="O213" s="365"/>
      <c r="P213" s="365">
        <f t="shared" si="154"/>
        <v>0</v>
      </c>
      <c r="Q213" s="365">
        <f t="shared" si="137"/>
        <v>0</v>
      </c>
      <c r="R213" s="365"/>
      <c r="S213" s="365"/>
      <c r="T213" s="365"/>
      <c r="U213" s="365"/>
      <c r="V213" s="365"/>
      <c r="W213" s="365">
        <f t="shared" si="138"/>
        <v>0</v>
      </c>
      <c r="X213" s="365"/>
      <c r="Y213" s="365"/>
      <c r="Z213" s="365"/>
      <c r="AA213" s="365"/>
      <c r="AB213" s="365"/>
      <c r="AC213" s="365"/>
      <c r="AD213" s="366">
        <v>0</v>
      </c>
      <c r="AE213" s="365">
        <f t="shared" si="139"/>
        <v>0</v>
      </c>
      <c r="AF213" s="365">
        <f t="shared" si="140"/>
        <v>0</v>
      </c>
      <c r="AG213" s="365">
        <f t="shared" si="141"/>
        <v>0</v>
      </c>
      <c r="AH213" s="365">
        <f t="shared" si="142"/>
        <v>0</v>
      </c>
      <c r="AI213" s="365">
        <f t="shared" si="143"/>
        <v>0</v>
      </c>
      <c r="AJ213" s="365">
        <f t="shared" si="144"/>
        <v>0</v>
      </c>
      <c r="AK213" s="365">
        <f t="shared" si="145"/>
        <v>0</v>
      </c>
      <c r="AL213" s="365">
        <f t="shared" si="146"/>
        <v>0</v>
      </c>
      <c r="AM213" s="365">
        <f t="shared" si="147"/>
        <v>0</v>
      </c>
      <c r="AN213" s="365">
        <f t="shared" si="148"/>
        <v>0</v>
      </c>
      <c r="AO213" s="365">
        <f t="shared" si="149"/>
        <v>0</v>
      </c>
      <c r="AP213" s="365">
        <f t="shared" si="150"/>
        <v>0</v>
      </c>
      <c r="AQ213" s="365">
        <f t="shared" si="151"/>
        <v>0</v>
      </c>
      <c r="AR213" s="365">
        <f t="shared" si="152"/>
        <v>0</v>
      </c>
      <c r="AS213" s="365">
        <f t="shared" si="153"/>
        <v>0</v>
      </c>
      <c r="AT213" s="363"/>
      <c r="AU213">
        <v>23.4983</v>
      </c>
    </row>
    <row r="214" ht="24" spans="1:47">
      <c r="A214" s="284" t="s">
        <v>195</v>
      </c>
      <c r="B214" s="284" t="s">
        <v>442</v>
      </c>
      <c r="C214" s="284" t="s">
        <v>461</v>
      </c>
      <c r="D214" s="284" t="s">
        <v>454</v>
      </c>
      <c r="E214" s="365">
        <f t="shared" si="134"/>
        <v>0</v>
      </c>
      <c r="F214" s="365">
        <f t="shared" si="135"/>
        <v>0</v>
      </c>
      <c r="G214" s="365"/>
      <c r="H214" s="365"/>
      <c r="I214" s="365"/>
      <c r="J214" s="365"/>
      <c r="K214" s="365"/>
      <c r="L214" s="365">
        <f t="shared" si="136"/>
        <v>0</v>
      </c>
      <c r="M214" s="365"/>
      <c r="N214" s="365"/>
      <c r="O214" s="365"/>
      <c r="P214" s="365">
        <f t="shared" si="154"/>
        <v>0</v>
      </c>
      <c r="Q214" s="365">
        <f t="shared" si="137"/>
        <v>0</v>
      </c>
      <c r="R214" s="365"/>
      <c r="S214" s="365"/>
      <c r="T214" s="365"/>
      <c r="U214" s="365"/>
      <c r="V214" s="365"/>
      <c r="W214" s="365">
        <f t="shared" si="138"/>
        <v>0</v>
      </c>
      <c r="X214" s="365"/>
      <c r="Y214" s="365"/>
      <c r="Z214" s="365"/>
      <c r="AA214" s="365"/>
      <c r="AB214" s="365"/>
      <c r="AC214" s="365"/>
      <c r="AD214" s="366">
        <v>0</v>
      </c>
      <c r="AE214" s="365">
        <f t="shared" si="139"/>
        <v>0</v>
      </c>
      <c r="AF214" s="365">
        <f t="shared" si="140"/>
        <v>0</v>
      </c>
      <c r="AG214" s="365">
        <f t="shared" si="141"/>
        <v>0</v>
      </c>
      <c r="AH214" s="365">
        <f t="shared" si="142"/>
        <v>0</v>
      </c>
      <c r="AI214" s="365">
        <f t="shared" si="143"/>
        <v>0</v>
      </c>
      <c r="AJ214" s="365">
        <f t="shared" si="144"/>
        <v>0</v>
      </c>
      <c r="AK214" s="365">
        <f t="shared" si="145"/>
        <v>0</v>
      </c>
      <c r="AL214" s="365">
        <f t="shared" si="146"/>
        <v>0</v>
      </c>
      <c r="AM214" s="365">
        <f t="shared" si="147"/>
        <v>0</v>
      </c>
      <c r="AN214" s="365">
        <f t="shared" si="148"/>
        <v>0</v>
      </c>
      <c r="AO214" s="365">
        <f t="shared" si="149"/>
        <v>0</v>
      </c>
      <c r="AP214" s="365">
        <f t="shared" si="150"/>
        <v>0</v>
      </c>
      <c r="AQ214" s="365">
        <f t="shared" si="151"/>
        <v>0</v>
      </c>
      <c r="AR214" s="365">
        <f t="shared" si="152"/>
        <v>0</v>
      </c>
      <c r="AS214" s="365">
        <f t="shared" si="153"/>
        <v>0</v>
      </c>
      <c r="AT214" s="363"/>
      <c r="AU214">
        <v>14.0998</v>
      </c>
    </row>
    <row r="215" ht="24" spans="1:47">
      <c r="A215" s="284" t="s">
        <v>195</v>
      </c>
      <c r="B215" s="284" t="s">
        <v>442</v>
      </c>
      <c r="C215" s="284" t="s">
        <v>462</v>
      </c>
      <c r="D215" s="284" t="s">
        <v>444</v>
      </c>
      <c r="E215" s="365">
        <f t="shared" si="134"/>
        <v>0</v>
      </c>
      <c r="F215" s="365">
        <f t="shared" si="135"/>
        <v>0</v>
      </c>
      <c r="G215" s="365"/>
      <c r="H215" s="365"/>
      <c r="I215" s="365"/>
      <c r="J215" s="365"/>
      <c r="K215" s="365"/>
      <c r="L215" s="365">
        <f t="shared" si="136"/>
        <v>0</v>
      </c>
      <c r="M215" s="365"/>
      <c r="N215" s="365"/>
      <c r="O215" s="365"/>
      <c r="P215" s="365">
        <f t="shared" si="154"/>
        <v>0</v>
      </c>
      <c r="Q215" s="365">
        <f t="shared" si="137"/>
        <v>0</v>
      </c>
      <c r="R215" s="365"/>
      <c r="S215" s="365"/>
      <c r="T215" s="365"/>
      <c r="U215" s="365"/>
      <c r="V215" s="365"/>
      <c r="W215" s="365">
        <f t="shared" si="138"/>
        <v>0</v>
      </c>
      <c r="X215" s="365"/>
      <c r="Y215" s="365"/>
      <c r="Z215" s="365"/>
      <c r="AA215" s="365"/>
      <c r="AB215" s="365"/>
      <c r="AC215" s="365"/>
      <c r="AD215" s="366">
        <v>0</v>
      </c>
      <c r="AE215" s="365">
        <f t="shared" si="139"/>
        <v>0</v>
      </c>
      <c r="AF215" s="365">
        <f t="shared" si="140"/>
        <v>0</v>
      </c>
      <c r="AG215" s="365">
        <f t="shared" si="141"/>
        <v>0</v>
      </c>
      <c r="AH215" s="365">
        <f t="shared" si="142"/>
        <v>0</v>
      </c>
      <c r="AI215" s="365">
        <f t="shared" si="143"/>
        <v>0</v>
      </c>
      <c r="AJ215" s="365">
        <f t="shared" si="144"/>
        <v>0</v>
      </c>
      <c r="AK215" s="365">
        <f t="shared" si="145"/>
        <v>0</v>
      </c>
      <c r="AL215" s="365">
        <f t="shared" si="146"/>
        <v>0</v>
      </c>
      <c r="AM215" s="365">
        <f t="shared" si="147"/>
        <v>0</v>
      </c>
      <c r="AN215" s="365">
        <f t="shared" si="148"/>
        <v>0</v>
      </c>
      <c r="AO215" s="365">
        <f t="shared" si="149"/>
        <v>0</v>
      </c>
      <c r="AP215" s="365">
        <f t="shared" si="150"/>
        <v>0</v>
      </c>
      <c r="AQ215" s="365">
        <f t="shared" si="151"/>
        <v>0</v>
      </c>
      <c r="AR215" s="365">
        <f t="shared" si="152"/>
        <v>0</v>
      </c>
      <c r="AS215" s="365">
        <f t="shared" si="153"/>
        <v>0</v>
      </c>
      <c r="AT215" s="363"/>
      <c r="AU215">
        <v>14.8549</v>
      </c>
    </row>
    <row r="216" ht="24" spans="1:47">
      <c r="A216" s="284" t="s">
        <v>195</v>
      </c>
      <c r="B216" s="284" t="s">
        <v>442</v>
      </c>
      <c r="C216" s="284" t="s">
        <v>463</v>
      </c>
      <c r="D216" s="284" t="s">
        <v>444</v>
      </c>
      <c r="E216" s="365">
        <f t="shared" si="134"/>
        <v>0</v>
      </c>
      <c r="F216" s="365">
        <f t="shared" si="135"/>
        <v>0</v>
      </c>
      <c r="G216" s="365"/>
      <c r="H216" s="365"/>
      <c r="I216" s="365"/>
      <c r="J216" s="365"/>
      <c r="K216" s="365"/>
      <c r="L216" s="365">
        <f t="shared" si="136"/>
        <v>0</v>
      </c>
      <c r="M216" s="365"/>
      <c r="N216" s="365"/>
      <c r="O216" s="365"/>
      <c r="P216" s="365">
        <f t="shared" si="154"/>
        <v>0</v>
      </c>
      <c r="Q216" s="365">
        <f t="shared" si="137"/>
        <v>0</v>
      </c>
      <c r="R216" s="365"/>
      <c r="S216" s="365"/>
      <c r="T216" s="365"/>
      <c r="U216" s="365"/>
      <c r="V216" s="365"/>
      <c r="W216" s="365">
        <f t="shared" si="138"/>
        <v>0</v>
      </c>
      <c r="X216" s="365"/>
      <c r="Y216" s="365"/>
      <c r="Z216" s="365"/>
      <c r="AA216" s="365"/>
      <c r="AB216" s="365"/>
      <c r="AC216" s="365"/>
      <c r="AD216" s="366">
        <v>0</v>
      </c>
      <c r="AE216" s="365">
        <f t="shared" si="139"/>
        <v>0</v>
      </c>
      <c r="AF216" s="365">
        <f t="shared" si="140"/>
        <v>0</v>
      </c>
      <c r="AG216" s="365">
        <f t="shared" si="141"/>
        <v>0</v>
      </c>
      <c r="AH216" s="365">
        <f t="shared" si="142"/>
        <v>0</v>
      </c>
      <c r="AI216" s="365">
        <f t="shared" si="143"/>
        <v>0</v>
      </c>
      <c r="AJ216" s="365">
        <f t="shared" si="144"/>
        <v>0</v>
      </c>
      <c r="AK216" s="365">
        <f t="shared" si="145"/>
        <v>0</v>
      </c>
      <c r="AL216" s="365">
        <f t="shared" si="146"/>
        <v>0</v>
      </c>
      <c r="AM216" s="365">
        <f t="shared" si="147"/>
        <v>0</v>
      </c>
      <c r="AN216" s="365">
        <f t="shared" si="148"/>
        <v>0</v>
      </c>
      <c r="AO216" s="365">
        <f t="shared" si="149"/>
        <v>0</v>
      </c>
      <c r="AP216" s="365">
        <f t="shared" si="150"/>
        <v>0</v>
      </c>
      <c r="AQ216" s="365">
        <f t="shared" si="151"/>
        <v>0</v>
      </c>
      <c r="AR216" s="365">
        <f t="shared" si="152"/>
        <v>0</v>
      </c>
      <c r="AS216" s="365">
        <f t="shared" si="153"/>
        <v>0</v>
      </c>
      <c r="AT216" s="363"/>
      <c r="AU216">
        <v>59.6759</v>
      </c>
    </row>
    <row r="217" ht="24" spans="1:47">
      <c r="A217" s="284" t="s">
        <v>195</v>
      </c>
      <c r="B217" s="284" t="s">
        <v>442</v>
      </c>
      <c r="C217" s="284" t="s">
        <v>464</v>
      </c>
      <c r="D217" s="284" t="s">
        <v>444</v>
      </c>
      <c r="E217" s="365">
        <f t="shared" si="134"/>
        <v>0</v>
      </c>
      <c r="F217" s="365">
        <f t="shared" si="135"/>
        <v>0</v>
      </c>
      <c r="G217" s="365"/>
      <c r="H217" s="365"/>
      <c r="I217" s="365"/>
      <c r="J217" s="365"/>
      <c r="K217" s="365"/>
      <c r="L217" s="365">
        <f t="shared" si="136"/>
        <v>0</v>
      </c>
      <c r="M217" s="365"/>
      <c r="N217" s="365"/>
      <c r="O217" s="365"/>
      <c r="P217" s="365">
        <f t="shared" si="154"/>
        <v>0</v>
      </c>
      <c r="Q217" s="365">
        <f t="shared" si="137"/>
        <v>0</v>
      </c>
      <c r="R217" s="365"/>
      <c r="S217" s="365"/>
      <c r="T217" s="365"/>
      <c r="U217" s="365"/>
      <c r="V217" s="365"/>
      <c r="W217" s="365">
        <f t="shared" si="138"/>
        <v>0</v>
      </c>
      <c r="X217" s="365"/>
      <c r="Y217" s="365"/>
      <c r="Z217" s="365"/>
      <c r="AA217" s="365"/>
      <c r="AB217" s="365"/>
      <c r="AC217" s="365"/>
      <c r="AD217" s="366">
        <v>0</v>
      </c>
      <c r="AE217" s="365">
        <f t="shared" si="139"/>
        <v>0</v>
      </c>
      <c r="AF217" s="365">
        <f t="shared" si="140"/>
        <v>0</v>
      </c>
      <c r="AG217" s="365">
        <f t="shared" si="141"/>
        <v>0</v>
      </c>
      <c r="AH217" s="365">
        <f t="shared" si="142"/>
        <v>0</v>
      </c>
      <c r="AI217" s="365">
        <f t="shared" si="143"/>
        <v>0</v>
      </c>
      <c r="AJ217" s="365">
        <f t="shared" si="144"/>
        <v>0</v>
      </c>
      <c r="AK217" s="365">
        <f t="shared" si="145"/>
        <v>0</v>
      </c>
      <c r="AL217" s="365">
        <f t="shared" si="146"/>
        <v>0</v>
      </c>
      <c r="AM217" s="365">
        <f t="shared" si="147"/>
        <v>0</v>
      </c>
      <c r="AN217" s="365">
        <f t="shared" si="148"/>
        <v>0</v>
      </c>
      <c r="AO217" s="365">
        <f t="shared" si="149"/>
        <v>0</v>
      </c>
      <c r="AP217" s="365">
        <f t="shared" si="150"/>
        <v>0</v>
      </c>
      <c r="AQ217" s="365">
        <f t="shared" si="151"/>
        <v>0</v>
      </c>
      <c r="AR217" s="365">
        <f t="shared" si="152"/>
        <v>0</v>
      </c>
      <c r="AS217" s="365">
        <f t="shared" si="153"/>
        <v>0</v>
      </c>
      <c r="AT217" s="363"/>
      <c r="AU217">
        <v>101.3331</v>
      </c>
    </row>
    <row r="218" ht="24" spans="1:47">
      <c r="A218" s="284" t="s">
        <v>195</v>
      </c>
      <c r="B218" s="284" t="s">
        <v>442</v>
      </c>
      <c r="C218" s="284" t="s">
        <v>465</v>
      </c>
      <c r="D218" s="284" t="s">
        <v>454</v>
      </c>
      <c r="E218" s="365">
        <f t="shared" si="134"/>
        <v>0</v>
      </c>
      <c r="F218" s="365">
        <f t="shared" si="135"/>
        <v>0</v>
      </c>
      <c r="G218" s="365"/>
      <c r="H218" s="365"/>
      <c r="I218" s="365"/>
      <c r="J218" s="365"/>
      <c r="K218" s="365"/>
      <c r="L218" s="365">
        <f t="shared" si="136"/>
        <v>0</v>
      </c>
      <c r="M218" s="365"/>
      <c r="N218" s="365"/>
      <c r="O218" s="365"/>
      <c r="P218" s="365">
        <f t="shared" si="154"/>
        <v>0</v>
      </c>
      <c r="Q218" s="365">
        <f t="shared" si="137"/>
        <v>0</v>
      </c>
      <c r="R218" s="365"/>
      <c r="S218" s="365"/>
      <c r="T218" s="365"/>
      <c r="U218" s="365"/>
      <c r="V218" s="365"/>
      <c r="W218" s="365">
        <f t="shared" si="138"/>
        <v>0</v>
      </c>
      <c r="X218" s="365"/>
      <c r="Y218" s="365"/>
      <c r="Z218" s="365"/>
      <c r="AA218" s="365"/>
      <c r="AB218" s="365"/>
      <c r="AC218" s="365"/>
      <c r="AD218" s="366">
        <v>0</v>
      </c>
      <c r="AE218" s="365">
        <f t="shared" si="139"/>
        <v>0</v>
      </c>
      <c r="AF218" s="365">
        <f t="shared" si="140"/>
        <v>0</v>
      </c>
      <c r="AG218" s="365">
        <f t="shared" si="141"/>
        <v>0</v>
      </c>
      <c r="AH218" s="365">
        <f t="shared" si="142"/>
        <v>0</v>
      </c>
      <c r="AI218" s="365">
        <f t="shared" si="143"/>
        <v>0</v>
      </c>
      <c r="AJ218" s="365">
        <f t="shared" si="144"/>
        <v>0</v>
      </c>
      <c r="AK218" s="365">
        <f t="shared" si="145"/>
        <v>0</v>
      </c>
      <c r="AL218" s="365">
        <f t="shared" si="146"/>
        <v>0</v>
      </c>
      <c r="AM218" s="365">
        <f t="shared" si="147"/>
        <v>0</v>
      </c>
      <c r="AN218" s="365">
        <f t="shared" si="148"/>
        <v>0</v>
      </c>
      <c r="AO218" s="365">
        <f t="shared" si="149"/>
        <v>0</v>
      </c>
      <c r="AP218" s="365">
        <f t="shared" si="150"/>
        <v>0</v>
      </c>
      <c r="AQ218" s="365">
        <f t="shared" si="151"/>
        <v>0</v>
      </c>
      <c r="AR218" s="365">
        <f t="shared" si="152"/>
        <v>0</v>
      </c>
      <c r="AS218" s="365">
        <f t="shared" si="153"/>
        <v>0</v>
      </c>
      <c r="AT218" s="363"/>
      <c r="AU218">
        <v>72.0016</v>
      </c>
    </row>
    <row r="219" ht="24" spans="1:47">
      <c r="A219" s="284" t="s">
        <v>195</v>
      </c>
      <c r="B219" s="284" t="s">
        <v>442</v>
      </c>
      <c r="C219" s="284" t="s">
        <v>466</v>
      </c>
      <c r="D219" s="284" t="s">
        <v>454</v>
      </c>
      <c r="E219" s="365">
        <f t="shared" si="134"/>
        <v>0</v>
      </c>
      <c r="F219" s="365">
        <f t="shared" si="135"/>
        <v>0</v>
      </c>
      <c r="G219" s="365"/>
      <c r="H219" s="365"/>
      <c r="I219" s="365"/>
      <c r="J219" s="365"/>
      <c r="K219" s="365"/>
      <c r="L219" s="365">
        <f t="shared" si="136"/>
        <v>0</v>
      </c>
      <c r="M219" s="365"/>
      <c r="N219" s="365"/>
      <c r="O219" s="365"/>
      <c r="P219" s="365">
        <f t="shared" si="154"/>
        <v>0</v>
      </c>
      <c r="Q219" s="365">
        <f t="shared" si="137"/>
        <v>0</v>
      </c>
      <c r="R219" s="365"/>
      <c r="S219" s="365"/>
      <c r="T219" s="365"/>
      <c r="U219" s="365"/>
      <c r="V219" s="365"/>
      <c r="W219" s="365">
        <f t="shared" si="138"/>
        <v>0</v>
      </c>
      <c r="X219" s="365"/>
      <c r="Y219" s="365"/>
      <c r="Z219" s="365"/>
      <c r="AA219" s="365"/>
      <c r="AB219" s="365"/>
      <c r="AC219" s="365"/>
      <c r="AD219" s="366">
        <v>0</v>
      </c>
      <c r="AE219" s="365">
        <f t="shared" si="139"/>
        <v>0</v>
      </c>
      <c r="AF219" s="365">
        <f t="shared" si="140"/>
        <v>0</v>
      </c>
      <c r="AG219" s="365">
        <f t="shared" si="141"/>
        <v>0</v>
      </c>
      <c r="AH219" s="365">
        <f t="shared" si="142"/>
        <v>0</v>
      </c>
      <c r="AI219" s="365">
        <f t="shared" si="143"/>
        <v>0</v>
      </c>
      <c r="AJ219" s="365">
        <f t="shared" si="144"/>
        <v>0</v>
      </c>
      <c r="AK219" s="365">
        <f t="shared" si="145"/>
        <v>0</v>
      </c>
      <c r="AL219" s="365">
        <f t="shared" si="146"/>
        <v>0</v>
      </c>
      <c r="AM219" s="365">
        <f t="shared" si="147"/>
        <v>0</v>
      </c>
      <c r="AN219" s="365">
        <f t="shared" si="148"/>
        <v>0</v>
      </c>
      <c r="AO219" s="365">
        <f t="shared" si="149"/>
        <v>0</v>
      </c>
      <c r="AP219" s="365">
        <f t="shared" si="150"/>
        <v>0</v>
      </c>
      <c r="AQ219" s="365">
        <f t="shared" si="151"/>
        <v>0</v>
      </c>
      <c r="AR219" s="365">
        <f t="shared" si="152"/>
        <v>0</v>
      </c>
      <c r="AS219" s="365">
        <f t="shared" si="153"/>
        <v>0</v>
      </c>
      <c r="AT219" s="363"/>
      <c r="AU219">
        <v>35.36</v>
      </c>
    </row>
    <row r="220" ht="24" spans="1:47">
      <c r="A220" s="284" t="s">
        <v>195</v>
      </c>
      <c r="B220" s="284" t="s">
        <v>442</v>
      </c>
      <c r="C220" s="284" t="s">
        <v>467</v>
      </c>
      <c r="D220" s="284" t="s">
        <v>454</v>
      </c>
      <c r="E220" s="365">
        <f t="shared" si="134"/>
        <v>0</v>
      </c>
      <c r="F220" s="365">
        <f t="shared" si="135"/>
        <v>0</v>
      </c>
      <c r="G220" s="365"/>
      <c r="H220" s="365"/>
      <c r="I220" s="365"/>
      <c r="J220" s="365"/>
      <c r="K220" s="365"/>
      <c r="L220" s="365">
        <f t="shared" si="136"/>
        <v>0</v>
      </c>
      <c r="M220" s="365"/>
      <c r="N220" s="365"/>
      <c r="O220" s="365"/>
      <c r="P220" s="365">
        <f t="shared" si="154"/>
        <v>0</v>
      </c>
      <c r="Q220" s="365">
        <f t="shared" si="137"/>
        <v>0</v>
      </c>
      <c r="R220" s="365"/>
      <c r="S220" s="365"/>
      <c r="T220" s="365"/>
      <c r="U220" s="365"/>
      <c r="V220" s="365"/>
      <c r="W220" s="365">
        <f t="shared" si="138"/>
        <v>0</v>
      </c>
      <c r="X220" s="365"/>
      <c r="Y220" s="365"/>
      <c r="Z220" s="365"/>
      <c r="AA220" s="365"/>
      <c r="AB220" s="365"/>
      <c r="AC220" s="365"/>
      <c r="AD220" s="366">
        <v>0</v>
      </c>
      <c r="AE220" s="365">
        <f t="shared" si="139"/>
        <v>0</v>
      </c>
      <c r="AF220" s="365">
        <f t="shared" si="140"/>
        <v>0</v>
      </c>
      <c r="AG220" s="365">
        <f t="shared" si="141"/>
        <v>0</v>
      </c>
      <c r="AH220" s="365">
        <f t="shared" si="142"/>
        <v>0</v>
      </c>
      <c r="AI220" s="365">
        <f t="shared" si="143"/>
        <v>0</v>
      </c>
      <c r="AJ220" s="365">
        <f t="shared" si="144"/>
        <v>0</v>
      </c>
      <c r="AK220" s="365">
        <f t="shared" si="145"/>
        <v>0</v>
      </c>
      <c r="AL220" s="365">
        <f t="shared" si="146"/>
        <v>0</v>
      </c>
      <c r="AM220" s="365">
        <f t="shared" si="147"/>
        <v>0</v>
      </c>
      <c r="AN220" s="365">
        <f t="shared" si="148"/>
        <v>0</v>
      </c>
      <c r="AO220" s="365">
        <f t="shared" si="149"/>
        <v>0</v>
      </c>
      <c r="AP220" s="365">
        <f t="shared" si="150"/>
        <v>0</v>
      </c>
      <c r="AQ220" s="365">
        <f t="shared" si="151"/>
        <v>0</v>
      </c>
      <c r="AR220" s="365">
        <f t="shared" si="152"/>
        <v>0</v>
      </c>
      <c r="AS220" s="365">
        <f t="shared" si="153"/>
        <v>0</v>
      </c>
      <c r="AT220" s="363"/>
      <c r="AU220">
        <v>41.53</v>
      </c>
    </row>
    <row r="221" ht="24" spans="1:47">
      <c r="A221" s="284" t="s">
        <v>195</v>
      </c>
      <c r="B221" s="284" t="s">
        <v>442</v>
      </c>
      <c r="C221" s="284" t="s">
        <v>468</v>
      </c>
      <c r="D221" s="284" t="s">
        <v>444</v>
      </c>
      <c r="E221" s="365">
        <f t="shared" si="134"/>
        <v>0</v>
      </c>
      <c r="F221" s="365">
        <f t="shared" si="135"/>
        <v>0</v>
      </c>
      <c r="G221" s="365"/>
      <c r="H221" s="365"/>
      <c r="I221" s="365"/>
      <c r="J221" s="365"/>
      <c r="K221" s="365"/>
      <c r="L221" s="365">
        <f t="shared" si="136"/>
        <v>0</v>
      </c>
      <c r="M221" s="365"/>
      <c r="N221" s="365"/>
      <c r="O221" s="365"/>
      <c r="P221" s="365">
        <f t="shared" si="154"/>
        <v>0</v>
      </c>
      <c r="Q221" s="365">
        <f t="shared" si="137"/>
        <v>0</v>
      </c>
      <c r="R221" s="365"/>
      <c r="S221" s="365"/>
      <c r="T221" s="365"/>
      <c r="U221" s="365"/>
      <c r="V221" s="365"/>
      <c r="W221" s="365">
        <f t="shared" si="138"/>
        <v>0</v>
      </c>
      <c r="X221" s="365"/>
      <c r="Y221" s="365"/>
      <c r="Z221" s="365"/>
      <c r="AA221" s="365"/>
      <c r="AB221" s="365"/>
      <c r="AC221" s="365"/>
      <c r="AD221" s="366">
        <v>0</v>
      </c>
      <c r="AE221" s="365">
        <f t="shared" si="139"/>
        <v>0</v>
      </c>
      <c r="AF221" s="365">
        <f t="shared" si="140"/>
        <v>0</v>
      </c>
      <c r="AG221" s="365">
        <f t="shared" si="141"/>
        <v>0</v>
      </c>
      <c r="AH221" s="365">
        <f t="shared" si="142"/>
        <v>0</v>
      </c>
      <c r="AI221" s="365">
        <f t="shared" si="143"/>
        <v>0</v>
      </c>
      <c r="AJ221" s="365">
        <f t="shared" si="144"/>
        <v>0</v>
      </c>
      <c r="AK221" s="365">
        <f t="shared" si="145"/>
        <v>0</v>
      </c>
      <c r="AL221" s="365">
        <f t="shared" si="146"/>
        <v>0</v>
      </c>
      <c r="AM221" s="365">
        <f t="shared" si="147"/>
        <v>0</v>
      </c>
      <c r="AN221" s="365">
        <f t="shared" si="148"/>
        <v>0</v>
      </c>
      <c r="AO221" s="365">
        <f t="shared" si="149"/>
        <v>0</v>
      </c>
      <c r="AP221" s="365">
        <f t="shared" si="150"/>
        <v>0</v>
      </c>
      <c r="AQ221" s="365">
        <f t="shared" si="151"/>
        <v>0</v>
      </c>
      <c r="AR221" s="365">
        <f t="shared" si="152"/>
        <v>0</v>
      </c>
      <c r="AS221" s="365">
        <f t="shared" si="153"/>
        <v>0</v>
      </c>
      <c r="AT221" s="363"/>
      <c r="AU221">
        <v>53.953</v>
      </c>
    </row>
    <row r="222" ht="24" spans="1:47">
      <c r="A222" s="284" t="s">
        <v>195</v>
      </c>
      <c r="B222" s="284" t="s">
        <v>442</v>
      </c>
      <c r="C222" s="284" t="s">
        <v>469</v>
      </c>
      <c r="D222" s="284" t="s">
        <v>454</v>
      </c>
      <c r="E222" s="365">
        <f t="shared" si="134"/>
        <v>0</v>
      </c>
      <c r="F222" s="365">
        <f t="shared" si="135"/>
        <v>0</v>
      </c>
      <c r="G222" s="365"/>
      <c r="H222" s="365"/>
      <c r="I222" s="365"/>
      <c r="J222" s="365"/>
      <c r="K222" s="365"/>
      <c r="L222" s="365">
        <f t="shared" si="136"/>
        <v>0</v>
      </c>
      <c r="M222" s="365"/>
      <c r="N222" s="365"/>
      <c r="O222" s="365"/>
      <c r="P222" s="365">
        <f t="shared" si="154"/>
        <v>0</v>
      </c>
      <c r="Q222" s="365">
        <f t="shared" si="137"/>
        <v>0</v>
      </c>
      <c r="R222" s="365"/>
      <c r="S222" s="365"/>
      <c r="T222" s="365"/>
      <c r="U222" s="365"/>
      <c r="V222" s="365"/>
      <c r="W222" s="365">
        <f t="shared" si="138"/>
        <v>0</v>
      </c>
      <c r="X222" s="365"/>
      <c r="Y222" s="365"/>
      <c r="Z222" s="365"/>
      <c r="AA222" s="365"/>
      <c r="AB222" s="365"/>
      <c r="AC222" s="365"/>
      <c r="AD222" s="366">
        <v>0</v>
      </c>
      <c r="AE222" s="365">
        <f t="shared" si="139"/>
        <v>0</v>
      </c>
      <c r="AF222" s="365">
        <f t="shared" si="140"/>
        <v>0</v>
      </c>
      <c r="AG222" s="365">
        <f t="shared" si="141"/>
        <v>0</v>
      </c>
      <c r="AH222" s="365">
        <f t="shared" si="142"/>
        <v>0</v>
      </c>
      <c r="AI222" s="365">
        <f t="shared" si="143"/>
        <v>0</v>
      </c>
      <c r="AJ222" s="365">
        <f t="shared" si="144"/>
        <v>0</v>
      </c>
      <c r="AK222" s="365">
        <f t="shared" si="145"/>
        <v>0</v>
      </c>
      <c r="AL222" s="365">
        <f t="shared" si="146"/>
        <v>0</v>
      </c>
      <c r="AM222" s="365">
        <f t="shared" si="147"/>
        <v>0</v>
      </c>
      <c r="AN222" s="365">
        <f t="shared" si="148"/>
        <v>0</v>
      </c>
      <c r="AO222" s="365">
        <f t="shared" si="149"/>
        <v>0</v>
      </c>
      <c r="AP222" s="365">
        <f t="shared" si="150"/>
        <v>0</v>
      </c>
      <c r="AQ222" s="365">
        <f t="shared" si="151"/>
        <v>0</v>
      </c>
      <c r="AR222" s="365">
        <f t="shared" si="152"/>
        <v>0</v>
      </c>
      <c r="AS222" s="365">
        <f t="shared" si="153"/>
        <v>0</v>
      </c>
      <c r="AT222" s="363"/>
      <c r="AU222">
        <v>60.04</v>
      </c>
    </row>
    <row r="223" ht="24" spans="1:47">
      <c r="A223" s="284" t="s">
        <v>195</v>
      </c>
      <c r="B223" s="284" t="s">
        <v>442</v>
      </c>
      <c r="C223" s="284" t="s">
        <v>470</v>
      </c>
      <c r="D223" s="284" t="s">
        <v>454</v>
      </c>
      <c r="E223" s="365">
        <f t="shared" si="134"/>
        <v>0</v>
      </c>
      <c r="F223" s="365">
        <f t="shared" si="135"/>
        <v>0</v>
      </c>
      <c r="G223" s="365"/>
      <c r="H223" s="365"/>
      <c r="I223" s="365"/>
      <c r="J223" s="365"/>
      <c r="K223" s="365"/>
      <c r="L223" s="365">
        <f t="shared" si="136"/>
        <v>0</v>
      </c>
      <c r="M223" s="365"/>
      <c r="N223" s="365"/>
      <c r="O223" s="365"/>
      <c r="P223" s="365">
        <f t="shared" si="154"/>
        <v>0</v>
      </c>
      <c r="Q223" s="365">
        <f t="shared" si="137"/>
        <v>0</v>
      </c>
      <c r="R223" s="365"/>
      <c r="S223" s="365"/>
      <c r="T223" s="365"/>
      <c r="U223" s="365"/>
      <c r="V223" s="365"/>
      <c r="W223" s="365">
        <f t="shared" si="138"/>
        <v>0</v>
      </c>
      <c r="X223" s="365"/>
      <c r="Y223" s="365"/>
      <c r="Z223" s="365"/>
      <c r="AA223" s="365"/>
      <c r="AB223" s="365"/>
      <c r="AC223" s="365"/>
      <c r="AD223" s="366">
        <v>0</v>
      </c>
      <c r="AE223" s="365">
        <f t="shared" si="139"/>
        <v>0</v>
      </c>
      <c r="AF223" s="365">
        <f t="shared" si="140"/>
        <v>0</v>
      </c>
      <c r="AG223" s="365">
        <f t="shared" si="141"/>
        <v>0</v>
      </c>
      <c r="AH223" s="365">
        <f t="shared" si="142"/>
        <v>0</v>
      </c>
      <c r="AI223" s="365">
        <f t="shared" si="143"/>
        <v>0</v>
      </c>
      <c r="AJ223" s="365">
        <f t="shared" si="144"/>
        <v>0</v>
      </c>
      <c r="AK223" s="365">
        <f t="shared" si="145"/>
        <v>0</v>
      </c>
      <c r="AL223" s="365">
        <f t="shared" si="146"/>
        <v>0</v>
      </c>
      <c r="AM223" s="365">
        <f t="shared" si="147"/>
        <v>0</v>
      </c>
      <c r="AN223" s="365">
        <f t="shared" si="148"/>
        <v>0</v>
      </c>
      <c r="AO223" s="365">
        <f t="shared" si="149"/>
        <v>0</v>
      </c>
      <c r="AP223" s="365">
        <f t="shared" si="150"/>
        <v>0</v>
      </c>
      <c r="AQ223" s="365">
        <f t="shared" si="151"/>
        <v>0</v>
      </c>
      <c r="AR223" s="365">
        <f t="shared" si="152"/>
        <v>0</v>
      </c>
      <c r="AS223" s="365">
        <f t="shared" si="153"/>
        <v>0</v>
      </c>
      <c r="AT223" s="363"/>
      <c r="AU223">
        <v>27.93</v>
      </c>
    </row>
    <row r="224" ht="24" spans="1:47">
      <c r="A224" s="284" t="s">
        <v>195</v>
      </c>
      <c r="B224" s="284" t="s">
        <v>442</v>
      </c>
      <c r="C224" s="284" t="s">
        <v>471</v>
      </c>
      <c r="D224" s="284" t="s">
        <v>444</v>
      </c>
      <c r="E224" s="365">
        <f t="shared" si="134"/>
        <v>0</v>
      </c>
      <c r="F224" s="365">
        <f t="shared" si="135"/>
        <v>0</v>
      </c>
      <c r="G224" s="365"/>
      <c r="H224" s="365"/>
      <c r="I224" s="365"/>
      <c r="J224" s="365"/>
      <c r="K224" s="365"/>
      <c r="L224" s="365">
        <f t="shared" si="136"/>
        <v>0</v>
      </c>
      <c r="M224" s="365"/>
      <c r="N224" s="365"/>
      <c r="O224" s="365"/>
      <c r="P224" s="365">
        <f t="shared" si="154"/>
        <v>0</v>
      </c>
      <c r="Q224" s="365">
        <f t="shared" si="137"/>
        <v>0</v>
      </c>
      <c r="R224" s="365"/>
      <c r="S224" s="365"/>
      <c r="T224" s="365"/>
      <c r="U224" s="365"/>
      <c r="V224" s="365"/>
      <c r="W224" s="365">
        <f t="shared" si="138"/>
        <v>0</v>
      </c>
      <c r="X224" s="365"/>
      <c r="Y224" s="365"/>
      <c r="Z224" s="365"/>
      <c r="AA224" s="365"/>
      <c r="AB224" s="365"/>
      <c r="AC224" s="365"/>
      <c r="AD224" s="366">
        <v>0</v>
      </c>
      <c r="AE224" s="365">
        <f t="shared" si="139"/>
        <v>0</v>
      </c>
      <c r="AF224" s="365">
        <f t="shared" si="140"/>
        <v>0</v>
      </c>
      <c r="AG224" s="365">
        <f t="shared" si="141"/>
        <v>0</v>
      </c>
      <c r="AH224" s="365">
        <f t="shared" si="142"/>
        <v>0</v>
      </c>
      <c r="AI224" s="365">
        <f t="shared" si="143"/>
        <v>0</v>
      </c>
      <c r="AJ224" s="365">
        <f t="shared" si="144"/>
        <v>0</v>
      </c>
      <c r="AK224" s="365">
        <f t="shared" si="145"/>
        <v>0</v>
      </c>
      <c r="AL224" s="365">
        <f t="shared" si="146"/>
        <v>0</v>
      </c>
      <c r="AM224" s="365">
        <f t="shared" si="147"/>
        <v>0</v>
      </c>
      <c r="AN224" s="365">
        <f t="shared" si="148"/>
        <v>0</v>
      </c>
      <c r="AO224" s="365">
        <f t="shared" si="149"/>
        <v>0</v>
      </c>
      <c r="AP224" s="365">
        <f t="shared" si="150"/>
        <v>0</v>
      </c>
      <c r="AQ224" s="365">
        <f t="shared" si="151"/>
        <v>0</v>
      </c>
      <c r="AR224" s="365">
        <f t="shared" si="152"/>
        <v>0</v>
      </c>
      <c r="AS224" s="365">
        <f t="shared" si="153"/>
        <v>0</v>
      </c>
      <c r="AT224" s="363"/>
      <c r="AU224">
        <v>55.2146</v>
      </c>
    </row>
    <row r="225" ht="24" spans="1:47">
      <c r="A225" s="284" t="s">
        <v>195</v>
      </c>
      <c r="B225" s="284" t="s">
        <v>442</v>
      </c>
      <c r="C225" s="284" t="s">
        <v>472</v>
      </c>
      <c r="D225" s="284" t="s">
        <v>444</v>
      </c>
      <c r="E225" s="365">
        <f t="shared" si="134"/>
        <v>0</v>
      </c>
      <c r="F225" s="365">
        <f t="shared" si="135"/>
        <v>0</v>
      </c>
      <c r="G225" s="365"/>
      <c r="H225" s="365"/>
      <c r="I225" s="365"/>
      <c r="J225" s="365"/>
      <c r="K225" s="365"/>
      <c r="L225" s="365">
        <f t="shared" si="136"/>
        <v>0</v>
      </c>
      <c r="M225" s="365"/>
      <c r="N225" s="365"/>
      <c r="O225" s="365"/>
      <c r="P225" s="365">
        <f t="shared" si="154"/>
        <v>0</v>
      </c>
      <c r="Q225" s="365">
        <f t="shared" si="137"/>
        <v>0</v>
      </c>
      <c r="R225" s="365"/>
      <c r="S225" s="365"/>
      <c r="T225" s="365"/>
      <c r="U225" s="365"/>
      <c r="V225" s="365"/>
      <c r="W225" s="365">
        <f t="shared" si="138"/>
        <v>0</v>
      </c>
      <c r="X225" s="365"/>
      <c r="Y225" s="365"/>
      <c r="Z225" s="365"/>
      <c r="AA225" s="365"/>
      <c r="AB225" s="365"/>
      <c r="AC225" s="365"/>
      <c r="AD225" s="366">
        <v>0</v>
      </c>
      <c r="AE225" s="365">
        <f t="shared" si="139"/>
        <v>0</v>
      </c>
      <c r="AF225" s="365">
        <f t="shared" si="140"/>
        <v>0</v>
      </c>
      <c r="AG225" s="365">
        <f t="shared" si="141"/>
        <v>0</v>
      </c>
      <c r="AH225" s="365">
        <f t="shared" si="142"/>
        <v>0</v>
      </c>
      <c r="AI225" s="365">
        <f t="shared" si="143"/>
        <v>0</v>
      </c>
      <c r="AJ225" s="365">
        <f t="shared" si="144"/>
        <v>0</v>
      </c>
      <c r="AK225" s="365">
        <f t="shared" si="145"/>
        <v>0</v>
      </c>
      <c r="AL225" s="365">
        <f t="shared" si="146"/>
        <v>0</v>
      </c>
      <c r="AM225" s="365">
        <f t="shared" si="147"/>
        <v>0</v>
      </c>
      <c r="AN225" s="365">
        <f t="shared" si="148"/>
        <v>0</v>
      </c>
      <c r="AO225" s="365">
        <f t="shared" si="149"/>
        <v>0</v>
      </c>
      <c r="AP225" s="365">
        <f t="shared" si="150"/>
        <v>0</v>
      </c>
      <c r="AQ225" s="365">
        <f t="shared" si="151"/>
        <v>0</v>
      </c>
      <c r="AR225" s="365">
        <f t="shared" si="152"/>
        <v>0</v>
      </c>
      <c r="AS225" s="365">
        <f t="shared" si="153"/>
        <v>0</v>
      </c>
      <c r="AT225" s="363"/>
      <c r="AU225">
        <v>160.6166</v>
      </c>
    </row>
    <row r="226" ht="24" spans="1:47">
      <c r="A226" s="284" t="s">
        <v>195</v>
      </c>
      <c r="B226" s="284" t="s">
        <v>442</v>
      </c>
      <c r="C226" s="284" t="s">
        <v>473</v>
      </c>
      <c r="D226" s="284" t="s">
        <v>444</v>
      </c>
      <c r="E226" s="365">
        <f t="shared" si="134"/>
        <v>0</v>
      </c>
      <c r="F226" s="365">
        <f t="shared" si="135"/>
        <v>0</v>
      </c>
      <c r="G226" s="365"/>
      <c r="H226" s="365"/>
      <c r="I226" s="365"/>
      <c r="J226" s="365"/>
      <c r="K226" s="365"/>
      <c r="L226" s="365">
        <f t="shared" si="136"/>
        <v>0</v>
      </c>
      <c r="M226" s="365"/>
      <c r="N226" s="365"/>
      <c r="O226" s="365"/>
      <c r="P226" s="365">
        <f t="shared" si="154"/>
        <v>0</v>
      </c>
      <c r="Q226" s="365">
        <f t="shared" si="137"/>
        <v>0</v>
      </c>
      <c r="R226" s="365"/>
      <c r="S226" s="365"/>
      <c r="T226" s="365"/>
      <c r="U226" s="365"/>
      <c r="V226" s="365"/>
      <c r="W226" s="365">
        <f t="shared" si="138"/>
        <v>0</v>
      </c>
      <c r="X226" s="365"/>
      <c r="Y226" s="365"/>
      <c r="Z226" s="365"/>
      <c r="AA226" s="365"/>
      <c r="AB226" s="365"/>
      <c r="AC226" s="365"/>
      <c r="AD226" s="366">
        <v>0</v>
      </c>
      <c r="AE226" s="365">
        <f t="shared" si="139"/>
        <v>0</v>
      </c>
      <c r="AF226" s="365">
        <f t="shared" si="140"/>
        <v>0</v>
      </c>
      <c r="AG226" s="365">
        <f t="shared" si="141"/>
        <v>0</v>
      </c>
      <c r="AH226" s="365">
        <f t="shared" si="142"/>
        <v>0</v>
      </c>
      <c r="AI226" s="365">
        <f t="shared" si="143"/>
        <v>0</v>
      </c>
      <c r="AJ226" s="365">
        <f t="shared" si="144"/>
        <v>0</v>
      </c>
      <c r="AK226" s="365">
        <f t="shared" si="145"/>
        <v>0</v>
      </c>
      <c r="AL226" s="365">
        <f t="shared" si="146"/>
        <v>0</v>
      </c>
      <c r="AM226" s="365">
        <f t="shared" si="147"/>
        <v>0</v>
      </c>
      <c r="AN226" s="365">
        <f t="shared" si="148"/>
        <v>0</v>
      </c>
      <c r="AO226" s="365">
        <f t="shared" si="149"/>
        <v>0</v>
      </c>
      <c r="AP226" s="365">
        <f t="shared" si="150"/>
        <v>0</v>
      </c>
      <c r="AQ226" s="365">
        <f t="shared" si="151"/>
        <v>0</v>
      </c>
      <c r="AR226" s="365">
        <f t="shared" si="152"/>
        <v>0</v>
      </c>
      <c r="AS226" s="365">
        <f t="shared" si="153"/>
        <v>0</v>
      </c>
      <c r="AT226" s="363"/>
      <c r="AU226">
        <v>70.8</v>
      </c>
    </row>
    <row r="227" ht="24" spans="1:47">
      <c r="A227" s="284" t="s">
        <v>195</v>
      </c>
      <c r="B227" s="284" t="s">
        <v>442</v>
      </c>
      <c r="C227" s="284" t="s">
        <v>474</v>
      </c>
      <c r="D227" s="284" t="s">
        <v>454</v>
      </c>
      <c r="E227" s="365">
        <f t="shared" si="134"/>
        <v>0</v>
      </c>
      <c r="F227" s="365">
        <f t="shared" si="135"/>
        <v>0</v>
      </c>
      <c r="G227" s="365"/>
      <c r="H227" s="365"/>
      <c r="I227" s="365"/>
      <c r="J227" s="365"/>
      <c r="K227" s="365"/>
      <c r="L227" s="365">
        <f t="shared" si="136"/>
        <v>0</v>
      </c>
      <c r="M227" s="365"/>
      <c r="N227" s="365"/>
      <c r="O227" s="365"/>
      <c r="P227" s="365">
        <f t="shared" si="154"/>
        <v>0</v>
      </c>
      <c r="Q227" s="365">
        <f t="shared" si="137"/>
        <v>0</v>
      </c>
      <c r="R227" s="365"/>
      <c r="S227" s="365"/>
      <c r="T227" s="365"/>
      <c r="U227" s="365"/>
      <c r="V227" s="365"/>
      <c r="W227" s="365">
        <f t="shared" si="138"/>
        <v>0</v>
      </c>
      <c r="X227" s="365"/>
      <c r="Y227" s="365"/>
      <c r="Z227" s="365"/>
      <c r="AA227" s="365"/>
      <c r="AB227" s="365"/>
      <c r="AC227" s="365"/>
      <c r="AD227" s="366">
        <v>0</v>
      </c>
      <c r="AE227" s="365">
        <f t="shared" si="139"/>
        <v>0</v>
      </c>
      <c r="AF227" s="365">
        <f t="shared" si="140"/>
        <v>0</v>
      </c>
      <c r="AG227" s="365">
        <f t="shared" si="141"/>
        <v>0</v>
      </c>
      <c r="AH227" s="365">
        <f t="shared" si="142"/>
        <v>0</v>
      </c>
      <c r="AI227" s="365">
        <f t="shared" si="143"/>
        <v>0</v>
      </c>
      <c r="AJ227" s="365">
        <f t="shared" si="144"/>
        <v>0</v>
      </c>
      <c r="AK227" s="365">
        <f t="shared" si="145"/>
        <v>0</v>
      </c>
      <c r="AL227" s="365">
        <f t="shared" si="146"/>
        <v>0</v>
      </c>
      <c r="AM227" s="365">
        <f t="shared" si="147"/>
        <v>0</v>
      </c>
      <c r="AN227" s="365">
        <f t="shared" si="148"/>
        <v>0</v>
      </c>
      <c r="AO227" s="365">
        <f t="shared" si="149"/>
        <v>0</v>
      </c>
      <c r="AP227" s="365">
        <f t="shared" si="150"/>
        <v>0</v>
      </c>
      <c r="AQ227" s="365">
        <f t="shared" si="151"/>
        <v>0</v>
      </c>
      <c r="AR227" s="365">
        <f t="shared" si="152"/>
        <v>0</v>
      </c>
      <c r="AS227" s="365">
        <f t="shared" si="153"/>
        <v>0</v>
      </c>
      <c r="AT227" s="363"/>
      <c r="AU227">
        <v>21.0633</v>
      </c>
    </row>
    <row r="228" ht="24" spans="1:47">
      <c r="A228" s="284" t="s">
        <v>195</v>
      </c>
      <c r="B228" s="284" t="s">
        <v>442</v>
      </c>
      <c r="C228" s="284" t="s">
        <v>475</v>
      </c>
      <c r="D228" s="284" t="s">
        <v>444</v>
      </c>
      <c r="E228" s="365">
        <f t="shared" si="134"/>
        <v>0</v>
      </c>
      <c r="F228" s="365">
        <f t="shared" si="135"/>
        <v>0</v>
      </c>
      <c r="G228" s="365"/>
      <c r="H228" s="365"/>
      <c r="I228" s="365"/>
      <c r="J228" s="365"/>
      <c r="K228" s="365"/>
      <c r="L228" s="365">
        <f t="shared" si="136"/>
        <v>0</v>
      </c>
      <c r="M228" s="365"/>
      <c r="N228" s="365"/>
      <c r="O228" s="365"/>
      <c r="P228" s="365">
        <f t="shared" si="154"/>
        <v>0</v>
      </c>
      <c r="Q228" s="365">
        <f t="shared" si="137"/>
        <v>0</v>
      </c>
      <c r="R228" s="365"/>
      <c r="S228" s="365"/>
      <c r="T228" s="365"/>
      <c r="U228" s="365"/>
      <c r="V228" s="365"/>
      <c r="W228" s="365">
        <f t="shared" si="138"/>
        <v>0</v>
      </c>
      <c r="X228" s="365"/>
      <c r="Y228" s="365"/>
      <c r="Z228" s="365"/>
      <c r="AA228" s="365"/>
      <c r="AB228" s="365"/>
      <c r="AC228" s="365"/>
      <c r="AD228" s="366">
        <v>0</v>
      </c>
      <c r="AE228" s="365">
        <f t="shared" si="139"/>
        <v>0</v>
      </c>
      <c r="AF228" s="365">
        <f t="shared" si="140"/>
        <v>0</v>
      </c>
      <c r="AG228" s="365">
        <f t="shared" si="141"/>
        <v>0</v>
      </c>
      <c r="AH228" s="365">
        <f t="shared" si="142"/>
        <v>0</v>
      </c>
      <c r="AI228" s="365">
        <f t="shared" si="143"/>
        <v>0</v>
      </c>
      <c r="AJ228" s="365">
        <f t="shared" si="144"/>
        <v>0</v>
      </c>
      <c r="AK228" s="365">
        <f t="shared" si="145"/>
        <v>0</v>
      </c>
      <c r="AL228" s="365">
        <f t="shared" si="146"/>
        <v>0</v>
      </c>
      <c r="AM228" s="365">
        <f t="shared" si="147"/>
        <v>0</v>
      </c>
      <c r="AN228" s="365">
        <f t="shared" si="148"/>
        <v>0</v>
      </c>
      <c r="AO228" s="365">
        <f t="shared" si="149"/>
        <v>0</v>
      </c>
      <c r="AP228" s="365">
        <f t="shared" si="150"/>
        <v>0</v>
      </c>
      <c r="AQ228" s="365">
        <f t="shared" si="151"/>
        <v>0</v>
      </c>
      <c r="AR228" s="365">
        <f t="shared" si="152"/>
        <v>0</v>
      </c>
      <c r="AS228" s="365">
        <f t="shared" si="153"/>
        <v>0</v>
      </c>
      <c r="AT228" s="363"/>
      <c r="AU228">
        <v>38.6566</v>
      </c>
    </row>
    <row r="229" ht="24" spans="1:47">
      <c r="A229" s="284" t="s">
        <v>195</v>
      </c>
      <c r="B229" s="284" t="s">
        <v>442</v>
      </c>
      <c r="C229" s="284" t="s">
        <v>476</v>
      </c>
      <c r="D229" s="284" t="s">
        <v>454</v>
      </c>
      <c r="E229" s="365">
        <f t="shared" si="134"/>
        <v>0</v>
      </c>
      <c r="F229" s="365">
        <f t="shared" si="135"/>
        <v>0</v>
      </c>
      <c r="G229" s="365"/>
      <c r="H229" s="365"/>
      <c r="I229" s="365"/>
      <c r="J229" s="365"/>
      <c r="K229" s="365"/>
      <c r="L229" s="365">
        <f t="shared" si="136"/>
        <v>0</v>
      </c>
      <c r="M229" s="365"/>
      <c r="N229" s="365"/>
      <c r="O229" s="365"/>
      <c r="P229" s="365">
        <f t="shared" si="154"/>
        <v>0</v>
      </c>
      <c r="Q229" s="365">
        <f t="shared" si="137"/>
        <v>0</v>
      </c>
      <c r="R229" s="365"/>
      <c r="S229" s="365"/>
      <c r="T229" s="365"/>
      <c r="U229" s="365"/>
      <c r="V229" s="365"/>
      <c r="W229" s="365">
        <f t="shared" si="138"/>
        <v>0</v>
      </c>
      <c r="X229" s="365"/>
      <c r="Y229" s="365"/>
      <c r="Z229" s="365"/>
      <c r="AA229" s="365"/>
      <c r="AB229" s="365"/>
      <c r="AC229" s="365"/>
      <c r="AD229" s="366">
        <v>0</v>
      </c>
      <c r="AE229" s="365">
        <f t="shared" si="139"/>
        <v>0</v>
      </c>
      <c r="AF229" s="365">
        <f t="shared" si="140"/>
        <v>0</v>
      </c>
      <c r="AG229" s="365">
        <f t="shared" si="141"/>
        <v>0</v>
      </c>
      <c r="AH229" s="365">
        <f t="shared" si="142"/>
        <v>0</v>
      </c>
      <c r="AI229" s="365">
        <f t="shared" si="143"/>
        <v>0</v>
      </c>
      <c r="AJ229" s="365">
        <f t="shared" si="144"/>
        <v>0</v>
      </c>
      <c r="AK229" s="365">
        <f t="shared" si="145"/>
        <v>0</v>
      </c>
      <c r="AL229" s="365">
        <f t="shared" si="146"/>
        <v>0</v>
      </c>
      <c r="AM229" s="365">
        <f t="shared" si="147"/>
        <v>0</v>
      </c>
      <c r="AN229" s="365">
        <f t="shared" si="148"/>
        <v>0</v>
      </c>
      <c r="AO229" s="365">
        <f t="shared" si="149"/>
        <v>0</v>
      </c>
      <c r="AP229" s="365">
        <f t="shared" si="150"/>
        <v>0</v>
      </c>
      <c r="AQ229" s="365">
        <f t="shared" si="151"/>
        <v>0</v>
      </c>
      <c r="AR229" s="365">
        <f t="shared" si="152"/>
        <v>0</v>
      </c>
      <c r="AS229" s="365">
        <f t="shared" si="153"/>
        <v>0</v>
      </c>
      <c r="AT229" s="363"/>
      <c r="AU229">
        <v>28.6666</v>
      </c>
    </row>
    <row r="230" ht="24" spans="1:47">
      <c r="A230" s="284" t="s">
        <v>195</v>
      </c>
      <c r="B230" s="284" t="s">
        <v>442</v>
      </c>
      <c r="C230" s="284" t="s">
        <v>477</v>
      </c>
      <c r="D230" s="284" t="s">
        <v>444</v>
      </c>
      <c r="E230" s="365">
        <f t="shared" si="134"/>
        <v>0</v>
      </c>
      <c r="F230" s="365">
        <f t="shared" si="135"/>
        <v>0</v>
      </c>
      <c r="G230" s="365"/>
      <c r="H230" s="365"/>
      <c r="I230" s="365"/>
      <c r="J230" s="365"/>
      <c r="K230" s="365"/>
      <c r="L230" s="365">
        <f t="shared" si="136"/>
        <v>0</v>
      </c>
      <c r="M230" s="365"/>
      <c r="N230" s="365"/>
      <c r="O230" s="365"/>
      <c r="P230" s="365">
        <f t="shared" si="154"/>
        <v>0</v>
      </c>
      <c r="Q230" s="365">
        <f t="shared" si="137"/>
        <v>0</v>
      </c>
      <c r="R230" s="365"/>
      <c r="S230" s="365"/>
      <c r="T230" s="365"/>
      <c r="U230" s="365"/>
      <c r="V230" s="365"/>
      <c r="W230" s="365">
        <f t="shared" si="138"/>
        <v>0</v>
      </c>
      <c r="X230" s="365"/>
      <c r="Y230" s="365"/>
      <c r="Z230" s="365"/>
      <c r="AA230" s="365"/>
      <c r="AB230" s="365"/>
      <c r="AC230" s="365"/>
      <c r="AD230" s="366">
        <v>0</v>
      </c>
      <c r="AE230" s="365">
        <f t="shared" si="139"/>
        <v>0</v>
      </c>
      <c r="AF230" s="365">
        <f t="shared" si="140"/>
        <v>0</v>
      </c>
      <c r="AG230" s="365">
        <f t="shared" si="141"/>
        <v>0</v>
      </c>
      <c r="AH230" s="365">
        <f t="shared" si="142"/>
        <v>0</v>
      </c>
      <c r="AI230" s="365">
        <f t="shared" si="143"/>
        <v>0</v>
      </c>
      <c r="AJ230" s="365">
        <f t="shared" si="144"/>
        <v>0</v>
      </c>
      <c r="AK230" s="365">
        <f t="shared" si="145"/>
        <v>0</v>
      </c>
      <c r="AL230" s="365">
        <f t="shared" si="146"/>
        <v>0</v>
      </c>
      <c r="AM230" s="365">
        <f t="shared" si="147"/>
        <v>0</v>
      </c>
      <c r="AN230" s="365">
        <f t="shared" si="148"/>
        <v>0</v>
      </c>
      <c r="AO230" s="365">
        <f t="shared" si="149"/>
        <v>0</v>
      </c>
      <c r="AP230" s="365">
        <f t="shared" si="150"/>
        <v>0</v>
      </c>
      <c r="AQ230" s="365">
        <f t="shared" si="151"/>
        <v>0</v>
      </c>
      <c r="AR230" s="365">
        <f t="shared" si="152"/>
        <v>0</v>
      </c>
      <c r="AS230" s="365">
        <f t="shared" si="153"/>
        <v>0</v>
      </c>
      <c r="AT230" s="363"/>
      <c r="AU230">
        <v>56.9962</v>
      </c>
    </row>
    <row r="231" ht="24" spans="1:47">
      <c r="A231" s="284" t="s">
        <v>195</v>
      </c>
      <c r="B231" s="284" t="s">
        <v>438</v>
      </c>
      <c r="C231" s="284" t="s">
        <v>478</v>
      </c>
      <c r="D231" s="284" t="s">
        <v>479</v>
      </c>
      <c r="E231" s="365">
        <f t="shared" si="134"/>
        <v>0</v>
      </c>
      <c r="F231" s="365">
        <f t="shared" si="135"/>
        <v>0</v>
      </c>
      <c r="G231" s="365"/>
      <c r="H231" s="365"/>
      <c r="I231" s="365"/>
      <c r="J231" s="365"/>
      <c r="K231" s="365"/>
      <c r="L231" s="365">
        <f t="shared" si="136"/>
        <v>0</v>
      </c>
      <c r="M231" s="365"/>
      <c r="N231" s="365"/>
      <c r="O231" s="365"/>
      <c r="P231" s="365">
        <f t="shared" si="154"/>
        <v>0</v>
      </c>
      <c r="Q231" s="365">
        <f t="shared" si="137"/>
        <v>0</v>
      </c>
      <c r="R231" s="365"/>
      <c r="S231" s="365"/>
      <c r="T231" s="365"/>
      <c r="U231" s="365"/>
      <c r="V231" s="365"/>
      <c r="W231" s="365">
        <f t="shared" si="138"/>
        <v>0</v>
      </c>
      <c r="X231" s="365"/>
      <c r="Y231" s="365"/>
      <c r="Z231" s="365"/>
      <c r="AA231" s="365"/>
      <c r="AB231" s="365"/>
      <c r="AC231" s="365"/>
      <c r="AD231" s="366">
        <v>0</v>
      </c>
      <c r="AE231" s="365">
        <f t="shared" si="139"/>
        <v>0</v>
      </c>
      <c r="AF231" s="365">
        <f t="shared" si="140"/>
        <v>0</v>
      </c>
      <c r="AG231" s="365">
        <f t="shared" si="141"/>
        <v>0</v>
      </c>
      <c r="AH231" s="365">
        <f t="shared" si="142"/>
        <v>0</v>
      </c>
      <c r="AI231" s="365">
        <f t="shared" si="143"/>
        <v>0</v>
      </c>
      <c r="AJ231" s="365">
        <f t="shared" si="144"/>
        <v>0</v>
      </c>
      <c r="AK231" s="365">
        <f t="shared" si="145"/>
        <v>0</v>
      </c>
      <c r="AL231" s="365">
        <f t="shared" si="146"/>
        <v>0</v>
      </c>
      <c r="AM231" s="365">
        <f t="shared" si="147"/>
        <v>0</v>
      </c>
      <c r="AN231" s="365">
        <f t="shared" si="148"/>
        <v>0</v>
      </c>
      <c r="AO231" s="365">
        <f t="shared" si="149"/>
        <v>0</v>
      </c>
      <c r="AP231" s="365">
        <f t="shared" si="150"/>
        <v>0</v>
      </c>
      <c r="AQ231" s="365">
        <f t="shared" si="151"/>
        <v>0</v>
      </c>
      <c r="AR231" s="365">
        <f t="shared" si="152"/>
        <v>0</v>
      </c>
      <c r="AS231" s="365">
        <f t="shared" si="153"/>
        <v>0</v>
      </c>
      <c r="AT231" s="363"/>
      <c r="AU231">
        <v>38.7766</v>
      </c>
    </row>
    <row r="232" ht="24" spans="1:47">
      <c r="A232" s="284" t="s">
        <v>195</v>
      </c>
      <c r="B232" s="284" t="s">
        <v>442</v>
      </c>
      <c r="C232" s="284" t="s">
        <v>480</v>
      </c>
      <c r="D232" s="284" t="s">
        <v>454</v>
      </c>
      <c r="E232" s="365">
        <f t="shared" si="134"/>
        <v>0</v>
      </c>
      <c r="F232" s="365">
        <f t="shared" si="135"/>
        <v>0</v>
      </c>
      <c r="G232" s="365"/>
      <c r="H232" s="365"/>
      <c r="I232" s="365"/>
      <c r="J232" s="365"/>
      <c r="K232" s="365"/>
      <c r="L232" s="365">
        <f t="shared" si="136"/>
        <v>0</v>
      </c>
      <c r="M232" s="365"/>
      <c r="N232" s="365"/>
      <c r="O232" s="365"/>
      <c r="P232" s="365">
        <f t="shared" si="154"/>
        <v>0</v>
      </c>
      <c r="Q232" s="365">
        <f t="shared" si="137"/>
        <v>0</v>
      </c>
      <c r="R232" s="365"/>
      <c r="S232" s="365"/>
      <c r="T232" s="365"/>
      <c r="U232" s="365"/>
      <c r="V232" s="365"/>
      <c r="W232" s="365">
        <f t="shared" si="138"/>
        <v>0</v>
      </c>
      <c r="X232" s="365"/>
      <c r="Y232" s="365"/>
      <c r="Z232" s="365"/>
      <c r="AA232" s="365"/>
      <c r="AB232" s="365"/>
      <c r="AC232" s="365"/>
      <c r="AD232" s="366">
        <v>0</v>
      </c>
      <c r="AE232" s="365">
        <f t="shared" si="139"/>
        <v>0</v>
      </c>
      <c r="AF232" s="365">
        <f t="shared" si="140"/>
        <v>0</v>
      </c>
      <c r="AG232" s="365">
        <f t="shared" si="141"/>
        <v>0</v>
      </c>
      <c r="AH232" s="365">
        <f t="shared" si="142"/>
        <v>0</v>
      </c>
      <c r="AI232" s="365">
        <f t="shared" si="143"/>
        <v>0</v>
      </c>
      <c r="AJ232" s="365">
        <f t="shared" si="144"/>
        <v>0</v>
      </c>
      <c r="AK232" s="365">
        <f t="shared" si="145"/>
        <v>0</v>
      </c>
      <c r="AL232" s="365">
        <f t="shared" si="146"/>
        <v>0</v>
      </c>
      <c r="AM232" s="365">
        <f t="shared" si="147"/>
        <v>0</v>
      </c>
      <c r="AN232" s="365">
        <f t="shared" si="148"/>
        <v>0</v>
      </c>
      <c r="AO232" s="365">
        <f t="shared" si="149"/>
        <v>0</v>
      </c>
      <c r="AP232" s="365">
        <f t="shared" si="150"/>
        <v>0</v>
      </c>
      <c r="AQ232" s="365">
        <f t="shared" si="151"/>
        <v>0</v>
      </c>
      <c r="AR232" s="365">
        <f t="shared" si="152"/>
        <v>0</v>
      </c>
      <c r="AS232" s="365">
        <f t="shared" si="153"/>
        <v>0</v>
      </c>
      <c r="AT232" s="363"/>
      <c r="AU232">
        <v>92.285</v>
      </c>
    </row>
    <row r="233" ht="24" spans="1:47">
      <c r="A233" s="284" t="s">
        <v>195</v>
      </c>
      <c r="B233" s="284" t="s">
        <v>442</v>
      </c>
      <c r="C233" s="284" t="s">
        <v>481</v>
      </c>
      <c r="D233" s="284" t="s">
        <v>444</v>
      </c>
      <c r="E233" s="365">
        <f t="shared" si="134"/>
        <v>0</v>
      </c>
      <c r="F233" s="365">
        <f t="shared" si="135"/>
        <v>0</v>
      </c>
      <c r="G233" s="365"/>
      <c r="H233" s="365"/>
      <c r="I233" s="365"/>
      <c r="J233" s="365"/>
      <c r="K233" s="365"/>
      <c r="L233" s="365">
        <f t="shared" si="136"/>
        <v>0</v>
      </c>
      <c r="M233" s="365"/>
      <c r="N233" s="365"/>
      <c r="O233" s="365"/>
      <c r="P233" s="365">
        <f t="shared" si="154"/>
        <v>0</v>
      </c>
      <c r="Q233" s="365">
        <f t="shared" si="137"/>
        <v>0</v>
      </c>
      <c r="R233" s="365"/>
      <c r="S233" s="365"/>
      <c r="T233" s="365"/>
      <c r="U233" s="365"/>
      <c r="V233" s="365"/>
      <c r="W233" s="365">
        <f t="shared" si="138"/>
        <v>0</v>
      </c>
      <c r="X233" s="365"/>
      <c r="Y233" s="365"/>
      <c r="Z233" s="365"/>
      <c r="AA233" s="365"/>
      <c r="AB233" s="365"/>
      <c r="AC233" s="365"/>
      <c r="AD233" s="366">
        <v>0</v>
      </c>
      <c r="AE233" s="365">
        <f t="shared" si="139"/>
        <v>0</v>
      </c>
      <c r="AF233" s="365">
        <f t="shared" si="140"/>
        <v>0</v>
      </c>
      <c r="AG233" s="365">
        <f t="shared" si="141"/>
        <v>0</v>
      </c>
      <c r="AH233" s="365">
        <f t="shared" si="142"/>
        <v>0</v>
      </c>
      <c r="AI233" s="365">
        <f t="shared" si="143"/>
        <v>0</v>
      </c>
      <c r="AJ233" s="365">
        <f t="shared" si="144"/>
        <v>0</v>
      </c>
      <c r="AK233" s="365">
        <f t="shared" si="145"/>
        <v>0</v>
      </c>
      <c r="AL233" s="365">
        <f t="shared" si="146"/>
        <v>0</v>
      </c>
      <c r="AM233" s="365">
        <f t="shared" si="147"/>
        <v>0</v>
      </c>
      <c r="AN233" s="365">
        <f t="shared" si="148"/>
        <v>0</v>
      </c>
      <c r="AO233" s="365">
        <f t="shared" si="149"/>
        <v>0</v>
      </c>
      <c r="AP233" s="365">
        <f t="shared" si="150"/>
        <v>0</v>
      </c>
      <c r="AQ233" s="365">
        <f t="shared" si="151"/>
        <v>0</v>
      </c>
      <c r="AR233" s="365">
        <f t="shared" si="152"/>
        <v>0</v>
      </c>
      <c r="AS233" s="365">
        <f t="shared" si="153"/>
        <v>0</v>
      </c>
      <c r="AT233" s="363"/>
      <c r="AU233">
        <v>32.4481</v>
      </c>
    </row>
    <row r="234" ht="24" spans="1:47">
      <c r="A234" s="284" t="s">
        <v>195</v>
      </c>
      <c r="B234" s="284" t="s">
        <v>442</v>
      </c>
      <c r="C234" s="284" t="s">
        <v>482</v>
      </c>
      <c r="D234" s="284" t="s">
        <v>444</v>
      </c>
      <c r="E234" s="365">
        <f t="shared" si="134"/>
        <v>0</v>
      </c>
      <c r="F234" s="365">
        <f t="shared" si="135"/>
        <v>0</v>
      </c>
      <c r="G234" s="365"/>
      <c r="H234" s="365"/>
      <c r="I234" s="365"/>
      <c r="J234" s="365"/>
      <c r="K234" s="365"/>
      <c r="L234" s="365">
        <f t="shared" si="136"/>
        <v>0</v>
      </c>
      <c r="M234" s="365"/>
      <c r="N234" s="365"/>
      <c r="O234" s="365"/>
      <c r="P234" s="365">
        <f t="shared" si="154"/>
        <v>0</v>
      </c>
      <c r="Q234" s="365">
        <f t="shared" si="137"/>
        <v>0</v>
      </c>
      <c r="R234" s="365"/>
      <c r="S234" s="365"/>
      <c r="T234" s="365"/>
      <c r="U234" s="365"/>
      <c r="V234" s="365"/>
      <c r="W234" s="365">
        <f t="shared" si="138"/>
        <v>0</v>
      </c>
      <c r="X234" s="365"/>
      <c r="Y234" s="365"/>
      <c r="Z234" s="365"/>
      <c r="AA234" s="365"/>
      <c r="AB234" s="365"/>
      <c r="AC234" s="365"/>
      <c r="AD234" s="366">
        <v>0</v>
      </c>
      <c r="AE234" s="365">
        <f t="shared" si="139"/>
        <v>0</v>
      </c>
      <c r="AF234" s="365">
        <f t="shared" si="140"/>
        <v>0</v>
      </c>
      <c r="AG234" s="365">
        <f t="shared" si="141"/>
        <v>0</v>
      </c>
      <c r="AH234" s="365">
        <f t="shared" si="142"/>
        <v>0</v>
      </c>
      <c r="AI234" s="365">
        <f t="shared" si="143"/>
        <v>0</v>
      </c>
      <c r="AJ234" s="365">
        <f t="shared" si="144"/>
        <v>0</v>
      </c>
      <c r="AK234" s="365">
        <f t="shared" si="145"/>
        <v>0</v>
      </c>
      <c r="AL234" s="365">
        <f t="shared" si="146"/>
        <v>0</v>
      </c>
      <c r="AM234" s="365">
        <f t="shared" si="147"/>
        <v>0</v>
      </c>
      <c r="AN234" s="365">
        <f t="shared" si="148"/>
        <v>0</v>
      </c>
      <c r="AO234" s="365">
        <f t="shared" si="149"/>
        <v>0</v>
      </c>
      <c r="AP234" s="365">
        <f t="shared" si="150"/>
        <v>0</v>
      </c>
      <c r="AQ234" s="365">
        <f t="shared" si="151"/>
        <v>0</v>
      </c>
      <c r="AR234" s="365">
        <f t="shared" si="152"/>
        <v>0</v>
      </c>
      <c r="AS234" s="365">
        <f t="shared" si="153"/>
        <v>0</v>
      </c>
      <c r="AT234" s="363"/>
      <c r="AU234">
        <v>41.3549</v>
      </c>
    </row>
    <row r="235" ht="24" spans="1:47">
      <c r="A235" s="284" t="s">
        <v>195</v>
      </c>
      <c r="B235" s="284" t="s">
        <v>442</v>
      </c>
      <c r="C235" s="284" t="s">
        <v>483</v>
      </c>
      <c r="D235" s="284" t="s">
        <v>454</v>
      </c>
      <c r="E235" s="365">
        <f t="shared" si="134"/>
        <v>0</v>
      </c>
      <c r="F235" s="365">
        <f t="shared" si="135"/>
        <v>0</v>
      </c>
      <c r="G235" s="365"/>
      <c r="H235" s="365"/>
      <c r="I235" s="365"/>
      <c r="J235" s="365"/>
      <c r="K235" s="365"/>
      <c r="L235" s="365">
        <f t="shared" si="136"/>
        <v>0</v>
      </c>
      <c r="M235" s="365"/>
      <c r="N235" s="365"/>
      <c r="O235" s="365"/>
      <c r="P235" s="365">
        <f t="shared" si="154"/>
        <v>0</v>
      </c>
      <c r="Q235" s="365">
        <f t="shared" si="137"/>
        <v>0</v>
      </c>
      <c r="R235" s="365"/>
      <c r="S235" s="365"/>
      <c r="T235" s="365"/>
      <c r="U235" s="365"/>
      <c r="V235" s="365"/>
      <c r="W235" s="365">
        <f t="shared" si="138"/>
        <v>0</v>
      </c>
      <c r="X235" s="365"/>
      <c r="Y235" s="365"/>
      <c r="Z235" s="365"/>
      <c r="AA235" s="365"/>
      <c r="AB235" s="365"/>
      <c r="AC235" s="365"/>
      <c r="AD235" s="366">
        <v>0</v>
      </c>
      <c r="AE235" s="365">
        <f t="shared" si="139"/>
        <v>0</v>
      </c>
      <c r="AF235" s="365">
        <f t="shared" si="140"/>
        <v>0</v>
      </c>
      <c r="AG235" s="365">
        <f t="shared" si="141"/>
        <v>0</v>
      </c>
      <c r="AH235" s="365">
        <f t="shared" si="142"/>
        <v>0</v>
      </c>
      <c r="AI235" s="365">
        <f t="shared" si="143"/>
        <v>0</v>
      </c>
      <c r="AJ235" s="365">
        <f t="shared" si="144"/>
        <v>0</v>
      </c>
      <c r="AK235" s="365">
        <f t="shared" si="145"/>
        <v>0</v>
      </c>
      <c r="AL235" s="365">
        <f t="shared" si="146"/>
        <v>0</v>
      </c>
      <c r="AM235" s="365">
        <f t="shared" si="147"/>
        <v>0</v>
      </c>
      <c r="AN235" s="365">
        <f t="shared" si="148"/>
        <v>0</v>
      </c>
      <c r="AO235" s="365">
        <f t="shared" si="149"/>
        <v>0</v>
      </c>
      <c r="AP235" s="365">
        <f t="shared" si="150"/>
        <v>0</v>
      </c>
      <c r="AQ235" s="365">
        <f t="shared" si="151"/>
        <v>0</v>
      </c>
      <c r="AR235" s="365">
        <f t="shared" si="152"/>
        <v>0</v>
      </c>
      <c r="AS235" s="365">
        <f t="shared" si="153"/>
        <v>0</v>
      </c>
      <c r="AT235" s="363"/>
      <c r="AU235">
        <v>18.265</v>
      </c>
    </row>
    <row r="236" ht="24" spans="1:47">
      <c r="A236" s="284" t="s">
        <v>195</v>
      </c>
      <c r="B236" s="284" t="s">
        <v>442</v>
      </c>
      <c r="C236" s="284" t="s">
        <v>790</v>
      </c>
      <c r="D236" s="284" t="s">
        <v>454</v>
      </c>
      <c r="E236" s="365">
        <f t="shared" si="134"/>
        <v>0</v>
      </c>
      <c r="F236" s="365">
        <f t="shared" si="135"/>
        <v>0</v>
      </c>
      <c r="G236" s="365"/>
      <c r="H236" s="365"/>
      <c r="I236" s="365"/>
      <c r="J236" s="365"/>
      <c r="K236" s="365"/>
      <c r="L236" s="365">
        <f t="shared" si="136"/>
        <v>0</v>
      </c>
      <c r="M236" s="365"/>
      <c r="N236" s="365"/>
      <c r="O236" s="365"/>
      <c r="P236" s="365">
        <f t="shared" si="154"/>
        <v>0</v>
      </c>
      <c r="Q236" s="365">
        <f t="shared" si="137"/>
        <v>0</v>
      </c>
      <c r="R236" s="365"/>
      <c r="S236" s="365"/>
      <c r="T236" s="365"/>
      <c r="U236" s="365"/>
      <c r="V236" s="365"/>
      <c r="W236" s="365">
        <f t="shared" si="138"/>
        <v>0</v>
      </c>
      <c r="X236" s="365"/>
      <c r="Y236" s="365"/>
      <c r="Z236" s="365"/>
      <c r="AA236" s="365"/>
      <c r="AB236" s="365"/>
      <c r="AC236" s="365"/>
      <c r="AD236" s="366">
        <v>0</v>
      </c>
      <c r="AE236" s="365">
        <f t="shared" si="139"/>
        <v>0</v>
      </c>
      <c r="AF236" s="365">
        <f t="shared" si="140"/>
        <v>0</v>
      </c>
      <c r="AG236" s="365">
        <f t="shared" si="141"/>
        <v>0</v>
      </c>
      <c r="AH236" s="365">
        <f t="shared" si="142"/>
        <v>0</v>
      </c>
      <c r="AI236" s="365">
        <f t="shared" si="143"/>
        <v>0</v>
      </c>
      <c r="AJ236" s="365">
        <f t="shared" si="144"/>
        <v>0</v>
      </c>
      <c r="AK236" s="365">
        <f t="shared" si="145"/>
        <v>0</v>
      </c>
      <c r="AL236" s="365">
        <f t="shared" si="146"/>
        <v>0</v>
      </c>
      <c r="AM236" s="365">
        <f t="shared" si="147"/>
        <v>0</v>
      </c>
      <c r="AN236" s="365">
        <f t="shared" si="148"/>
        <v>0</v>
      </c>
      <c r="AO236" s="365">
        <f t="shared" si="149"/>
        <v>0</v>
      </c>
      <c r="AP236" s="365">
        <f t="shared" si="150"/>
        <v>0</v>
      </c>
      <c r="AQ236" s="365">
        <f t="shared" si="151"/>
        <v>0</v>
      </c>
      <c r="AR236" s="365">
        <f t="shared" si="152"/>
        <v>0</v>
      </c>
      <c r="AS236" s="365">
        <f t="shared" si="153"/>
        <v>0</v>
      </c>
      <c r="AT236" s="363"/>
      <c r="AU236">
        <v>31.2834</v>
      </c>
    </row>
    <row r="237" ht="24" spans="1:47">
      <c r="A237" s="284" t="s">
        <v>195</v>
      </c>
      <c r="B237" s="284" t="s">
        <v>442</v>
      </c>
      <c r="C237" s="284" t="s">
        <v>485</v>
      </c>
      <c r="D237" s="284" t="s">
        <v>444</v>
      </c>
      <c r="E237" s="365">
        <f t="shared" si="134"/>
        <v>0</v>
      </c>
      <c r="F237" s="365">
        <f t="shared" si="135"/>
        <v>0</v>
      </c>
      <c r="G237" s="365"/>
      <c r="H237" s="365"/>
      <c r="I237" s="365"/>
      <c r="J237" s="365"/>
      <c r="K237" s="365"/>
      <c r="L237" s="365">
        <f t="shared" si="136"/>
        <v>0</v>
      </c>
      <c r="M237" s="365"/>
      <c r="N237" s="365"/>
      <c r="O237" s="365"/>
      <c r="P237" s="365">
        <f t="shared" si="154"/>
        <v>0</v>
      </c>
      <c r="Q237" s="365">
        <f t="shared" si="137"/>
        <v>0</v>
      </c>
      <c r="R237" s="365"/>
      <c r="S237" s="365"/>
      <c r="T237" s="365"/>
      <c r="U237" s="365"/>
      <c r="V237" s="365"/>
      <c r="W237" s="365">
        <f t="shared" si="138"/>
        <v>0</v>
      </c>
      <c r="X237" s="365"/>
      <c r="Y237" s="365"/>
      <c r="Z237" s="365"/>
      <c r="AA237" s="365"/>
      <c r="AB237" s="365"/>
      <c r="AC237" s="365"/>
      <c r="AD237" s="366">
        <v>0</v>
      </c>
      <c r="AE237" s="365">
        <f t="shared" si="139"/>
        <v>0</v>
      </c>
      <c r="AF237" s="365">
        <f t="shared" si="140"/>
        <v>0</v>
      </c>
      <c r="AG237" s="365">
        <f t="shared" si="141"/>
        <v>0</v>
      </c>
      <c r="AH237" s="365">
        <f t="shared" si="142"/>
        <v>0</v>
      </c>
      <c r="AI237" s="365">
        <f t="shared" si="143"/>
        <v>0</v>
      </c>
      <c r="AJ237" s="365">
        <f t="shared" si="144"/>
        <v>0</v>
      </c>
      <c r="AK237" s="365">
        <f t="shared" si="145"/>
        <v>0</v>
      </c>
      <c r="AL237" s="365">
        <f t="shared" si="146"/>
        <v>0</v>
      </c>
      <c r="AM237" s="365">
        <f t="shared" si="147"/>
        <v>0</v>
      </c>
      <c r="AN237" s="365">
        <f t="shared" si="148"/>
        <v>0</v>
      </c>
      <c r="AO237" s="365">
        <f t="shared" si="149"/>
        <v>0</v>
      </c>
      <c r="AP237" s="365">
        <f t="shared" si="150"/>
        <v>0</v>
      </c>
      <c r="AQ237" s="365">
        <f t="shared" si="151"/>
        <v>0</v>
      </c>
      <c r="AR237" s="365">
        <f t="shared" si="152"/>
        <v>0</v>
      </c>
      <c r="AS237" s="365">
        <f t="shared" si="153"/>
        <v>0</v>
      </c>
      <c r="AT237" s="363"/>
      <c r="AU237">
        <v>48.3683</v>
      </c>
    </row>
    <row r="238" ht="24" spans="1:47">
      <c r="A238" s="284" t="s">
        <v>195</v>
      </c>
      <c r="B238" s="284" t="s">
        <v>442</v>
      </c>
      <c r="C238" s="284" t="s">
        <v>486</v>
      </c>
      <c r="D238" s="284" t="s">
        <v>454</v>
      </c>
      <c r="E238" s="365">
        <f t="shared" si="134"/>
        <v>0</v>
      </c>
      <c r="F238" s="365">
        <f t="shared" si="135"/>
        <v>0</v>
      </c>
      <c r="G238" s="365"/>
      <c r="H238" s="365"/>
      <c r="I238" s="365"/>
      <c r="J238" s="365"/>
      <c r="K238" s="365"/>
      <c r="L238" s="365">
        <f t="shared" si="136"/>
        <v>0</v>
      </c>
      <c r="M238" s="365"/>
      <c r="N238" s="365"/>
      <c r="O238" s="365"/>
      <c r="P238" s="365">
        <f t="shared" si="154"/>
        <v>0</v>
      </c>
      <c r="Q238" s="365">
        <f t="shared" si="137"/>
        <v>0</v>
      </c>
      <c r="R238" s="365"/>
      <c r="S238" s="365"/>
      <c r="T238" s="365"/>
      <c r="U238" s="365"/>
      <c r="V238" s="365"/>
      <c r="W238" s="365">
        <f t="shared" si="138"/>
        <v>0</v>
      </c>
      <c r="X238" s="365"/>
      <c r="Y238" s="365"/>
      <c r="Z238" s="365"/>
      <c r="AA238" s="365"/>
      <c r="AB238" s="365"/>
      <c r="AC238" s="365"/>
      <c r="AD238" s="366">
        <v>0</v>
      </c>
      <c r="AE238" s="365">
        <f t="shared" si="139"/>
        <v>0</v>
      </c>
      <c r="AF238" s="365">
        <f t="shared" si="140"/>
        <v>0</v>
      </c>
      <c r="AG238" s="365">
        <f t="shared" si="141"/>
        <v>0</v>
      </c>
      <c r="AH238" s="365">
        <f t="shared" si="142"/>
        <v>0</v>
      </c>
      <c r="AI238" s="365">
        <f t="shared" si="143"/>
        <v>0</v>
      </c>
      <c r="AJ238" s="365">
        <f t="shared" si="144"/>
        <v>0</v>
      </c>
      <c r="AK238" s="365">
        <f t="shared" si="145"/>
        <v>0</v>
      </c>
      <c r="AL238" s="365">
        <f t="shared" si="146"/>
        <v>0</v>
      </c>
      <c r="AM238" s="365">
        <f t="shared" si="147"/>
        <v>0</v>
      </c>
      <c r="AN238" s="365">
        <f t="shared" si="148"/>
        <v>0</v>
      </c>
      <c r="AO238" s="365">
        <f t="shared" si="149"/>
        <v>0</v>
      </c>
      <c r="AP238" s="365">
        <f t="shared" si="150"/>
        <v>0</v>
      </c>
      <c r="AQ238" s="365">
        <f t="shared" si="151"/>
        <v>0</v>
      </c>
      <c r="AR238" s="365">
        <f t="shared" si="152"/>
        <v>0</v>
      </c>
      <c r="AS238" s="365">
        <f t="shared" si="153"/>
        <v>0</v>
      </c>
      <c r="AT238" s="363"/>
      <c r="AU238">
        <v>19.4</v>
      </c>
    </row>
    <row r="239" ht="24" spans="1:47">
      <c r="A239" s="284" t="s">
        <v>195</v>
      </c>
      <c r="B239" s="284" t="s">
        <v>442</v>
      </c>
      <c r="C239" s="284" t="s">
        <v>487</v>
      </c>
      <c r="D239" s="284" t="s">
        <v>444</v>
      </c>
      <c r="E239" s="365">
        <f t="shared" si="134"/>
        <v>0</v>
      </c>
      <c r="F239" s="365">
        <f t="shared" si="135"/>
        <v>0</v>
      </c>
      <c r="G239" s="365"/>
      <c r="H239" s="365"/>
      <c r="I239" s="365"/>
      <c r="J239" s="365"/>
      <c r="K239" s="365"/>
      <c r="L239" s="365">
        <f t="shared" si="136"/>
        <v>0</v>
      </c>
      <c r="M239" s="365"/>
      <c r="N239" s="365"/>
      <c r="O239" s="365"/>
      <c r="P239" s="365">
        <f t="shared" si="154"/>
        <v>0</v>
      </c>
      <c r="Q239" s="365">
        <f t="shared" si="137"/>
        <v>0</v>
      </c>
      <c r="R239" s="365"/>
      <c r="S239" s="365"/>
      <c r="T239" s="365"/>
      <c r="U239" s="365"/>
      <c r="V239" s="365"/>
      <c r="W239" s="365">
        <f t="shared" si="138"/>
        <v>0</v>
      </c>
      <c r="X239" s="365"/>
      <c r="Y239" s="365"/>
      <c r="Z239" s="365"/>
      <c r="AA239" s="365"/>
      <c r="AB239" s="365"/>
      <c r="AC239" s="365"/>
      <c r="AD239" s="366">
        <v>0</v>
      </c>
      <c r="AE239" s="365">
        <f t="shared" si="139"/>
        <v>0</v>
      </c>
      <c r="AF239" s="365">
        <f t="shared" si="140"/>
        <v>0</v>
      </c>
      <c r="AG239" s="365">
        <f t="shared" si="141"/>
        <v>0</v>
      </c>
      <c r="AH239" s="365">
        <f t="shared" si="142"/>
        <v>0</v>
      </c>
      <c r="AI239" s="365">
        <f t="shared" si="143"/>
        <v>0</v>
      </c>
      <c r="AJ239" s="365">
        <f t="shared" si="144"/>
        <v>0</v>
      </c>
      <c r="AK239" s="365">
        <f t="shared" si="145"/>
        <v>0</v>
      </c>
      <c r="AL239" s="365">
        <f t="shared" si="146"/>
        <v>0</v>
      </c>
      <c r="AM239" s="365">
        <f t="shared" si="147"/>
        <v>0</v>
      </c>
      <c r="AN239" s="365">
        <f t="shared" si="148"/>
        <v>0</v>
      </c>
      <c r="AO239" s="365">
        <f t="shared" si="149"/>
        <v>0</v>
      </c>
      <c r="AP239" s="365">
        <f t="shared" si="150"/>
        <v>0</v>
      </c>
      <c r="AQ239" s="365">
        <f t="shared" si="151"/>
        <v>0</v>
      </c>
      <c r="AR239" s="365">
        <f t="shared" si="152"/>
        <v>0</v>
      </c>
      <c r="AS239" s="365">
        <f t="shared" si="153"/>
        <v>0</v>
      </c>
      <c r="AT239" s="363"/>
      <c r="AU239">
        <v>44.2315</v>
      </c>
    </row>
    <row r="240" ht="24" spans="1:47">
      <c r="A240" s="284" t="s">
        <v>195</v>
      </c>
      <c r="B240" s="284" t="s">
        <v>442</v>
      </c>
      <c r="C240" s="284" t="s">
        <v>488</v>
      </c>
      <c r="D240" s="284" t="s">
        <v>454</v>
      </c>
      <c r="E240" s="365">
        <f t="shared" si="134"/>
        <v>0</v>
      </c>
      <c r="F240" s="365">
        <f t="shared" si="135"/>
        <v>0</v>
      </c>
      <c r="G240" s="365"/>
      <c r="H240" s="365"/>
      <c r="I240" s="365"/>
      <c r="J240" s="365"/>
      <c r="K240" s="365"/>
      <c r="L240" s="365">
        <f t="shared" si="136"/>
        <v>0</v>
      </c>
      <c r="M240" s="365"/>
      <c r="N240" s="365"/>
      <c r="O240" s="365"/>
      <c r="P240" s="365">
        <f t="shared" si="154"/>
        <v>0</v>
      </c>
      <c r="Q240" s="365">
        <f t="shared" si="137"/>
        <v>0</v>
      </c>
      <c r="R240" s="365"/>
      <c r="S240" s="365"/>
      <c r="T240" s="365"/>
      <c r="U240" s="365"/>
      <c r="V240" s="365"/>
      <c r="W240" s="365">
        <f t="shared" si="138"/>
        <v>0</v>
      </c>
      <c r="X240" s="365"/>
      <c r="Y240" s="365"/>
      <c r="Z240" s="365"/>
      <c r="AA240" s="365"/>
      <c r="AB240" s="365"/>
      <c r="AC240" s="365"/>
      <c r="AD240" s="366">
        <v>0</v>
      </c>
      <c r="AE240" s="365">
        <f t="shared" si="139"/>
        <v>0</v>
      </c>
      <c r="AF240" s="365">
        <f t="shared" si="140"/>
        <v>0</v>
      </c>
      <c r="AG240" s="365">
        <f t="shared" si="141"/>
        <v>0</v>
      </c>
      <c r="AH240" s="365">
        <f t="shared" si="142"/>
        <v>0</v>
      </c>
      <c r="AI240" s="365">
        <f t="shared" si="143"/>
        <v>0</v>
      </c>
      <c r="AJ240" s="365">
        <f t="shared" si="144"/>
        <v>0</v>
      </c>
      <c r="AK240" s="365">
        <f t="shared" si="145"/>
        <v>0</v>
      </c>
      <c r="AL240" s="365">
        <f t="shared" si="146"/>
        <v>0</v>
      </c>
      <c r="AM240" s="365">
        <f t="shared" si="147"/>
        <v>0</v>
      </c>
      <c r="AN240" s="365">
        <f t="shared" si="148"/>
        <v>0</v>
      </c>
      <c r="AO240" s="365">
        <f t="shared" si="149"/>
        <v>0</v>
      </c>
      <c r="AP240" s="365">
        <f t="shared" si="150"/>
        <v>0</v>
      </c>
      <c r="AQ240" s="365">
        <f t="shared" si="151"/>
        <v>0</v>
      </c>
      <c r="AR240" s="365">
        <f t="shared" si="152"/>
        <v>0</v>
      </c>
      <c r="AS240" s="365">
        <f t="shared" si="153"/>
        <v>0</v>
      </c>
      <c r="AT240" s="363"/>
      <c r="AU240">
        <v>52.7898</v>
      </c>
    </row>
    <row r="241" ht="24" spans="1:47">
      <c r="A241" s="284" t="s">
        <v>195</v>
      </c>
      <c r="B241" s="284" t="s">
        <v>442</v>
      </c>
      <c r="C241" s="284" t="s">
        <v>489</v>
      </c>
      <c r="D241" s="284" t="s">
        <v>444</v>
      </c>
      <c r="E241" s="365">
        <f t="shared" si="134"/>
        <v>0</v>
      </c>
      <c r="F241" s="365">
        <f t="shared" si="135"/>
        <v>0</v>
      </c>
      <c r="G241" s="365"/>
      <c r="H241" s="365"/>
      <c r="I241" s="365"/>
      <c r="J241" s="365"/>
      <c r="K241" s="365"/>
      <c r="L241" s="365">
        <f t="shared" si="136"/>
        <v>0</v>
      </c>
      <c r="M241" s="365"/>
      <c r="N241" s="365"/>
      <c r="O241" s="365"/>
      <c r="P241" s="365">
        <f t="shared" si="154"/>
        <v>0</v>
      </c>
      <c r="Q241" s="365">
        <f t="shared" si="137"/>
        <v>0</v>
      </c>
      <c r="R241" s="365"/>
      <c r="S241" s="365"/>
      <c r="T241" s="365"/>
      <c r="U241" s="365"/>
      <c r="V241" s="365"/>
      <c r="W241" s="365">
        <f t="shared" si="138"/>
        <v>0</v>
      </c>
      <c r="X241" s="365"/>
      <c r="Y241" s="365"/>
      <c r="Z241" s="365"/>
      <c r="AA241" s="365"/>
      <c r="AB241" s="365"/>
      <c r="AC241" s="365"/>
      <c r="AD241" s="366">
        <v>0</v>
      </c>
      <c r="AE241" s="365">
        <f t="shared" si="139"/>
        <v>0</v>
      </c>
      <c r="AF241" s="365">
        <f t="shared" si="140"/>
        <v>0</v>
      </c>
      <c r="AG241" s="365">
        <f t="shared" si="141"/>
        <v>0</v>
      </c>
      <c r="AH241" s="365">
        <f t="shared" si="142"/>
        <v>0</v>
      </c>
      <c r="AI241" s="365">
        <f t="shared" si="143"/>
        <v>0</v>
      </c>
      <c r="AJ241" s="365">
        <f t="shared" si="144"/>
        <v>0</v>
      </c>
      <c r="AK241" s="365">
        <f t="shared" si="145"/>
        <v>0</v>
      </c>
      <c r="AL241" s="365">
        <f t="shared" si="146"/>
        <v>0</v>
      </c>
      <c r="AM241" s="365">
        <f t="shared" si="147"/>
        <v>0</v>
      </c>
      <c r="AN241" s="365">
        <f t="shared" si="148"/>
        <v>0</v>
      </c>
      <c r="AO241" s="365">
        <f t="shared" si="149"/>
        <v>0</v>
      </c>
      <c r="AP241" s="365">
        <f t="shared" si="150"/>
        <v>0</v>
      </c>
      <c r="AQ241" s="365">
        <f t="shared" si="151"/>
        <v>0</v>
      </c>
      <c r="AR241" s="365">
        <f t="shared" si="152"/>
        <v>0</v>
      </c>
      <c r="AS241" s="365">
        <f t="shared" si="153"/>
        <v>0</v>
      </c>
      <c r="AT241" s="363"/>
      <c r="AU241">
        <v>112.4957</v>
      </c>
    </row>
    <row r="242" ht="36" spans="1:47">
      <c r="A242" s="284" t="s">
        <v>195</v>
      </c>
      <c r="B242" s="284" t="s">
        <v>199</v>
      </c>
      <c r="C242" s="284" t="s">
        <v>490</v>
      </c>
      <c r="D242" s="284" t="s">
        <v>491</v>
      </c>
      <c r="E242" s="365">
        <f t="shared" si="134"/>
        <v>0</v>
      </c>
      <c r="F242" s="365">
        <f t="shared" si="135"/>
        <v>0</v>
      </c>
      <c r="G242" s="365"/>
      <c r="H242" s="365"/>
      <c r="I242" s="365"/>
      <c r="J242" s="365"/>
      <c r="K242" s="365"/>
      <c r="L242" s="365">
        <f t="shared" si="136"/>
        <v>0</v>
      </c>
      <c r="M242" s="365"/>
      <c r="N242" s="365"/>
      <c r="O242" s="365"/>
      <c r="P242" s="365">
        <f t="shared" si="154"/>
        <v>0</v>
      </c>
      <c r="Q242" s="365">
        <f t="shared" si="137"/>
        <v>0</v>
      </c>
      <c r="R242" s="365"/>
      <c r="S242" s="365"/>
      <c r="T242" s="365"/>
      <c r="U242" s="365"/>
      <c r="V242" s="365"/>
      <c r="W242" s="365">
        <f t="shared" si="138"/>
        <v>0</v>
      </c>
      <c r="X242" s="365"/>
      <c r="Y242" s="365"/>
      <c r="Z242" s="365"/>
      <c r="AA242" s="365"/>
      <c r="AB242" s="365"/>
      <c r="AC242" s="365"/>
      <c r="AD242" s="366">
        <v>0</v>
      </c>
      <c r="AE242" s="365">
        <f t="shared" si="139"/>
        <v>0</v>
      </c>
      <c r="AF242" s="365">
        <f t="shared" si="140"/>
        <v>0</v>
      </c>
      <c r="AG242" s="365">
        <f t="shared" si="141"/>
        <v>0</v>
      </c>
      <c r="AH242" s="365">
        <f t="shared" si="142"/>
        <v>0</v>
      </c>
      <c r="AI242" s="365">
        <f t="shared" si="143"/>
        <v>0</v>
      </c>
      <c r="AJ242" s="365">
        <f t="shared" si="144"/>
        <v>0</v>
      </c>
      <c r="AK242" s="365">
        <f t="shared" si="145"/>
        <v>0</v>
      </c>
      <c r="AL242" s="365">
        <f t="shared" si="146"/>
        <v>0</v>
      </c>
      <c r="AM242" s="365">
        <f t="shared" si="147"/>
        <v>0</v>
      </c>
      <c r="AN242" s="365">
        <f t="shared" si="148"/>
        <v>0</v>
      </c>
      <c r="AO242" s="365">
        <f t="shared" si="149"/>
        <v>0</v>
      </c>
      <c r="AP242" s="365">
        <f t="shared" si="150"/>
        <v>0</v>
      </c>
      <c r="AQ242" s="365">
        <f t="shared" si="151"/>
        <v>0</v>
      </c>
      <c r="AR242" s="365">
        <f t="shared" si="152"/>
        <v>0</v>
      </c>
      <c r="AS242" s="365">
        <f t="shared" si="153"/>
        <v>0</v>
      </c>
      <c r="AT242" s="363"/>
      <c r="AU242">
        <v>9.5</v>
      </c>
    </row>
    <row r="243" ht="24" spans="1:47">
      <c r="A243" s="284" t="s">
        <v>195</v>
      </c>
      <c r="B243" s="284" t="s">
        <v>442</v>
      </c>
      <c r="C243" s="284" t="s">
        <v>492</v>
      </c>
      <c r="D243" s="284" t="s">
        <v>454</v>
      </c>
      <c r="E243" s="365">
        <f t="shared" si="134"/>
        <v>0</v>
      </c>
      <c r="F243" s="365">
        <f t="shared" si="135"/>
        <v>0</v>
      </c>
      <c r="G243" s="365"/>
      <c r="H243" s="365"/>
      <c r="I243" s="365"/>
      <c r="J243" s="365"/>
      <c r="K243" s="365"/>
      <c r="L243" s="365">
        <f t="shared" si="136"/>
        <v>0</v>
      </c>
      <c r="M243" s="365"/>
      <c r="N243" s="365"/>
      <c r="O243" s="365"/>
      <c r="P243" s="365">
        <f t="shared" si="154"/>
        <v>0</v>
      </c>
      <c r="Q243" s="365">
        <f t="shared" si="137"/>
        <v>0</v>
      </c>
      <c r="R243" s="365"/>
      <c r="S243" s="365"/>
      <c r="T243" s="365"/>
      <c r="U243" s="365"/>
      <c r="V243" s="365"/>
      <c r="W243" s="365">
        <f t="shared" si="138"/>
        <v>0</v>
      </c>
      <c r="X243" s="365"/>
      <c r="Y243" s="365"/>
      <c r="Z243" s="365"/>
      <c r="AA243" s="365"/>
      <c r="AB243" s="365"/>
      <c r="AC243" s="365"/>
      <c r="AD243" s="366">
        <v>0</v>
      </c>
      <c r="AE243" s="365">
        <f t="shared" si="139"/>
        <v>0</v>
      </c>
      <c r="AF243" s="365">
        <f t="shared" si="140"/>
        <v>0</v>
      </c>
      <c r="AG243" s="365">
        <f t="shared" si="141"/>
        <v>0</v>
      </c>
      <c r="AH243" s="365">
        <f t="shared" si="142"/>
        <v>0</v>
      </c>
      <c r="AI243" s="365">
        <f t="shared" si="143"/>
        <v>0</v>
      </c>
      <c r="AJ243" s="365">
        <f t="shared" si="144"/>
        <v>0</v>
      </c>
      <c r="AK243" s="365">
        <f t="shared" si="145"/>
        <v>0</v>
      </c>
      <c r="AL243" s="365">
        <f t="shared" si="146"/>
        <v>0</v>
      </c>
      <c r="AM243" s="365">
        <f t="shared" si="147"/>
        <v>0</v>
      </c>
      <c r="AN243" s="365">
        <f t="shared" si="148"/>
        <v>0</v>
      </c>
      <c r="AO243" s="365">
        <f t="shared" si="149"/>
        <v>0</v>
      </c>
      <c r="AP243" s="365">
        <f t="shared" si="150"/>
        <v>0</v>
      </c>
      <c r="AQ243" s="365">
        <f t="shared" si="151"/>
        <v>0</v>
      </c>
      <c r="AR243" s="365">
        <f t="shared" si="152"/>
        <v>0</v>
      </c>
      <c r="AS243" s="365">
        <f t="shared" si="153"/>
        <v>0</v>
      </c>
      <c r="AT243" s="363"/>
      <c r="AU243">
        <v>70.17</v>
      </c>
    </row>
    <row r="244" ht="24" spans="1:47">
      <c r="A244" s="284" t="s">
        <v>195</v>
      </c>
      <c r="B244" s="284" t="s">
        <v>438</v>
      </c>
      <c r="C244" s="284" t="s">
        <v>493</v>
      </c>
      <c r="D244" s="284" t="s">
        <v>479</v>
      </c>
      <c r="E244" s="365">
        <f t="shared" si="134"/>
        <v>0</v>
      </c>
      <c r="F244" s="365">
        <f t="shared" si="135"/>
        <v>0</v>
      </c>
      <c r="G244" s="365"/>
      <c r="H244" s="365"/>
      <c r="I244" s="365"/>
      <c r="J244" s="365"/>
      <c r="K244" s="365"/>
      <c r="L244" s="365">
        <f t="shared" si="136"/>
        <v>0</v>
      </c>
      <c r="M244" s="365"/>
      <c r="N244" s="365"/>
      <c r="O244" s="365"/>
      <c r="P244" s="365">
        <f t="shared" si="154"/>
        <v>0</v>
      </c>
      <c r="Q244" s="365">
        <f t="shared" si="137"/>
        <v>0</v>
      </c>
      <c r="R244" s="365"/>
      <c r="S244" s="365"/>
      <c r="T244" s="365"/>
      <c r="U244" s="365"/>
      <c r="V244" s="365"/>
      <c r="W244" s="365">
        <f t="shared" si="138"/>
        <v>0</v>
      </c>
      <c r="X244" s="365"/>
      <c r="Y244" s="365"/>
      <c r="Z244" s="365"/>
      <c r="AA244" s="365"/>
      <c r="AB244" s="365"/>
      <c r="AC244" s="365"/>
      <c r="AD244" s="366">
        <v>0</v>
      </c>
      <c r="AE244" s="365">
        <f t="shared" si="139"/>
        <v>0</v>
      </c>
      <c r="AF244" s="365">
        <f t="shared" si="140"/>
        <v>0</v>
      </c>
      <c r="AG244" s="365">
        <f t="shared" si="141"/>
        <v>0</v>
      </c>
      <c r="AH244" s="365">
        <f t="shared" si="142"/>
        <v>0</v>
      </c>
      <c r="AI244" s="365">
        <f t="shared" si="143"/>
        <v>0</v>
      </c>
      <c r="AJ244" s="365">
        <f t="shared" si="144"/>
        <v>0</v>
      </c>
      <c r="AK244" s="365">
        <f t="shared" si="145"/>
        <v>0</v>
      </c>
      <c r="AL244" s="365">
        <f t="shared" si="146"/>
        <v>0</v>
      </c>
      <c r="AM244" s="365">
        <f t="shared" si="147"/>
        <v>0</v>
      </c>
      <c r="AN244" s="365">
        <f t="shared" si="148"/>
        <v>0</v>
      </c>
      <c r="AO244" s="365">
        <f t="shared" si="149"/>
        <v>0</v>
      </c>
      <c r="AP244" s="365">
        <f t="shared" si="150"/>
        <v>0</v>
      </c>
      <c r="AQ244" s="365">
        <f t="shared" si="151"/>
        <v>0</v>
      </c>
      <c r="AR244" s="365">
        <f t="shared" si="152"/>
        <v>0</v>
      </c>
      <c r="AS244" s="365">
        <f t="shared" si="153"/>
        <v>0</v>
      </c>
      <c r="AT244" s="363"/>
      <c r="AU244">
        <v>14</v>
      </c>
    </row>
    <row r="245" ht="24" customHeight="1" spans="1:47">
      <c r="A245" s="284" t="s">
        <v>195</v>
      </c>
      <c r="B245" s="284" t="s">
        <v>438</v>
      </c>
      <c r="C245" s="284" t="s">
        <v>494</v>
      </c>
      <c r="D245" s="284" t="s">
        <v>479</v>
      </c>
      <c r="E245" s="365">
        <f t="shared" si="134"/>
        <v>0</v>
      </c>
      <c r="F245" s="365">
        <f t="shared" si="135"/>
        <v>0</v>
      </c>
      <c r="G245" s="365"/>
      <c r="H245" s="365"/>
      <c r="I245" s="365"/>
      <c r="J245" s="365"/>
      <c r="K245" s="365"/>
      <c r="L245" s="365">
        <f t="shared" si="136"/>
        <v>0</v>
      </c>
      <c r="M245" s="365"/>
      <c r="N245" s="365"/>
      <c r="O245" s="365"/>
      <c r="P245" s="365">
        <f t="shared" si="154"/>
        <v>0</v>
      </c>
      <c r="Q245" s="365">
        <f t="shared" si="137"/>
        <v>0</v>
      </c>
      <c r="R245" s="365"/>
      <c r="S245" s="365"/>
      <c r="T245" s="365"/>
      <c r="U245" s="365"/>
      <c r="V245" s="365"/>
      <c r="W245" s="365">
        <f t="shared" si="138"/>
        <v>0</v>
      </c>
      <c r="X245" s="365"/>
      <c r="Y245" s="365"/>
      <c r="Z245" s="365"/>
      <c r="AA245" s="365"/>
      <c r="AB245" s="365"/>
      <c r="AC245" s="365"/>
      <c r="AD245" s="366">
        <v>0</v>
      </c>
      <c r="AE245" s="365">
        <f t="shared" si="139"/>
        <v>0</v>
      </c>
      <c r="AF245" s="365">
        <f t="shared" si="140"/>
        <v>0</v>
      </c>
      <c r="AG245" s="365">
        <f t="shared" si="141"/>
        <v>0</v>
      </c>
      <c r="AH245" s="365">
        <f t="shared" si="142"/>
        <v>0</v>
      </c>
      <c r="AI245" s="365">
        <f t="shared" si="143"/>
        <v>0</v>
      </c>
      <c r="AJ245" s="365">
        <f t="shared" si="144"/>
        <v>0</v>
      </c>
      <c r="AK245" s="365">
        <f t="shared" si="145"/>
        <v>0</v>
      </c>
      <c r="AL245" s="365">
        <f t="shared" si="146"/>
        <v>0</v>
      </c>
      <c r="AM245" s="365">
        <f t="shared" si="147"/>
        <v>0</v>
      </c>
      <c r="AN245" s="365">
        <f t="shared" si="148"/>
        <v>0</v>
      </c>
      <c r="AO245" s="365">
        <f t="shared" si="149"/>
        <v>0</v>
      </c>
      <c r="AP245" s="365">
        <f t="shared" si="150"/>
        <v>0</v>
      </c>
      <c r="AQ245" s="365">
        <f t="shared" si="151"/>
        <v>0</v>
      </c>
      <c r="AR245" s="365">
        <f t="shared" si="152"/>
        <v>0</v>
      </c>
      <c r="AS245" s="365">
        <f t="shared" si="153"/>
        <v>0</v>
      </c>
      <c r="AT245" s="363"/>
      <c r="AU245">
        <v>29.0758</v>
      </c>
    </row>
    <row r="246" ht="24" spans="1:47">
      <c r="A246" s="284" t="s">
        <v>195</v>
      </c>
      <c r="B246" s="284" t="s">
        <v>442</v>
      </c>
      <c r="C246" s="284" t="s">
        <v>495</v>
      </c>
      <c r="D246" s="284" t="s">
        <v>444</v>
      </c>
      <c r="E246" s="365">
        <f t="shared" si="134"/>
        <v>0</v>
      </c>
      <c r="F246" s="365">
        <f t="shared" si="135"/>
        <v>0</v>
      </c>
      <c r="G246" s="365"/>
      <c r="H246" s="365"/>
      <c r="I246" s="365"/>
      <c r="J246" s="365"/>
      <c r="K246" s="365"/>
      <c r="L246" s="365">
        <f t="shared" si="136"/>
        <v>0</v>
      </c>
      <c r="M246" s="365"/>
      <c r="N246" s="365"/>
      <c r="O246" s="365"/>
      <c r="P246" s="365">
        <f t="shared" si="154"/>
        <v>0</v>
      </c>
      <c r="Q246" s="365">
        <f t="shared" si="137"/>
        <v>0</v>
      </c>
      <c r="R246" s="365"/>
      <c r="S246" s="365"/>
      <c r="T246" s="365"/>
      <c r="U246" s="365"/>
      <c r="V246" s="365"/>
      <c r="W246" s="365">
        <f t="shared" si="138"/>
        <v>0</v>
      </c>
      <c r="X246" s="365"/>
      <c r="Y246" s="365"/>
      <c r="Z246" s="365"/>
      <c r="AA246" s="365"/>
      <c r="AB246" s="365"/>
      <c r="AC246" s="365"/>
      <c r="AD246" s="366">
        <v>0</v>
      </c>
      <c r="AE246" s="365">
        <f t="shared" si="139"/>
        <v>0</v>
      </c>
      <c r="AF246" s="365">
        <f t="shared" si="140"/>
        <v>0</v>
      </c>
      <c r="AG246" s="365">
        <f t="shared" si="141"/>
        <v>0</v>
      </c>
      <c r="AH246" s="365">
        <f t="shared" si="142"/>
        <v>0</v>
      </c>
      <c r="AI246" s="365">
        <f t="shared" si="143"/>
        <v>0</v>
      </c>
      <c r="AJ246" s="365">
        <f t="shared" si="144"/>
        <v>0</v>
      </c>
      <c r="AK246" s="365">
        <f t="shared" si="145"/>
        <v>0</v>
      </c>
      <c r="AL246" s="365">
        <f t="shared" si="146"/>
        <v>0</v>
      </c>
      <c r="AM246" s="365">
        <f t="shared" si="147"/>
        <v>0</v>
      </c>
      <c r="AN246" s="365">
        <f t="shared" si="148"/>
        <v>0</v>
      </c>
      <c r="AO246" s="365">
        <f t="shared" si="149"/>
        <v>0</v>
      </c>
      <c r="AP246" s="365">
        <f t="shared" si="150"/>
        <v>0</v>
      </c>
      <c r="AQ246" s="365">
        <f t="shared" si="151"/>
        <v>0</v>
      </c>
      <c r="AR246" s="365">
        <f t="shared" si="152"/>
        <v>0</v>
      </c>
      <c r="AS246" s="365">
        <f t="shared" si="153"/>
        <v>0</v>
      </c>
      <c r="AT246" s="363"/>
      <c r="AU246">
        <v>45</v>
      </c>
    </row>
    <row r="247" ht="24" spans="1:47">
      <c r="A247" s="284" t="s">
        <v>195</v>
      </c>
      <c r="B247" s="284" t="s">
        <v>438</v>
      </c>
      <c r="C247" s="284" t="s">
        <v>496</v>
      </c>
      <c r="D247" s="284" t="s">
        <v>479</v>
      </c>
      <c r="E247" s="365">
        <f t="shared" si="134"/>
        <v>0</v>
      </c>
      <c r="F247" s="365">
        <f t="shared" si="135"/>
        <v>0</v>
      </c>
      <c r="G247" s="365"/>
      <c r="H247" s="365"/>
      <c r="I247" s="365"/>
      <c r="J247" s="365"/>
      <c r="K247" s="365"/>
      <c r="L247" s="365">
        <f t="shared" si="136"/>
        <v>0</v>
      </c>
      <c r="M247" s="365"/>
      <c r="N247" s="365"/>
      <c r="O247" s="365"/>
      <c r="P247" s="365">
        <f t="shared" si="154"/>
        <v>0</v>
      </c>
      <c r="Q247" s="365">
        <f t="shared" si="137"/>
        <v>0</v>
      </c>
      <c r="R247" s="365"/>
      <c r="S247" s="365"/>
      <c r="T247" s="365"/>
      <c r="U247" s="365"/>
      <c r="V247" s="365"/>
      <c r="W247" s="365">
        <f t="shared" si="138"/>
        <v>0</v>
      </c>
      <c r="X247" s="365"/>
      <c r="Y247" s="365"/>
      <c r="Z247" s="365"/>
      <c r="AA247" s="365"/>
      <c r="AB247" s="365"/>
      <c r="AC247" s="365"/>
      <c r="AD247" s="366">
        <v>0</v>
      </c>
      <c r="AE247" s="365">
        <f t="shared" si="139"/>
        <v>0</v>
      </c>
      <c r="AF247" s="365">
        <f t="shared" si="140"/>
        <v>0</v>
      </c>
      <c r="AG247" s="365">
        <f t="shared" si="141"/>
        <v>0</v>
      </c>
      <c r="AH247" s="365">
        <f t="shared" si="142"/>
        <v>0</v>
      </c>
      <c r="AI247" s="365">
        <f t="shared" si="143"/>
        <v>0</v>
      </c>
      <c r="AJ247" s="365">
        <f t="shared" si="144"/>
        <v>0</v>
      </c>
      <c r="AK247" s="365">
        <f t="shared" si="145"/>
        <v>0</v>
      </c>
      <c r="AL247" s="365">
        <f t="shared" si="146"/>
        <v>0</v>
      </c>
      <c r="AM247" s="365">
        <f t="shared" si="147"/>
        <v>0</v>
      </c>
      <c r="AN247" s="365">
        <f t="shared" si="148"/>
        <v>0</v>
      </c>
      <c r="AO247" s="365">
        <f t="shared" si="149"/>
        <v>0</v>
      </c>
      <c r="AP247" s="365">
        <f t="shared" si="150"/>
        <v>0</v>
      </c>
      <c r="AQ247" s="365">
        <f t="shared" si="151"/>
        <v>0</v>
      </c>
      <c r="AR247" s="365">
        <f t="shared" si="152"/>
        <v>0</v>
      </c>
      <c r="AS247" s="365">
        <f t="shared" si="153"/>
        <v>0</v>
      </c>
      <c r="AT247" s="363"/>
      <c r="AU247">
        <v>13.295</v>
      </c>
    </row>
    <row r="248" ht="24" spans="1:47">
      <c r="A248" s="284" t="s">
        <v>195</v>
      </c>
      <c r="B248" s="284" t="s">
        <v>438</v>
      </c>
      <c r="C248" s="284" t="s">
        <v>497</v>
      </c>
      <c r="D248" s="284" t="s">
        <v>479</v>
      </c>
      <c r="E248" s="365">
        <f t="shared" si="134"/>
        <v>0</v>
      </c>
      <c r="F248" s="365">
        <f t="shared" si="135"/>
        <v>0</v>
      </c>
      <c r="G248" s="365"/>
      <c r="H248" s="365"/>
      <c r="I248" s="365"/>
      <c r="J248" s="365"/>
      <c r="K248" s="365"/>
      <c r="L248" s="365">
        <f t="shared" si="136"/>
        <v>0</v>
      </c>
      <c r="M248" s="365"/>
      <c r="N248" s="365"/>
      <c r="O248" s="365"/>
      <c r="P248" s="365">
        <f t="shared" si="154"/>
        <v>0</v>
      </c>
      <c r="Q248" s="365">
        <f t="shared" si="137"/>
        <v>0</v>
      </c>
      <c r="R248" s="365"/>
      <c r="S248" s="365"/>
      <c r="T248" s="365"/>
      <c r="U248" s="365"/>
      <c r="V248" s="365"/>
      <c r="W248" s="365">
        <f t="shared" si="138"/>
        <v>0</v>
      </c>
      <c r="X248" s="365"/>
      <c r="Y248" s="365"/>
      <c r="Z248" s="365"/>
      <c r="AA248" s="365"/>
      <c r="AB248" s="365"/>
      <c r="AC248" s="365"/>
      <c r="AD248" s="366">
        <v>0</v>
      </c>
      <c r="AE248" s="365">
        <f t="shared" si="139"/>
        <v>0</v>
      </c>
      <c r="AF248" s="365">
        <f t="shared" si="140"/>
        <v>0</v>
      </c>
      <c r="AG248" s="365">
        <f t="shared" si="141"/>
        <v>0</v>
      </c>
      <c r="AH248" s="365">
        <f t="shared" si="142"/>
        <v>0</v>
      </c>
      <c r="AI248" s="365">
        <f t="shared" si="143"/>
        <v>0</v>
      </c>
      <c r="AJ248" s="365">
        <f t="shared" si="144"/>
        <v>0</v>
      </c>
      <c r="AK248" s="365">
        <f t="shared" si="145"/>
        <v>0</v>
      </c>
      <c r="AL248" s="365">
        <f t="shared" si="146"/>
        <v>0</v>
      </c>
      <c r="AM248" s="365">
        <f t="shared" si="147"/>
        <v>0</v>
      </c>
      <c r="AN248" s="365">
        <f t="shared" si="148"/>
        <v>0</v>
      </c>
      <c r="AO248" s="365">
        <f t="shared" si="149"/>
        <v>0</v>
      </c>
      <c r="AP248" s="365">
        <f t="shared" si="150"/>
        <v>0</v>
      </c>
      <c r="AQ248" s="365">
        <f t="shared" si="151"/>
        <v>0</v>
      </c>
      <c r="AR248" s="365">
        <f t="shared" si="152"/>
        <v>0</v>
      </c>
      <c r="AS248" s="365">
        <f t="shared" si="153"/>
        <v>0</v>
      </c>
      <c r="AT248" s="363"/>
      <c r="AU248">
        <v>12.7083</v>
      </c>
    </row>
    <row r="249" ht="24" spans="1:47">
      <c r="A249" s="284" t="s">
        <v>195</v>
      </c>
      <c r="B249" s="284" t="s">
        <v>442</v>
      </c>
      <c r="C249" s="284" t="s">
        <v>498</v>
      </c>
      <c r="D249" s="284" t="s">
        <v>444</v>
      </c>
      <c r="E249" s="365">
        <f t="shared" si="134"/>
        <v>0</v>
      </c>
      <c r="F249" s="365">
        <f t="shared" si="135"/>
        <v>0</v>
      </c>
      <c r="G249" s="365"/>
      <c r="H249" s="365"/>
      <c r="I249" s="365"/>
      <c r="J249" s="365"/>
      <c r="K249" s="365"/>
      <c r="L249" s="365">
        <f t="shared" si="136"/>
        <v>0</v>
      </c>
      <c r="M249" s="365"/>
      <c r="N249" s="365"/>
      <c r="O249" s="365"/>
      <c r="P249" s="365">
        <f t="shared" si="154"/>
        <v>0</v>
      </c>
      <c r="Q249" s="365">
        <f t="shared" si="137"/>
        <v>0</v>
      </c>
      <c r="R249" s="365"/>
      <c r="S249" s="365"/>
      <c r="T249" s="365"/>
      <c r="U249" s="365"/>
      <c r="V249" s="365"/>
      <c r="W249" s="365">
        <f t="shared" si="138"/>
        <v>0</v>
      </c>
      <c r="X249" s="365"/>
      <c r="Y249" s="365"/>
      <c r="Z249" s="365"/>
      <c r="AA249" s="365"/>
      <c r="AB249" s="365"/>
      <c r="AC249" s="365"/>
      <c r="AD249" s="366">
        <v>0</v>
      </c>
      <c r="AE249" s="365">
        <f t="shared" si="139"/>
        <v>0</v>
      </c>
      <c r="AF249" s="365">
        <f t="shared" si="140"/>
        <v>0</v>
      </c>
      <c r="AG249" s="365">
        <f t="shared" si="141"/>
        <v>0</v>
      </c>
      <c r="AH249" s="365">
        <f t="shared" si="142"/>
        <v>0</v>
      </c>
      <c r="AI249" s="365">
        <f t="shared" si="143"/>
        <v>0</v>
      </c>
      <c r="AJ249" s="365">
        <f t="shared" si="144"/>
        <v>0</v>
      </c>
      <c r="AK249" s="365">
        <f t="shared" si="145"/>
        <v>0</v>
      </c>
      <c r="AL249" s="365">
        <f t="shared" si="146"/>
        <v>0</v>
      </c>
      <c r="AM249" s="365">
        <f t="shared" si="147"/>
        <v>0</v>
      </c>
      <c r="AN249" s="365">
        <f t="shared" si="148"/>
        <v>0</v>
      </c>
      <c r="AO249" s="365">
        <f t="shared" si="149"/>
        <v>0</v>
      </c>
      <c r="AP249" s="365">
        <f t="shared" si="150"/>
        <v>0</v>
      </c>
      <c r="AQ249" s="365">
        <f t="shared" si="151"/>
        <v>0</v>
      </c>
      <c r="AR249" s="365">
        <f t="shared" si="152"/>
        <v>0</v>
      </c>
      <c r="AS249" s="365">
        <f t="shared" si="153"/>
        <v>0</v>
      </c>
      <c r="AT249" s="363"/>
      <c r="AU249">
        <v>19</v>
      </c>
    </row>
    <row r="250" ht="24" spans="1:47">
      <c r="A250" s="284" t="s">
        <v>195</v>
      </c>
      <c r="B250" s="284" t="s">
        <v>438</v>
      </c>
      <c r="C250" s="284" t="s">
        <v>499</v>
      </c>
      <c r="D250" s="284" t="s">
        <v>479</v>
      </c>
      <c r="E250" s="365">
        <f t="shared" si="134"/>
        <v>0</v>
      </c>
      <c r="F250" s="365">
        <f t="shared" si="135"/>
        <v>0</v>
      </c>
      <c r="G250" s="365"/>
      <c r="H250" s="365"/>
      <c r="I250" s="365"/>
      <c r="J250" s="365"/>
      <c r="K250" s="365"/>
      <c r="L250" s="365">
        <f t="shared" si="136"/>
        <v>0</v>
      </c>
      <c r="M250" s="365"/>
      <c r="N250" s="365"/>
      <c r="O250" s="365"/>
      <c r="P250" s="365">
        <f t="shared" si="154"/>
        <v>0</v>
      </c>
      <c r="Q250" s="365">
        <f t="shared" si="137"/>
        <v>0</v>
      </c>
      <c r="R250" s="365"/>
      <c r="S250" s="365"/>
      <c r="T250" s="365"/>
      <c r="U250" s="365"/>
      <c r="V250" s="365"/>
      <c r="W250" s="365">
        <f t="shared" si="138"/>
        <v>0</v>
      </c>
      <c r="X250" s="365"/>
      <c r="Y250" s="365"/>
      <c r="Z250" s="365"/>
      <c r="AA250" s="365"/>
      <c r="AB250" s="365"/>
      <c r="AC250" s="365"/>
      <c r="AD250" s="366">
        <v>0</v>
      </c>
      <c r="AE250" s="365">
        <f t="shared" si="139"/>
        <v>0</v>
      </c>
      <c r="AF250" s="365">
        <f t="shared" si="140"/>
        <v>0</v>
      </c>
      <c r="AG250" s="365">
        <f t="shared" si="141"/>
        <v>0</v>
      </c>
      <c r="AH250" s="365">
        <f t="shared" si="142"/>
        <v>0</v>
      </c>
      <c r="AI250" s="365">
        <f t="shared" si="143"/>
        <v>0</v>
      </c>
      <c r="AJ250" s="365">
        <f t="shared" si="144"/>
        <v>0</v>
      </c>
      <c r="AK250" s="365">
        <f t="shared" si="145"/>
        <v>0</v>
      </c>
      <c r="AL250" s="365">
        <f t="shared" si="146"/>
        <v>0</v>
      </c>
      <c r="AM250" s="365">
        <f t="shared" si="147"/>
        <v>0</v>
      </c>
      <c r="AN250" s="365">
        <f t="shared" si="148"/>
        <v>0</v>
      </c>
      <c r="AO250" s="365">
        <f t="shared" si="149"/>
        <v>0</v>
      </c>
      <c r="AP250" s="365">
        <f t="shared" si="150"/>
        <v>0</v>
      </c>
      <c r="AQ250" s="365">
        <f t="shared" si="151"/>
        <v>0</v>
      </c>
      <c r="AR250" s="365">
        <f t="shared" si="152"/>
        <v>0</v>
      </c>
      <c r="AS250" s="365">
        <f t="shared" si="153"/>
        <v>0</v>
      </c>
      <c r="AT250" s="363"/>
      <c r="AU250">
        <v>5.5</v>
      </c>
    </row>
    <row r="251" ht="24" spans="1:47">
      <c r="A251" s="284" t="s">
        <v>195</v>
      </c>
      <c r="B251" s="284" t="s">
        <v>438</v>
      </c>
      <c r="C251" s="284" t="s">
        <v>500</v>
      </c>
      <c r="D251" s="284" t="s">
        <v>479</v>
      </c>
      <c r="E251" s="365">
        <f t="shared" si="134"/>
        <v>0</v>
      </c>
      <c r="F251" s="365">
        <f t="shared" si="135"/>
        <v>0</v>
      </c>
      <c r="G251" s="365"/>
      <c r="H251" s="365"/>
      <c r="I251" s="365"/>
      <c r="J251" s="365"/>
      <c r="K251" s="365"/>
      <c r="L251" s="365">
        <f t="shared" si="136"/>
        <v>0</v>
      </c>
      <c r="M251" s="365"/>
      <c r="N251" s="365"/>
      <c r="O251" s="365"/>
      <c r="P251" s="365">
        <f t="shared" si="154"/>
        <v>0</v>
      </c>
      <c r="Q251" s="365">
        <f t="shared" si="137"/>
        <v>0</v>
      </c>
      <c r="R251" s="365"/>
      <c r="S251" s="365"/>
      <c r="T251" s="365"/>
      <c r="U251" s="365"/>
      <c r="V251" s="365"/>
      <c r="W251" s="365">
        <f t="shared" si="138"/>
        <v>0</v>
      </c>
      <c r="X251" s="365"/>
      <c r="Y251" s="365"/>
      <c r="Z251" s="365"/>
      <c r="AA251" s="365"/>
      <c r="AB251" s="365"/>
      <c r="AC251" s="365"/>
      <c r="AD251" s="366">
        <v>0</v>
      </c>
      <c r="AE251" s="365">
        <f t="shared" si="139"/>
        <v>0</v>
      </c>
      <c r="AF251" s="365">
        <f t="shared" si="140"/>
        <v>0</v>
      </c>
      <c r="AG251" s="365">
        <f t="shared" si="141"/>
        <v>0</v>
      </c>
      <c r="AH251" s="365">
        <f t="shared" si="142"/>
        <v>0</v>
      </c>
      <c r="AI251" s="365">
        <f t="shared" si="143"/>
        <v>0</v>
      </c>
      <c r="AJ251" s="365">
        <f t="shared" si="144"/>
        <v>0</v>
      </c>
      <c r="AK251" s="365">
        <f t="shared" si="145"/>
        <v>0</v>
      </c>
      <c r="AL251" s="365">
        <f t="shared" si="146"/>
        <v>0</v>
      </c>
      <c r="AM251" s="365">
        <f t="shared" si="147"/>
        <v>0</v>
      </c>
      <c r="AN251" s="365">
        <f t="shared" si="148"/>
        <v>0</v>
      </c>
      <c r="AO251" s="365">
        <f t="shared" si="149"/>
        <v>0</v>
      </c>
      <c r="AP251" s="365">
        <f t="shared" si="150"/>
        <v>0</v>
      </c>
      <c r="AQ251" s="365">
        <f t="shared" si="151"/>
        <v>0</v>
      </c>
      <c r="AR251" s="365">
        <f t="shared" si="152"/>
        <v>0</v>
      </c>
      <c r="AS251" s="365">
        <f t="shared" si="153"/>
        <v>0</v>
      </c>
      <c r="AT251" s="363"/>
      <c r="AU251">
        <v>4.5</v>
      </c>
    </row>
    <row r="252" ht="24" spans="1:47">
      <c r="A252" s="284" t="s">
        <v>195</v>
      </c>
      <c r="B252" s="284" t="s">
        <v>438</v>
      </c>
      <c r="C252" s="284" t="s">
        <v>501</v>
      </c>
      <c r="D252" s="284" t="s">
        <v>479</v>
      </c>
      <c r="E252" s="365">
        <f t="shared" si="134"/>
        <v>0</v>
      </c>
      <c r="F252" s="365">
        <f t="shared" si="135"/>
        <v>0</v>
      </c>
      <c r="G252" s="365"/>
      <c r="H252" s="365"/>
      <c r="I252" s="365"/>
      <c r="J252" s="365"/>
      <c r="K252" s="365"/>
      <c r="L252" s="365">
        <f t="shared" si="136"/>
        <v>0</v>
      </c>
      <c r="M252" s="365"/>
      <c r="N252" s="365"/>
      <c r="O252" s="365"/>
      <c r="P252" s="365">
        <f t="shared" si="154"/>
        <v>0</v>
      </c>
      <c r="Q252" s="365">
        <f t="shared" si="137"/>
        <v>0</v>
      </c>
      <c r="R252" s="365"/>
      <c r="S252" s="365"/>
      <c r="T252" s="365"/>
      <c r="U252" s="365"/>
      <c r="V252" s="365"/>
      <c r="W252" s="365">
        <f t="shared" si="138"/>
        <v>0</v>
      </c>
      <c r="X252" s="365"/>
      <c r="Y252" s="365"/>
      <c r="Z252" s="365"/>
      <c r="AA252" s="365"/>
      <c r="AB252" s="365"/>
      <c r="AC252" s="365"/>
      <c r="AD252" s="366">
        <v>0</v>
      </c>
      <c r="AE252" s="365">
        <f t="shared" si="139"/>
        <v>0</v>
      </c>
      <c r="AF252" s="365">
        <f t="shared" si="140"/>
        <v>0</v>
      </c>
      <c r="AG252" s="365">
        <f t="shared" si="141"/>
        <v>0</v>
      </c>
      <c r="AH252" s="365">
        <f t="shared" si="142"/>
        <v>0</v>
      </c>
      <c r="AI252" s="365">
        <f t="shared" si="143"/>
        <v>0</v>
      </c>
      <c r="AJ252" s="365">
        <f t="shared" si="144"/>
        <v>0</v>
      </c>
      <c r="AK252" s="365">
        <f t="shared" si="145"/>
        <v>0</v>
      </c>
      <c r="AL252" s="365">
        <f t="shared" si="146"/>
        <v>0</v>
      </c>
      <c r="AM252" s="365">
        <f t="shared" si="147"/>
        <v>0</v>
      </c>
      <c r="AN252" s="365">
        <f t="shared" si="148"/>
        <v>0</v>
      </c>
      <c r="AO252" s="365">
        <f t="shared" si="149"/>
        <v>0</v>
      </c>
      <c r="AP252" s="365">
        <f t="shared" si="150"/>
        <v>0</v>
      </c>
      <c r="AQ252" s="365">
        <f t="shared" si="151"/>
        <v>0</v>
      </c>
      <c r="AR252" s="365">
        <f t="shared" si="152"/>
        <v>0</v>
      </c>
      <c r="AS252" s="365">
        <f t="shared" si="153"/>
        <v>0</v>
      </c>
      <c r="AT252" s="363"/>
      <c r="AU252">
        <v>4</v>
      </c>
    </row>
    <row r="253" ht="24" spans="1:47">
      <c r="A253" s="284" t="s">
        <v>195</v>
      </c>
      <c r="B253" s="284" t="s">
        <v>442</v>
      </c>
      <c r="C253" s="284" t="s">
        <v>502</v>
      </c>
      <c r="D253" s="284" t="s">
        <v>444</v>
      </c>
      <c r="E253" s="365">
        <f t="shared" si="134"/>
        <v>0</v>
      </c>
      <c r="F253" s="365">
        <f t="shared" si="135"/>
        <v>0</v>
      </c>
      <c r="G253" s="365"/>
      <c r="H253" s="365"/>
      <c r="I253" s="365"/>
      <c r="J253" s="365"/>
      <c r="K253" s="365"/>
      <c r="L253" s="365">
        <f t="shared" si="136"/>
        <v>0</v>
      </c>
      <c r="M253" s="365"/>
      <c r="N253" s="365"/>
      <c r="O253" s="365"/>
      <c r="P253" s="365">
        <f t="shared" si="154"/>
        <v>0</v>
      </c>
      <c r="Q253" s="365">
        <f t="shared" si="137"/>
        <v>0</v>
      </c>
      <c r="R253" s="365"/>
      <c r="S253" s="365"/>
      <c r="T253" s="365"/>
      <c r="U253" s="365"/>
      <c r="V253" s="365"/>
      <c r="W253" s="365">
        <f t="shared" si="138"/>
        <v>0</v>
      </c>
      <c r="X253" s="365"/>
      <c r="Y253" s="365"/>
      <c r="Z253" s="365"/>
      <c r="AA253" s="365"/>
      <c r="AB253" s="365"/>
      <c r="AC253" s="365"/>
      <c r="AD253" s="366">
        <v>0</v>
      </c>
      <c r="AE253" s="365">
        <f t="shared" si="139"/>
        <v>0</v>
      </c>
      <c r="AF253" s="365">
        <f t="shared" si="140"/>
        <v>0</v>
      </c>
      <c r="AG253" s="365">
        <f t="shared" si="141"/>
        <v>0</v>
      </c>
      <c r="AH253" s="365">
        <f t="shared" si="142"/>
        <v>0</v>
      </c>
      <c r="AI253" s="365">
        <f t="shared" si="143"/>
        <v>0</v>
      </c>
      <c r="AJ253" s="365">
        <f t="shared" si="144"/>
        <v>0</v>
      </c>
      <c r="AK253" s="365">
        <f t="shared" si="145"/>
        <v>0</v>
      </c>
      <c r="AL253" s="365">
        <f t="shared" si="146"/>
        <v>0</v>
      </c>
      <c r="AM253" s="365">
        <f t="shared" si="147"/>
        <v>0</v>
      </c>
      <c r="AN253" s="365">
        <f t="shared" si="148"/>
        <v>0</v>
      </c>
      <c r="AO253" s="365">
        <f t="shared" si="149"/>
        <v>0</v>
      </c>
      <c r="AP253" s="365">
        <f t="shared" si="150"/>
        <v>0</v>
      </c>
      <c r="AQ253" s="365">
        <f t="shared" si="151"/>
        <v>0</v>
      </c>
      <c r="AR253" s="365">
        <f t="shared" si="152"/>
        <v>0</v>
      </c>
      <c r="AS253" s="365">
        <f t="shared" si="153"/>
        <v>0</v>
      </c>
      <c r="AT253" s="363"/>
      <c r="AU253">
        <v>10.8983</v>
      </c>
    </row>
    <row r="254" ht="24" spans="1:47">
      <c r="A254" s="284" t="s">
        <v>195</v>
      </c>
      <c r="B254" s="284" t="s">
        <v>438</v>
      </c>
      <c r="C254" s="284" t="s">
        <v>503</v>
      </c>
      <c r="D254" s="284" t="s">
        <v>479</v>
      </c>
      <c r="E254" s="365">
        <f t="shared" si="134"/>
        <v>0</v>
      </c>
      <c r="F254" s="365">
        <f t="shared" si="135"/>
        <v>0</v>
      </c>
      <c r="G254" s="365"/>
      <c r="H254" s="365"/>
      <c r="I254" s="365"/>
      <c r="J254" s="365"/>
      <c r="K254" s="365"/>
      <c r="L254" s="365">
        <f t="shared" si="136"/>
        <v>0</v>
      </c>
      <c r="M254" s="365"/>
      <c r="N254" s="365"/>
      <c r="O254" s="365"/>
      <c r="P254" s="365">
        <f t="shared" si="154"/>
        <v>0</v>
      </c>
      <c r="Q254" s="365">
        <f t="shared" si="137"/>
        <v>0</v>
      </c>
      <c r="R254" s="365"/>
      <c r="S254" s="365"/>
      <c r="T254" s="365"/>
      <c r="U254" s="365"/>
      <c r="V254" s="365"/>
      <c r="W254" s="365">
        <f t="shared" si="138"/>
        <v>0</v>
      </c>
      <c r="X254" s="365"/>
      <c r="Y254" s="365"/>
      <c r="Z254" s="365"/>
      <c r="AA254" s="365"/>
      <c r="AB254" s="365"/>
      <c r="AC254" s="365"/>
      <c r="AD254" s="366">
        <v>0</v>
      </c>
      <c r="AE254" s="365">
        <f t="shared" si="139"/>
        <v>0</v>
      </c>
      <c r="AF254" s="365">
        <f t="shared" si="140"/>
        <v>0</v>
      </c>
      <c r="AG254" s="365">
        <f t="shared" si="141"/>
        <v>0</v>
      </c>
      <c r="AH254" s="365">
        <f t="shared" si="142"/>
        <v>0</v>
      </c>
      <c r="AI254" s="365">
        <f t="shared" si="143"/>
        <v>0</v>
      </c>
      <c r="AJ254" s="365">
        <f t="shared" si="144"/>
        <v>0</v>
      </c>
      <c r="AK254" s="365">
        <f t="shared" si="145"/>
        <v>0</v>
      </c>
      <c r="AL254" s="365">
        <f t="shared" si="146"/>
        <v>0</v>
      </c>
      <c r="AM254" s="365">
        <f t="shared" si="147"/>
        <v>0</v>
      </c>
      <c r="AN254" s="365">
        <f t="shared" si="148"/>
        <v>0</v>
      </c>
      <c r="AO254" s="365">
        <f t="shared" si="149"/>
        <v>0</v>
      </c>
      <c r="AP254" s="365">
        <f t="shared" si="150"/>
        <v>0</v>
      </c>
      <c r="AQ254" s="365">
        <f t="shared" si="151"/>
        <v>0</v>
      </c>
      <c r="AR254" s="365">
        <f t="shared" si="152"/>
        <v>0</v>
      </c>
      <c r="AS254" s="365">
        <f t="shared" si="153"/>
        <v>0</v>
      </c>
      <c r="AT254" s="363"/>
      <c r="AU254">
        <v>4</v>
      </c>
    </row>
    <row r="255" ht="36" spans="1:47">
      <c r="A255" s="284" t="s">
        <v>195</v>
      </c>
      <c r="B255" s="284" t="s">
        <v>199</v>
      </c>
      <c r="C255" s="284" t="s">
        <v>504</v>
      </c>
      <c r="D255" s="284" t="s">
        <v>505</v>
      </c>
      <c r="E255" s="365">
        <f t="shared" si="134"/>
        <v>0</v>
      </c>
      <c r="F255" s="365">
        <f t="shared" si="135"/>
        <v>0</v>
      </c>
      <c r="G255" s="365"/>
      <c r="H255" s="365"/>
      <c r="I255" s="365"/>
      <c r="J255" s="365"/>
      <c r="K255" s="365"/>
      <c r="L255" s="365">
        <f t="shared" si="136"/>
        <v>0</v>
      </c>
      <c r="M255" s="365"/>
      <c r="N255" s="365"/>
      <c r="O255" s="365"/>
      <c r="P255" s="365">
        <f t="shared" si="154"/>
        <v>0</v>
      </c>
      <c r="Q255" s="365">
        <f t="shared" si="137"/>
        <v>0</v>
      </c>
      <c r="R255" s="365"/>
      <c r="S255" s="365"/>
      <c r="T255" s="365"/>
      <c r="U255" s="365"/>
      <c r="V255" s="365"/>
      <c r="W255" s="365">
        <f t="shared" si="138"/>
        <v>0</v>
      </c>
      <c r="X255" s="365"/>
      <c r="Y255" s="365"/>
      <c r="Z255" s="365"/>
      <c r="AA255" s="365"/>
      <c r="AB255" s="365"/>
      <c r="AC255" s="365"/>
      <c r="AD255" s="366">
        <v>0</v>
      </c>
      <c r="AE255" s="365">
        <f t="shared" si="139"/>
        <v>0</v>
      </c>
      <c r="AF255" s="365">
        <f t="shared" si="140"/>
        <v>0</v>
      </c>
      <c r="AG255" s="365">
        <f t="shared" si="141"/>
        <v>0</v>
      </c>
      <c r="AH255" s="365">
        <f t="shared" si="142"/>
        <v>0</v>
      </c>
      <c r="AI255" s="365">
        <f t="shared" si="143"/>
        <v>0</v>
      </c>
      <c r="AJ255" s="365">
        <f t="shared" si="144"/>
        <v>0</v>
      </c>
      <c r="AK255" s="365">
        <f t="shared" si="145"/>
        <v>0</v>
      </c>
      <c r="AL255" s="365">
        <f t="shared" si="146"/>
        <v>0</v>
      </c>
      <c r="AM255" s="365">
        <f t="shared" si="147"/>
        <v>0</v>
      </c>
      <c r="AN255" s="365">
        <f t="shared" si="148"/>
        <v>0</v>
      </c>
      <c r="AO255" s="365">
        <f t="shared" si="149"/>
        <v>0</v>
      </c>
      <c r="AP255" s="365">
        <f t="shared" si="150"/>
        <v>0</v>
      </c>
      <c r="AQ255" s="365">
        <f t="shared" si="151"/>
        <v>0</v>
      </c>
      <c r="AR255" s="365">
        <f t="shared" si="152"/>
        <v>0</v>
      </c>
      <c r="AS255" s="365">
        <f t="shared" si="153"/>
        <v>0</v>
      </c>
      <c r="AT255" s="363"/>
      <c r="AU255">
        <v>19.6</v>
      </c>
    </row>
    <row r="256" ht="36" spans="1:47">
      <c r="A256" s="284" t="s">
        <v>195</v>
      </c>
      <c r="B256" s="284" t="s">
        <v>199</v>
      </c>
      <c r="C256" s="284" t="s">
        <v>506</v>
      </c>
      <c r="D256" s="284" t="s">
        <v>505</v>
      </c>
      <c r="E256" s="365">
        <f t="shared" si="134"/>
        <v>0</v>
      </c>
      <c r="F256" s="365">
        <f t="shared" si="135"/>
        <v>0</v>
      </c>
      <c r="G256" s="365"/>
      <c r="H256" s="365"/>
      <c r="I256" s="365"/>
      <c r="J256" s="365"/>
      <c r="K256" s="365"/>
      <c r="L256" s="365">
        <f t="shared" si="136"/>
        <v>0</v>
      </c>
      <c r="M256" s="365"/>
      <c r="N256" s="365"/>
      <c r="O256" s="365"/>
      <c r="P256" s="365">
        <f t="shared" si="154"/>
        <v>0</v>
      </c>
      <c r="Q256" s="365">
        <f t="shared" si="137"/>
        <v>0</v>
      </c>
      <c r="R256" s="365"/>
      <c r="S256" s="365"/>
      <c r="T256" s="365"/>
      <c r="U256" s="365"/>
      <c r="V256" s="365"/>
      <c r="W256" s="365">
        <f t="shared" si="138"/>
        <v>0</v>
      </c>
      <c r="X256" s="365"/>
      <c r="Y256" s="365"/>
      <c r="Z256" s="365"/>
      <c r="AA256" s="365"/>
      <c r="AB256" s="365"/>
      <c r="AC256" s="365"/>
      <c r="AD256" s="366">
        <v>0</v>
      </c>
      <c r="AE256" s="365">
        <f t="shared" si="139"/>
        <v>0</v>
      </c>
      <c r="AF256" s="365">
        <f t="shared" si="140"/>
        <v>0</v>
      </c>
      <c r="AG256" s="365">
        <f t="shared" si="141"/>
        <v>0</v>
      </c>
      <c r="AH256" s="365">
        <f t="shared" si="142"/>
        <v>0</v>
      </c>
      <c r="AI256" s="365">
        <f t="shared" si="143"/>
        <v>0</v>
      </c>
      <c r="AJ256" s="365">
        <f t="shared" si="144"/>
        <v>0</v>
      </c>
      <c r="AK256" s="365">
        <f t="shared" si="145"/>
        <v>0</v>
      </c>
      <c r="AL256" s="365">
        <f t="shared" si="146"/>
        <v>0</v>
      </c>
      <c r="AM256" s="365">
        <f t="shared" si="147"/>
        <v>0</v>
      </c>
      <c r="AN256" s="365">
        <f t="shared" si="148"/>
        <v>0</v>
      </c>
      <c r="AO256" s="365">
        <f t="shared" si="149"/>
        <v>0</v>
      </c>
      <c r="AP256" s="365">
        <f t="shared" si="150"/>
        <v>0</v>
      </c>
      <c r="AQ256" s="365">
        <f t="shared" si="151"/>
        <v>0</v>
      </c>
      <c r="AR256" s="365">
        <f t="shared" si="152"/>
        <v>0</v>
      </c>
      <c r="AS256" s="365">
        <f t="shared" si="153"/>
        <v>0</v>
      </c>
      <c r="AT256" s="363"/>
      <c r="AU256">
        <v>13.4</v>
      </c>
    </row>
    <row r="257" ht="24" spans="1:47">
      <c r="A257" s="284" t="s">
        <v>195</v>
      </c>
      <c r="B257" s="284" t="s">
        <v>196</v>
      </c>
      <c r="C257" s="284" t="s">
        <v>507</v>
      </c>
      <c r="D257" s="284" t="s">
        <v>508</v>
      </c>
      <c r="E257" s="365">
        <f t="shared" si="134"/>
        <v>129.54</v>
      </c>
      <c r="F257" s="365">
        <f t="shared" si="135"/>
        <v>25.54</v>
      </c>
      <c r="G257" s="365">
        <v>14.7</v>
      </c>
      <c r="H257" s="365">
        <v>9.61</v>
      </c>
      <c r="I257" s="365">
        <v>1.23</v>
      </c>
      <c r="J257" s="365"/>
      <c r="K257" s="365"/>
      <c r="L257" s="365">
        <f t="shared" si="136"/>
        <v>104</v>
      </c>
      <c r="M257" s="365"/>
      <c r="N257" s="365"/>
      <c r="O257" s="366">
        <v>104</v>
      </c>
      <c r="P257" s="365">
        <f t="shared" si="154"/>
        <v>-69.8884</v>
      </c>
      <c r="Q257" s="365">
        <f t="shared" si="137"/>
        <v>3.77</v>
      </c>
      <c r="R257" s="365">
        <v>1.28</v>
      </c>
      <c r="S257" s="365">
        <v>2.39</v>
      </c>
      <c r="T257" s="365">
        <v>0.1</v>
      </c>
      <c r="U257" s="365"/>
      <c r="V257" s="365"/>
      <c r="W257" s="365">
        <f t="shared" si="138"/>
        <v>-73.6584</v>
      </c>
      <c r="X257" s="365"/>
      <c r="Y257" s="365">
        <f>8.79+6.63</f>
        <v>15.42</v>
      </c>
      <c r="Z257" s="365">
        <v>2</v>
      </c>
      <c r="AA257" s="365"/>
      <c r="AB257" s="365">
        <v>12.6216</v>
      </c>
      <c r="AC257" s="365">
        <v>0.3</v>
      </c>
      <c r="AD257" s="366">
        <v>-104</v>
      </c>
      <c r="AE257" s="365">
        <f t="shared" si="139"/>
        <v>59.6516</v>
      </c>
      <c r="AF257" s="365">
        <f t="shared" si="140"/>
        <v>29.31</v>
      </c>
      <c r="AG257" s="365">
        <f t="shared" si="141"/>
        <v>15.98</v>
      </c>
      <c r="AH257" s="365">
        <f t="shared" si="142"/>
        <v>12</v>
      </c>
      <c r="AI257" s="365">
        <f t="shared" si="143"/>
        <v>1.33</v>
      </c>
      <c r="AJ257" s="365">
        <f t="shared" si="144"/>
        <v>0</v>
      </c>
      <c r="AK257" s="365">
        <f t="shared" si="145"/>
        <v>0</v>
      </c>
      <c r="AL257" s="365">
        <f t="shared" si="146"/>
        <v>30.3416</v>
      </c>
      <c r="AM257" s="365">
        <f t="shared" si="147"/>
        <v>0</v>
      </c>
      <c r="AN257" s="365">
        <f t="shared" si="148"/>
        <v>15.42</v>
      </c>
      <c r="AO257" s="365">
        <f t="shared" si="149"/>
        <v>2</v>
      </c>
      <c r="AP257" s="365">
        <f t="shared" si="150"/>
        <v>0</v>
      </c>
      <c r="AQ257" s="365">
        <f t="shared" si="151"/>
        <v>12.6216</v>
      </c>
      <c r="AR257" s="365">
        <f t="shared" si="152"/>
        <v>0.3</v>
      </c>
      <c r="AS257" s="365">
        <f t="shared" si="153"/>
        <v>0</v>
      </c>
      <c r="AT257" s="363"/>
      <c r="AU257">
        <v>12.6216</v>
      </c>
    </row>
    <row r="258" ht="36" spans="1:47">
      <c r="A258" s="284" t="s">
        <v>195</v>
      </c>
      <c r="B258" s="284" t="s">
        <v>199</v>
      </c>
      <c r="C258" s="284" t="s">
        <v>509</v>
      </c>
      <c r="D258" s="284" t="s">
        <v>510</v>
      </c>
      <c r="E258" s="365">
        <f t="shared" si="134"/>
        <v>0</v>
      </c>
      <c r="F258" s="365">
        <f t="shared" si="135"/>
        <v>0</v>
      </c>
      <c r="G258" s="365"/>
      <c r="H258" s="365"/>
      <c r="I258" s="365"/>
      <c r="J258" s="365"/>
      <c r="K258" s="365"/>
      <c r="L258" s="365">
        <f t="shared" si="136"/>
        <v>0</v>
      </c>
      <c r="M258" s="365"/>
      <c r="N258" s="365"/>
      <c r="O258" s="365"/>
      <c r="P258" s="365">
        <f t="shared" si="154"/>
        <v>0</v>
      </c>
      <c r="Q258" s="365">
        <f t="shared" si="137"/>
        <v>0</v>
      </c>
      <c r="R258" s="365"/>
      <c r="S258" s="365"/>
      <c r="T258" s="365"/>
      <c r="U258" s="365"/>
      <c r="V258" s="365"/>
      <c r="W258" s="365">
        <f t="shared" si="138"/>
        <v>0</v>
      </c>
      <c r="X258" s="365"/>
      <c r="Y258" s="365"/>
      <c r="Z258" s="365"/>
      <c r="AA258" s="365"/>
      <c r="AB258" s="365"/>
      <c r="AC258" s="365"/>
      <c r="AD258" s="366">
        <v>0</v>
      </c>
      <c r="AE258" s="365">
        <f t="shared" si="139"/>
        <v>0</v>
      </c>
      <c r="AF258" s="365">
        <f t="shared" si="140"/>
        <v>0</v>
      </c>
      <c r="AG258" s="365">
        <f t="shared" si="141"/>
        <v>0</v>
      </c>
      <c r="AH258" s="365">
        <f t="shared" si="142"/>
        <v>0</v>
      </c>
      <c r="AI258" s="365">
        <f t="shared" si="143"/>
        <v>0</v>
      </c>
      <c r="AJ258" s="365">
        <f t="shared" si="144"/>
        <v>0</v>
      </c>
      <c r="AK258" s="365">
        <f t="shared" si="145"/>
        <v>0</v>
      </c>
      <c r="AL258" s="365">
        <f t="shared" si="146"/>
        <v>0</v>
      </c>
      <c r="AM258" s="365">
        <f t="shared" si="147"/>
        <v>0</v>
      </c>
      <c r="AN258" s="365">
        <f t="shared" si="148"/>
        <v>0</v>
      </c>
      <c r="AO258" s="365">
        <f t="shared" si="149"/>
        <v>0</v>
      </c>
      <c r="AP258" s="365">
        <f t="shared" si="150"/>
        <v>0</v>
      </c>
      <c r="AQ258" s="365">
        <f t="shared" si="151"/>
        <v>0</v>
      </c>
      <c r="AR258" s="365">
        <f t="shared" si="152"/>
        <v>0</v>
      </c>
      <c r="AS258" s="365">
        <f t="shared" si="153"/>
        <v>0</v>
      </c>
      <c r="AT258" s="363"/>
      <c r="AU258">
        <v>5</v>
      </c>
    </row>
    <row r="259" s="311" customFormat="1" ht="21" customHeight="1" spans="1:47">
      <c r="A259" s="329"/>
      <c r="B259" s="329" t="s">
        <v>747</v>
      </c>
      <c r="C259" s="329" t="s">
        <v>135</v>
      </c>
      <c r="D259" s="329">
        <v>206</v>
      </c>
      <c r="E259" s="364">
        <f t="shared" ref="E259:O259" si="155">SUM(E260:E261)</f>
        <v>52.52</v>
      </c>
      <c r="F259" s="364">
        <f t="shared" si="155"/>
        <v>52.12</v>
      </c>
      <c r="G259" s="364">
        <f t="shared" si="155"/>
        <v>29.15</v>
      </c>
      <c r="H259" s="364">
        <f t="shared" si="155"/>
        <v>20.54</v>
      </c>
      <c r="I259" s="364">
        <f t="shared" si="155"/>
        <v>2.43</v>
      </c>
      <c r="J259" s="364">
        <f t="shared" si="155"/>
        <v>0</v>
      </c>
      <c r="K259" s="364">
        <f t="shared" si="155"/>
        <v>0</v>
      </c>
      <c r="L259" s="364">
        <f t="shared" si="155"/>
        <v>0.4</v>
      </c>
      <c r="M259" s="364">
        <f t="shared" si="155"/>
        <v>0</v>
      </c>
      <c r="N259" s="364">
        <f t="shared" si="155"/>
        <v>0.4</v>
      </c>
      <c r="O259" s="364">
        <f t="shared" si="155"/>
        <v>0</v>
      </c>
      <c r="P259" s="364">
        <f t="shared" si="154"/>
        <v>35.1468</v>
      </c>
      <c r="Q259" s="364">
        <f t="shared" ref="Q259:AD259" si="156">SUM(Q260:Q261)</f>
        <v>5.56</v>
      </c>
      <c r="R259" s="364">
        <f t="shared" si="156"/>
        <v>4.65</v>
      </c>
      <c r="S259" s="364">
        <f t="shared" si="156"/>
        <v>0.65</v>
      </c>
      <c r="T259" s="364">
        <f t="shared" si="156"/>
        <v>0.26</v>
      </c>
      <c r="U259" s="364">
        <f t="shared" si="156"/>
        <v>0</v>
      </c>
      <c r="V259" s="364">
        <f t="shared" si="156"/>
        <v>0</v>
      </c>
      <c r="W259" s="364">
        <f t="shared" si="156"/>
        <v>29.5868</v>
      </c>
      <c r="X259" s="364">
        <f t="shared" si="156"/>
        <v>0</v>
      </c>
      <c r="Y259" s="364">
        <f t="shared" si="156"/>
        <v>21.13</v>
      </c>
      <c r="Z259" s="364">
        <f t="shared" si="156"/>
        <v>2</v>
      </c>
      <c r="AA259" s="364">
        <f t="shared" si="156"/>
        <v>0</v>
      </c>
      <c r="AB259" s="364">
        <f t="shared" si="156"/>
        <v>6.1568</v>
      </c>
      <c r="AC259" s="364">
        <f t="shared" si="156"/>
        <v>0.3</v>
      </c>
      <c r="AD259" s="364">
        <f t="shared" si="156"/>
        <v>0</v>
      </c>
      <c r="AE259" s="364">
        <f t="shared" si="139"/>
        <v>87.6668</v>
      </c>
      <c r="AF259" s="364">
        <f t="shared" ref="AF259:AS259" si="157">SUM(AF260:AF261)</f>
        <v>57.68</v>
      </c>
      <c r="AG259" s="364">
        <f t="shared" si="157"/>
        <v>33.8</v>
      </c>
      <c r="AH259" s="364">
        <f t="shared" si="157"/>
        <v>21.19</v>
      </c>
      <c r="AI259" s="364">
        <f t="shared" si="157"/>
        <v>2.69</v>
      </c>
      <c r="AJ259" s="364">
        <f t="shared" si="157"/>
        <v>0</v>
      </c>
      <c r="AK259" s="364">
        <f t="shared" si="157"/>
        <v>0</v>
      </c>
      <c r="AL259" s="364">
        <f t="shared" si="157"/>
        <v>29.9868</v>
      </c>
      <c r="AM259" s="364">
        <f t="shared" si="157"/>
        <v>0</v>
      </c>
      <c r="AN259" s="364">
        <f t="shared" si="157"/>
        <v>21.13</v>
      </c>
      <c r="AO259" s="364">
        <f t="shared" si="157"/>
        <v>2</v>
      </c>
      <c r="AP259" s="364">
        <f t="shared" si="157"/>
        <v>0</v>
      </c>
      <c r="AQ259" s="364">
        <f t="shared" si="157"/>
        <v>6.1568</v>
      </c>
      <c r="AR259" s="364">
        <f t="shared" si="157"/>
        <v>0.7</v>
      </c>
      <c r="AS259" s="364">
        <f t="shared" si="157"/>
        <v>0</v>
      </c>
      <c r="AT259" s="372"/>
      <c r="AU259" s="373"/>
    </row>
    <row r="260" ht="24" spans="1:47">
      <c r="A260" s="284" t="s">
        <v>195</v>
      </c>
      <c r="B260" s="284" t="s">
        <v>196</v>
      </c>
      <c r="C260" s="284" t="s">
        <v>791</v>
      </c>
      <c r="D260" s="284" t="s">
        <v>512</v>
      </c>
      <c r="E260" s="365">
        <f t="shared" ref="E260:E276" si="158">F260+L260</f>
        <v>52.52</v>
      </c>
      <c r="F260" s="365">
        <f t="shared" ref="F260:F276" si="159">SUM(G260:K260)</f>
        <v>52.12</v>
      </c>
      <c r="G260" s="365">
        <v>29.15</v>
      </c>
      <c r="H260" s="365">
        <v>20.54</v>
      </c>
      <c r="I260" s="365">
        <v>2.43</v>
      </c>
      <c r="J260" s="365"/>
      <c r="K260" s="365"/>
      <c r="L260" s="365">
        <f t="shared" ref="L260:L276" si="160">SUM(M260:O260)</f>
        <v>0.4</v>
      </c>
      <c r="M260" s="365"/>
      <c r="N260" s="371">
        <v>0.4</v>
      </c>
      <c r="O260" s="365"/>
      <c r="P260" s="365">
        <f t="shared" si="154"/>
        <v>35.1468</v>
      </c>
      <c r="Q260" s="365">
        <f t="shared" ref="Q260:Q276" si="161">SUM(R260:V260)</f>
        <v>5.56</v>
      </c>
      <c r="R260" s="365">
        <v>4.65</v>
      </c>
      <c r="S260" s="365">
        <v>0.65</v>
      </c>
      <c r="T260" s="365">
        <v>0.26</v>
      </c>
      <c r="U260" s="365"/>
      <c r="V260" s="365"/>
      <c r="W260" s="365">
        <f>SUM(X260:AD260)</f>
        <v>29.5868</v>
      </c>
      <c r="X260" s="365"/>
      <c r="Y260" s="365">
        <f>16.25+4.88</f>
        <v>21.13</v>
      </c>
      <c r="Z260" s="365">
        <v>2</v>
      </c>
      <c r="AA260" s="365"/>
      <c r="AB260" s="365">
        <v>6.1568</v>
      </c>
      <c r="AC260" s="370">
        <v>0.3</v>
      </c>
      <c r="AD260" s="366">
        <v>0</v>
      </c>
      <c r="AE260" s="365">
        <f t="shared" si="139"/>
        <v>87.6668</v>
      </c>
      <c r="AF260" s="365">
        <f t="shared" ref="AF260:AF276" si="162">SUM(AG260:AK260)</f>
        <v>57.68</v>
      </c>
      <c r="AG260" s="365">
        <f t="shared" ref="AG260:AK260" si="163">G260+R260</f>
        <v>33.8</v>
      </c>
      <c r="AH260" s="365">
        <f t="shared" si="163"/>
        <v>21.19</v>
      </c>
      <c r="AI260" s="365">
        <f t="shared" si="163"/>
        <v>2.69</v>
      </c>
      <c r="AJ260" s="365">
        <f t="shared" si="163"/>
        <v>0</v>
      </c>
      <c r="AK260" s="365">
        <f t="shared" si="163"/>
        <v>0</v>
      </c>
      <c r="AL260" s="365">
        <f t="shared" ref="AL260:AL276" si="164">SUM(AM260:AS260)</f>
        <v>29.9868</v>
      </c>
      <c r="AM260" s="365">
        <f>M260+X260</f>
        <v>0</v>
      </c>
      <c r="AN260" s="365">
        <f t="shared" ref="AN260:AN276" si="165">Y260</f>
        <v>21.13</v>
      </c>
      <c r="AO260" s="365">
        <f>Z260</f>
        <v>2</v>
      </c>
      <c r="AP260" s="365">
        <f t="shared" ref="AP260:AP276" si="166">AA260</f>
        <v>0</v>
      </c>
      <c r="AQ260" s="365">
        <f>AB260</f>
        <v>6.1568</v>
      </c>
      <c r="AR260" s="365">
        <f>N260+AC260</f>
        <v>0.7</v>
      </c>
      <c r="AS260" s="365">
        <f>O260+AD260</f>
        <v>0</v>
      </c>
      <c r="AT260" s="350" t="s">
        <v>792</v>
      </c>
      <c r="AU260">
        <v>6.1568</v>
      </c>
    </row>
    <row r="261" ht="24" spans="1:47">
      <c r="A261" s="284" t="s">
        <v>195</v>
      </c>
      <c r="B261" s="284" t="s">
        <v>199</v>
      </c>
      <c r="C261" s="284" t="s">
        <v>513</v>
      </c>
      <c r="D261" s="284" t="s">
        <v>512</v>
      </c>
      <c r="E261" s="365">
        <f t="shared" si="158"/>
        <v>0</v>
      </c>
      <c r="F261" s="365">
        <f t="shared" si="159"/>
        <v>0</v>
      </c>
      <c r="G261" s="365"/>
      <c r="H261" s="365"/>
      <c r="I261" s="365"/>
      <c r="J261" s="365"/>
      <c r="K261" s="365"/>
      <c r="L261" s="365">
        <f t="shared" si="160"/>
        <v>0</v>
      </c>
      <c r="M261" s="365"/>
      <c r="N261" s="365"/>
      <c r="O261" s="365"/>
      <c r="P261" s="365">
        <f t="shared" si="154"/>
        <v>0</v>
      </c>
      <c r="Q261" s="365">
        <f t="shared" si="161"/>
        <v>0</v>
      </c>
      <c r="R261" s="365"/>
      <c r="S261" s="365"/>
      <c r="T261" s="365"/>
      <c r="U261" s="365"/>
      <c r="V261" s="365"/>
      <c r="W261" s="365">
        <f t="shared" ref="W261:W276" si="167">SUM(X261:AD261)</f>
        <v>0</v>
      </c>
      <c r="X261" s="365"/>
      <c r="Y261" s="365"/>
      <c r="Z261" s="365"/>
      <c r="AA261" s="365"/>
      <c r="AB261" s="365"/>
      <c r="AC261" s="365"/>
      <c r="AD261" s="366">
        <v>0</v>
      </c>
      <c r="AE261" s="365">
        <f t="shared" si="139"/>
        <v>0</v>
      </c>
      <c r="AF261" s="365">
        <f t="shared" si="162"/>
        <v>0</v>
      </c>
      <c r="AG261" s="365">
        <f t="shared" ref="AG261:AK261" si="168">G261+R261</f>
        <v>0</v>
      </c>
      <c r="AH261" s="365">
        <f t="shared" si="168"/>
        <v>0</v>
      </c>
      <c r="AI261" s="365">
        <f t="shared" si="168"/>
        <v>0</v>
      </c>
      <c r="AJ261" s="365">
        <f t="shared" si="168"/>
        <v>0</v>
      </c>
      <c r="AK261" s="365">
        <f t="shared" si="168"/>
        <v>0</v>
      </c>
      <c r="AL261" s="365">
        <f t="shared" si="164"/>
        <v>0</v>
      </c>
      <c r="AM261" s="365">
        <f>M261+X261</f>
        <v>0</v>
      </c>
      <c r="AN261" s="365">
        <f t="shared" si="165"/>
        <v>0</v>
      </c>
      <c r="AO261" s="365">
        <f>Z261</f>
        <v>0</v>
      </c>
      <c r="AP261" s="365">
        <f t="shared" si="166"/>
        <v>0</v>
      </c>
      <c r="AQ261" s="365">
        <f>AB261</f>
        <v>0</v>
      </c>
      <c r="AR261" s="365">
        <f>N261+AC261</f>
        <v>0</v>
      </c>
      <c r="AS261" s="365">
        <f>O261+AD261</f>
        <v>0</v>
      </c>
      <c r="AT261" s="363"/>
      <c r="AU261">
        <v>0.5</v>
      </c>
    </row>
    <row r="262" s="311" customFormat="1" ht="21" customHeight="1" spans="1:47">
      <c r="A262" s="329"/>
      <c r="B262" s="329" t="s">
        <v>748</v>
      </c>
      <c r="C262" s="329" t="s">
        <v>136</v>
      </c>
      <c r="D262" s="329">
        <v>207</v>
      </c>
      <c r="E262" s="364">
        <f t="shared" ref="E262:O262" si="169">SUM(E263:E276)</f>
        <v>307.5</v>
      </c>
      <c r="F262" s="364">
        <f t="shared" si="169"/>
        <v>101.55</v>
      </c>
      <c r="G262" s="364">
        <f t="shared" si="169"/>
        <v>55.86</v>
      </c>
      <c r="H262" s="364">
        <f t="shared" si="169"/>
        <v>41.04</v>
      </c>
      <c r="I262" s="364">
        <f t="shared" si="169"/>
        <v>4.65</v>
      </c>
      <c r="J262" s="364">
        <f t="shared" si="169"/>
        <v>0</v>
      </c>
      <c r="K262" s="364">
        <f t="shared" si="169"/>
        <v>0</v>
      </c>
      <c r="L262" s="364">
        <f t="shared" si="169"/>
        <v>205.95</v>
      </c>
      <c r="M262" s="364">
        <f t="shared" si="169"/>
        <v>56.95</v>
      </c>
      <c r="N262" s="364">
        <f t="shared" si="169"/>
        <v>0</v>
      </c>
      <c r="O262" s="364">
        <f t="shared" si="169"/>
        <v>149</v>
      </c>
      <c r="P262" s="364">
        <f t="shared" si="154"/>
        <v>-57.7044</v>
      </c>
      <c r="Q262" s="364">
        <f t="shared" ref="Q262:AD262" si="170">SUM(Q263:Q276)</f>
        <v>-6.1</v>
      </c>
      <c r="R262" s="364">
        <f t="shared" si="170"/>
        <v>-6.23</v>
      </c>
      <c r="S262" s="364">
        <f t="shared" si="170"/>
        <v>-0.03</v>
      </c>
      <c r="T262" s="364">
        <f t="shared" si="170"/>
        <v>0.16</v>
      </c>
      <c r="U262" s="364">
        <f t="shared" si="170"/>
        <v>0</v>
      </c>
      <c r="V262" s="364">
        <f t="shared" si="170"/>
        <v>0</v>
      </c>
      <c r="W262" s="364">
        <f t="shared" si="170"/>
        <v>-51.6044</v>
      </c>
      <c r="X262" s="364">
        <f t="shared" si="170"/>
        <v>0</v>
      </c>
      <c r="Y262" s="364">
        <f t="shared" si="170"/>
        <v>39.39</v>
      </c>
      <c r="Z262" s="364">
        <f t="shared" si="170"/>
        <v>21</v>
      </c>
      <c r="AA262" s="364">
        <f t="shared" si="170"/>
        <v>0</v>
      </c>
      <c r="AB262" s="364">
        <f t="shared" si="170"/>
        <v>36.5556</v>
      </c>
      <c r="AC262" s="364">
        <f t="shared" si="170"/>
        <v>0.45</v>
      </c>
      <c r="AD262" s="364">
        <f t="shared" si="170"/>
        <v>-149</v>
      </c>
      <c r="AE262" s="364">
        <f t="shared" si="139"/>
        <v>249.7956</v>
      </c>
      <c r="AF262" s="364">
        <f t="shared" ref="AF262:AS262" si="171">SUM(AF263:AF276)</f>
        <v>95.45</v>
      </c>
      <c r="AG262" s="364">
        <f t="shared" si="171"/>
        <v>49.63</v>
      </c>
      <c r="AH262" s="364">
        <f t="shared" si="171"/>
        <v>41.01</v>
      </c>
      <c r="AI262" s="364">
        <f t="shared" si="171"/>
        <v>4.81</v>
      </c>
      <c r="AJ262" s="364">
        <f t="shared" si="171"/>
        <v>0</v>
      </c>
      <c r="AK262" s="364">
        <f t="shared" si="171"/>
        <v>0</v>
      </c>
      <c r="AL262" s="364">
        <f t="shared" si="171"/>
        <v>154.3456</v>
      </c>
      <c r="AM262" s="364">
        <f t="shared" si="171"/>
        <v>56.95</v>
      </c>
      <c r="AN262" s="364">
        <f t="shared" si="171"/>
        <v>39.39</v>
      </c>
      <c r="AO262" s="364">
        <f t="shared" si="171"/>
        <v>21</v>
      </c>
      <c r="AP262" s="364">
        <f t="shared" si="171"/>
        <v>0</v>
      </c>
      <c r="AQ262" s="364">
        <f t="shared" si="171"/>
        <v>36.5556</v>
      </c>
      <c r="AR262" s="364">
        <f t="shared" si="171"/>
        <v>0.45</v>
      </c>
      <c r="AS262" s="364">
        <f t="shared" si="171"/>
        <v>0</v>
      </c>
      <c r="AT262" s="372"/>
      <c r="AU262" s="373"/>
    </row>
    <row r="263" ht="24" spans="1:47">
      <c r="A263" s="284" t="s">
        <v>195</v>
      </c>
      <c r="B263" s="284" t="s">
        <v>196</v>
      </c>
      <c r="C263" s="284" t="s">
        <v>514</v>
      </c>
      <c r="D263" s="284" t="s">
        <v>515</v>
      </c>
      <c r="E263" s="365">
        <f t="shared" si="158"/>
        <v>198.55</v>
      </c>
      <c r="F263" s="365">
        <f t="shared" si="159"/>
        <v>52.22</v>
      </c>
      <c r="G263" s="365">
        <v>29.56</v>
      </c>
      <c r="H263" s="365">
        <v>20.2</v>
      </c>
      <c r="I263" s="365">
        <v>2.46</v>
      </c>
      <c r="J263" s="365"/>
      <c r="K263" s="365"/>
      <c r="L263" s="365">
        <f t="shared" si="160"/>
        <v>146.33</v>
      </c>
      <c r="M263" s="365">
        <v>17.33</v>
      </c>
      <c r="N263" s="365"/>
      <c r="O263" s="366">
        <v>129</v>
      </c>
      <c r="P263" s="365">
        <f t="shared" si="154"/>
        <v>-77.598</v>
      </c>
      <c r="Q263" s="365">
        <f t="shared" si="161"/>
        <v>2.88</v>
      </c>
      <c r="R263" s="365">
        <v>3.03</v>
      </c>
      <c r="S263" s="365">
        <v>-0.39</v>
      </c>
      <c r="T263" s="365">
        <v>0.24</v>
      </c>
      <c r="U263" s="365"/>
      <c r="V263" s="365"/>
      <c r="W263" s="365">
        <f>SUM(X263:AD263)</f>
        <v>-80.478</v>
      </c>
      <c r="X263" s="365"/>
      <c r="Y263" s="365">
        <f>16+4.58</f>
        <v>20.58</v>
      </c>
      <c r="Z263" s="365">
        <v>12</v>
      </c>
      <c r="AA263" s="365"/>
      <c r="AB263" s="365">
        <v>15.642</v>
      </c>
      <c r="AC263" s="365">
        <v>0.3</v>
      </c>
      <c r="AD263" s="366">
        <v>-129</v>
      </c>
      <c r="AE263" s="365">
        <f t="shared" ref="AE263:AE326" si="172">AF263+AL263</f>
        <v>120.952</v>
      </c>
      <c r="AF263" s="365">
        <f t="shared" si="162"/>
        <v>55.1</v>
      </c>
      <c r="AG263" s="365">
        <f t="shared" ref="AG263:AG276" si="173">G263+R263</f>
        <v>32.59</v>
      </c>
      <c r="AH263" s="365">
        <f t="shared" ref="AH263:AH276" si="174">H263+S263</f>
        <v>19.81</v>
      </c>
      <c r="AI263" s="365">
        <f t="shared" ref="AI263:AI276" si="175">I263+T263</f>
        <v>2.7</v>
      </c>
      <c r="AJ263" s="365">
        <f t="shared" ref="AJ263:AJ276" si="176">J263+U263</f>
        <v>0</v>
      </c>
      <c r="AK263" s="365">
        <f t="shared" ref="AK263:AK276" si="177">K263+V263</f>
        <v>0</v>
      </c>
      <c r="AL263" s="365">
        <f t="shared" si="164"/>
        <v>65.852</v>
      </c>
      <c r="AM263" s="365">
        <f t="shared" ref="AM263:AM276" si="178">M263+X263</f>
        <v>17.33</v>
      </c>
      <c r="AN263" s="365">
        <f t="shared" si="165"/>
        <v>20.58</v>
      </c>
      <c r="AO263" s="365">
        <f t="shared" ref="AO263:AO276" si="179">Z263</f>
        <v>12</v>
      </c>
      <c r="AP263" s="365">
        <f t="shared" si="166"/>
        <v>0</v>
      </c>
      <c r="AQ263" s="365">
        <f t="shared" ref="AQ263:AQ276" si="180">AB263</f>
        <v>15.642</v>
      </c>
      <c r="AR263" s="365">
        <f t="shared" ref="AR263:AR276" si="181">N263+AC263</f>
        <v>0.3</v>
      </c>
      <c r="AS263" s="365">
        <f t="shared" ref="AS263:AS276" si="182">O263+AD263</f>
        <v>0</v>
      </c>
      <c r="AT263" s="350" t="s">
        <v>792</v>
      </c>
      <c r="AU263">
        <v>15.642</v>
      </c>
    </row>
    <row r="264" ht="24" spans="1:47">
      <c r="A264" s="284" t="s">
        <v>195</v>
      </c>
      <c r="B264" s="284" t="s">
        <v>199</v>
      </c>
      <c r="C264" s="284" t="s">
        <v>516</v>
      </c>
      <c r="D264" s="284" t="s">
        <v>517</v>
      </c>
      <c r="E264" s="365">
        <f t="shared" si="158"/>
        <v>0</v>
      </c>
      <c r="F264" s="365">
        <f t="shared" si="159"/>
        <v>0</v>
      </c>
      <c r="G264" s="365"/>
      <c r="H264" s="365"/>
      <c r="I264" s="365"/>
      <c r="J264" s="365"/>
      <c r="K264" s="365"/>
      <c r="L264" s="365">
        <f t="shared" si="160"/>
        <v>0</v>
      </c>
      <c r="M264" s="365"/>
      <c r="N264" s="365"/>
      <c r="O264" s="365"/>
      <c r="P264" s="365">
        <f t="shared" ref="P264:P327" si="183">Q264+W264</f>
        <v>0</v>
      </c>
      <c r="Q264" s="365">
        <f t="shared" si="161"/>
        <v>0</v>
      </c>
      <c r="R264" s="365"/>
      <c r="S264" s="365"/>
      <c r="T264" s="365"/>
      <c r="U264" s="365"/>
      <c r="V264" s="365"/>
      <c r="W264" s="365">
        <f t="shared" si="167"/>
        <v>0</v>
      </c>
      <c r="X264" s="365"/>
      <c r="Y264" s="365"/>
      <c r="Z264" s="365"/>
      <c r="AA264" s="365"/>
      <c r="AB264" s="365"/>
      <c r="AC264" s="365"/>
      <c r="AD264" s="366">
        <v>0</v>
      </c>
      <c r="AE264" s="365">
        <f t="shared" si="172"/>
        <v>0</v>
      </c>
      <c r="AF264" s="365">
        <f t="shared" si="162"/>
        <v>0</v>
      </c>
      <c r="AG264" s="365">
        <f t="shared" si="173"/>
        <v>0</v>
      </c>
      <c r="AH264" s="365">
        <f t="shared" si="174"/>
        <v>0</v>
      </c>
      <c r="AI264" s="365">
        <f t="shared" si="175"/>
        <v>0</v>
      </c>
      <c r="AJ264" s="365">
        <f t="shared" si="176"/>
        <v>0</v>
      </c>
      <c r="AK264" s="365">
        <f t="shared" si="177"/>
        <v>0</v>
      </c>
      <c r="AL264" s="365">
        <f t="shared" si="164"/>
        <v>0</v>
      </c>
      <c r="AM264" s="365">
        <f t="shared" si="178"/>
        <v>0</v>
      </c>
      <c r="AN264" s="365">
        <f t="shared" si="165"/>
        <v>0</v>
      </c>
      <c r="AO264" s="365">
        <f t="shared" si="179"/>
        <v>0</v>
      </c>
      <c r="AP264" s="365">
        <f t="shared" si="166"/>
        <v>0</v>
      </c>
      <c r="AQ264" s="365">
        <f t="shared" si="180"/>
        <v>0</v>
      </c>
      <c r="AR264" s="365">
        <f t="shared" si="181"/>
        <v>0</v>
      </c>
      <c r="AS264" s="365">
        <f t="shared" si="182"/>
        <v>0</v>
      </c>
      <c r="AT264" s="363"/>
      <c r="AU264">
        <v>4.665</v>
      </c>
    </row>
    <row r="265" ht="36" spans="1:47">
      <c r="A265" s="284" t="s">
        <v>195</v>
      </c>
      <c r="B265" s="284" t="s">
        <v>518</v>
      </c>
      <c r="C265" s="284" t="s">
        <v>519</v>
      </c>
      <c r="D265" s="284" t="s">
        <v>520</v>
      </c>
      <c r="E265" s="365">
        <f t="shared" si="158"/>
        <v>0</v>
      </c>
      <c r="F265" s="365">
        <f t="shared" si="159"/>
        <v>0</v>
      </c>
      <c r="G265" s="365"/>
      <c r="H265" s="365"/>
      <c r="I265" s="365"/>
      <c r="J265" s="365"/>
      <c r="K265" s="365"/>
      <c r="L265" s="365">
        <f t="shared" si="160"/>
        <v>0</v>
      </c>
      <c r="M265" s="365"/>
      <c r="N265" s="365"/>
      <c r="O265" s="365"/>
      <c r="P265" s="365">
        <f t="shared" si="183"/>
        <v>0</v>
      </c>
      <c r="Q265" s="365">
        <f t="shared" si="161"/>
        <v>0</v>
      </c>
      <c r="R265" s="365"/>
      <c r="S265" s="365"/>
      <c r="T265" s="365"/>
      <c r="U265" s="365"/>
      <c r="V265" s="365"/>
      <c r="W265" s="365">
        <f t="shared" si="167"/>
        <v>0</v>
      </c>
      <c r="X265" s="365"/>
      <c r="Y265" s="365"/>
      <c r="Z265" s="365"/>
      <c r="AA265" s="365"/>
      <c r="AB265" s="365"/>
      <c r="AC265" s="365"/>
      <c r="AD265" s="366">
        <v>0</v>
      </c>
      <c r="AE265" s="365">
        <f t="shared" si="172"/>
        <v>0</v>
      </c>
      <c r="AF265" s="365">
        <f t="shared" si="162"/>
        <v>0</v>
      </c>
      <c r="AG265" s="365">
        <f t="shared" si="173"/>
        <v>0</v>
      </c>
      <c r="AH265" s="365">
        <f t="shared" si="174"/>
        <v>0</v>
      </c>
      <c r="AI265" s="365">
        <f t="shared" si="175"/>
        <v>0</v>
      </c>
      <c r="AJ265" s="365">
        <f t="shared" si="176"/>
        <v>0</v>
      </c>
      <c r="AK265" s="365">
        <f t="shared" si="177"/>
        <v>0</v>
      </c>
      <c r="AL265" s="365">
        <f t="shared" si="164"/>
        <v>0</v>
      </c>
      <c r="AM265" s="365">
        <f t="shared" si="178"/>
        <v>0</v>
      </c>
      <c r="AN265" s="365">
        <f t="shared" si="165"/>
        <v>0</v>
      </c>
      <c r="AO265" s="365">
        <f t="shared" si="179"/>
        <v>0</v>
      </c>
      <c r="AP265" s="365">
        <f t="shared" si="166"/>
        <v>0</v>
      </c>
      <c r="AQ265" s="365">
        <f t="shared" si="180"/>
        <v>0</v>
      </c>
      <c r="AR265" s="365">
        <f t="shared" si="181"/>
        <v>0</v>
      </c>
      <c r="AS265" s="365">
        <f t="shared" si="182"/>
        <v>0</v>
      </c>
      <c r="AT265" s="363"/>
      <c r="AU265">
        <v>10.79</v>
      </c>
    </row>
    <row r="266" ht="24" spans="1:47">
      <c r="A266" s="284" t="s">
        <v>195</v>
      </c>
      <c r="B266" s="284" t="s">
        <v>199</v>
      </c>
      <c r="C266" s="284" t="s">
        <v>793</v>
      </c>
      <c r="D266" s="284" t="s">
        <v>522</v>
      </c>
      <c r="E266" s="365">
        <f t="shared" si="158"/>
        <v>0</v>
      </c>
      <c r="F266" s="365">
        <f t="shared" si="159"/>
        <v>0</v>
      </c>
      <c r="G266" s="365"/>
      <c r="H266" s="365"/>
      <c r="I266" s="365"/>
      <c r="J266" s="365"/>
      <c r="K266" s="365"/>
      <c r="L266" s="365">
        <f t="shared" si="160"/>
        <v>0</v>
      </c>
      <c r="M266" s="365"/>
      <c r="N266" s="365"/>
      <c r="O266" s="365"/>
      <c r="P266" s="365">
        <f t="shared" si="183"/>
        <v>0</v>
      </c>
      <c r="Q266" s="365">
        <f t="shared" si="161"/>
        <v>0</v>
      </c>
      <c r="R266" s="365"/>
      <c r="S266" s="365"/>
      <c r="T266" s="365"/>
      <c r="U266" s="365"/>
      <c r="V266" s="365"/>
      <c r="W266" s="365">
        <f t="shared" si="167"/>
        <v>0</v>
      </c>
      <c r="X266" s="365"/>
      <c r="Y266" s="365"/>
      <c r="Z266" s="365"/>
      <c r="AA266" s="365"/>
      <c r="AB266" s="365"/>
      <c r="AC266" s="365"/>
      <c r="AD266" s="366">
        <v>0</v>
      </c>
      <c r="AE266" s="365">
        <f t="shared" si="172"/>
        <v>0</v>
      </c>
      <c r="AF266" s="365">
        <f t="shared" si="162"/>
        <v>0</v>
      </c>
      <c r="AG266" s="365">
        <f t="shared" si="173"/>
        <v>0</v>
      </c>
      <c r="AH266" s="365">
        <f t="shared" si="174"/>
        <v>0</v>
      </c>
      <c r="AI266" s="365">
        <f t="shared" si="175"/>
        <v>0</v>
      </c>
      <c r="AJ266" s="365">
        <f t="shared" si="176"/>
        <v>0</v>
      </c>
      <c r="AK266" s="365">
        <f t="shared" si="177"/>
        <v>0</v>
      </c>
      <c r="AL266" s="365">
        <f t="shared" si="164"/>
        <v>0</v>
      </c>
      <c r="AM266" s="365">
        <f t="shared" si="178"/>
        <v>0</v>
      </c>
      <c r="AN266" s="365">
        <f t="shared" si="165"/>
        <v>0</v>
      </c>
      <c r="AO266" s="365">
        <f t="shared" si="179"/>
        <v>0</v>
      </c>
      <c r="AP266" s="365">
        <f t="shared" si="166"/>
        <v>0</v>
      </c>
      <c r="AQ266" s="365">
        <f t="shared" si="180"/>
        <v>0</v>
      </c>
      <c r="AR266" s="365">
        <f t="shared" si="181"/>
        <v>0</v>
      </c>
      <c r="AS266" s="365">
        <f t="shared" si="182"/>
        <v>0</v>
      </c>
      <c r="AT266" s="363"/>
      <c r="AU266">
        <v>5.4117</v>
      </c>
    </row>
    <row r="267" ht="36" spans="1:47">
      <c r="A267" s="284" t="s">
        <v>195</v>
      </c>
      <c r="B267" s="284" t="s">
        <v>196</v>
      </c>
      <c r="C267" s="284" t="s">
        <v>523</v>
      </c>
      <c r="D267" s="284" t="s">
        <v>524</v>
      </c>
      <c r="E267" s="365">
        <f t="shared" si="158"/>
        <v>42.53</v>
      </c>
      <c r="F267" s="365">
        <f t="shared" si="159"/>
        <v>22.53</v>
      </c>
      <c r="G267" s="365">
        <v>12.25</v>
      </c>
      <c r="H267" s="365">
        <v>9.26</v>
      </c>
      <c r="I267" s="365">
        <v>1.02</v>
      </c>
      <c r="J267" s="365"/>
      <c r="K267" s="365"/>
      <c r="L267" s="365">
        <f t="shared" si="160"/>
        <v>20</v>
      </c>
      <c r="M267" s="365"/>
      <c r="N267" s="365"/>
      <c r="O267" s="365">
        <v>20</v>
      </c>
      <c r="P267" s="365">
        <f t="shared" si="183"/>
        <v>-2.8326</v>
      </c>
      <c r="Q267" s="365">
        <f t="shared" si="161"/>
        <v>0.91</v>
      </c>
      <c r="R267" s="365">
        <v>0.61</v>
      </c>
      <c r="S267" s="365">
        <v>0.2</v>
      </c>
      <c r="T267" s="365">
        <v>0.1</v>
      </c>
      <c r="U267" s="365"/>
      <c r="V267" s="365"/>
      <c r="W267" s="365">
        <f t="shared" si="167"/>
        <v>-3.7426</v>
      </c>
      <c r="X267" s="365"/>
      <c r="Y267" s="365">
        <f>7.74+2.32</f>
        <v>10.06</v>
      </c>
      <c r="Z267" s="365">
        <v>4</v>
      </c>
      <c r="AA267" s="365"/>
      <c r="AB267" s="365">
        <v>2.1974</v>
      </c>
      <c r="AC267" s="365"/>
      <c r="AD267" s="366">
        <v>-20</v>
      </c>
      <c r="AE267" s="365">
        <f t="shared" si="172"/>
        <v>39.6974</v>
      </c>
      <c r="AF267" s="365">
        <f t="shared" si="162"/>
        <v>23.44</v>
      </c>
      <c r="AG267" s="365">
        <f t="shared" si="173"/>
        <v>12.86</v>
      </c>
      <c r="AH267" s="365">
        <f t="shared" si="174"/>
        <v>9.46</v>
      </c>
      <c r="AI267" s="365">
        <f t="shared" si="175"/>
        <v>1.12</v>
      </c>
      <c r="AJ267" s="365">
        <f t="shared" si="176"/>
        <v>0</v>
      </c>
      <c r="AK267" s="365">
        <f t="shared" si="177"/>
        <v>0</v>
      </c>
      <c r="AL267" s="365">
        <f t="shared" si="164"/>
        <v>16.2574</v>
      </c>
      <c r="AM267" s="365">
        <f t="shared" si="178"/>
        <v>0</v>
      </c>
      <c r="AN267" s="365">
        <f t="shared" si="165"/>
        <v>10.06</v>
      </c>
      <c r="AO267" s="365">
        <f t="shared" si="179"/>
        <v>4</v>
      </c>
      <c r="AP267" s="365">
        <f t="shared" si="166"/>
        <v>0</v>
      </c>
      <c r="AQ267" s="365">
        <f t="shared" si="180"/>
        <v>2.1974</v>
      </c>
      <c r="AR267" s="365">
        <f t="shared" si="181"/>
        <v>0</v>
      </c>
      <c r="AS267" s="365">
        <f t="shared" si="182"/>
        <v>0</v>
      </c>
      <c r="AT267" s="363"/>
      <c r="AU267">
        <v>2.1974</v>
      </c>
    </row>
    <row r="268" ht="36" spans="1:46">
      <c r="A268" s="284" t="s">
        <v>195</v>
      </c>
      <c r="B268" s="284" t="s">
        <v>199</v>
      </c>
      <c r="C268" s="284" t="s">
        <v>525</v>
      </c>
      <c r="D268" s="284" t="s">
        <v>526</v>
      </c>
      <c r="E268" s="365">
        <f t="shared" si="158"/>
        <v>0</v>
      </c>
      <c r="F268" s="365">
        <f t="shared" si="159"/>
        <v>0</v>
      </c>
      <c r="G268" s="365"/>
      <c r="H268" s="365"/>
      <c r="I268" s="365"/>
      <c r="J268" s="365"/>
      <c r="K268" s="365"/>
      <c r="L268" s="365">
        <f t="shared" si="160"/>
        <v>0</v>
      </c>
      <c r="M268" s="365"/>
      <c r="N268" s="365"/>
      <c r="O268" s="365"/>
      <c r="P268" s="365">
        <f t="shared" si="183"/>
        <v>0</v>
      </c>
      <c r="Q268" s="365">
        <f t="shared" si="161"/>
        <v>0</v>
      </c>
      <c r="R268" s="365"/>
      <c r="S268" s="365"/>
      <c r="T268" s="365"/>
      <c r="U268" s="365"/>
      <c r="V268" s="365"/>
      <c r="W268" s="365">
        <f t="shared" si="167"/>
        <v>0</v>
      </c>
      <c r="X268" s="365"/>
      <c r="Y268" s="365"/>
      <c r="Z268" s="365"/>
      <c r="AA268" s="365"/>
      <c r="AB268" s="365"/>
      <c r="AC268" s="365"/>
      <c r="AD268" s="366">
        <v>0</v>
      </c>
      <c r="AE268" s="365">
        <f t="shared" si="172"/>
        <v>0</v>
      </c>
      <c r="AF268" s="365">
        <f t="shared" si="162"/>
        <v>0</v>
      </c>
      <c r="AG268" s="365">
        <f t="shared" si="173"/>
        <v>0</v>
      </c>
      <c r="AH268" s="365">
        <f t="shared" si="174"/>
        <v>0</v>
      </c>
      <c r="AI268" s="365">
        <f t="shared" si="175"/>
        <v>0</v>
      </c>
      <c r="AJ268" s="365">
        <f t="shared" si="176"/>
        <v>0</v>
      </c>
      <c r="AK268" s="365">
        <f t="shared" si="177"/>
        <v>0</v>
      </c>
      <c r="AL268" s="365">
        <f t="shared" si="164"/>
        <v>0</v>
      </c>
      <c r="AM268" s="365">
        <f t="shared" si="178"/>
        <v>0</v>
      </c>
      <c r="AN268" s="365">
        <f t="shared" si="165"/>
        <v>0</v>
      </c>
      <c r="AO268" s="365">
        <f t="shared" si="179"/>
        <v>0</v>
      </c>
      <c r="AP268" s="365">
        <f t="shared" si="166"/>
        <v>0</v>
      </c>
      <c r="AQ268" s="365">
        <f t="shared" si="180"/>
        <v>0</v>
      </c>
      <c r="AR268" s="365">
        <f t="shared" si="181"/>
        <v>0</v>
      </c>
      <c r="AS268" s="365">
        <f t="shared" si="182"/>
        <v>0</v>
      </c>
      <c r="AT268" s="363"/>
    </row>
    <row r="269" ht="36" spans="1:46">
      <c r="A269" s="284" t="s">
        <v>195</v>
      </c>
      <c r="B269" s="284" t="s">
        <v>199</v>
      </c>
      <c r="C269" s="284" t="s">
        <v>527</v>
      </c>
      <c r="D269" s="284" t="s">
        <v>526</v>
      </c>
      <c r="E269" s="365">
        <f t="shared" si="158"/>
        <v>0</v>
      </c>
      <c r="F269" s="365">
        <f t="shared" si="159"/>
        <v>0</v>
      </c>
      <c r="G269" s="365"/>
      <c r="H269" s="365"/>
      <c r="I269" s="365"/>
      <c r="J269" s="365"/>
      <c r="K269" s="365"/>
      <c r="L269" s="365">
        <f t="shared" si="160"/>
        <v>0</v>
      </c>
      <c r="M269" s="365"/>
      <c r="N269" s="365"/>
      <c r="O269" s="365"/>
      <c r="P269" s="365">
        <f t="shared" si="183"/>
        <v>0</v>
      </c>
      <c r="Q269" s="365">
        <f t="shared" si="161"/>
        <v>0</v>
      </c>
      <c r="R269" s="365"/>
      <c r="S269" s="365"/>
      <c r="T269" s="365"/>
      <c r="U269" s="365"/>
      <c r="V269" s="365"/>
      <c r="W269" s="365">
        <f t="shared" si="167"/>
        <v>0</v>
      </c>
      <c r="X269" s="365"/>
      <c r="Y269" s="365"/>
      <c r="Z269" s="365"/>
      <c r="AA269" s="365"/>
      <c r="AB269" s="365"/>
      <c r="AC269" s="365"/>
      <c r="AD269" s="366">
        <v>0</v>
      </c>
      <c r="AE269" s="365">
        <f t="shared" si="172"/>
        <v>0</v>
      </c>
      <c r="AF269" s="365">
        <f t="shared" si="162"/>
        <v>0</v>
      </c>
      <c r="AG269" s="365">
        <f t="shared" si="173"/>
        <v>0</v>
      </c>
      <c r="AH269" s="365">
        <f t="shared" si="174"/>
        <v>0</v>
      </c>
      <c r="AI269" s="365">
        <f t="shared" si="175"/>
        <v>0</v>
      </c>
      <c r="AJ269" s="365">
        <f t="shared" si="176"/>
        <v>0</v>
      </c>
      <c r="AK269" s="365">
        <f t="shared" si="177"/>
        <v>0</v>
      </c>
      <c r="AL269" s="365">
        <f t="shared" si="164"/>
        <v>0</v>
      </c>
      <c r="AM269" s="365">
        <f t="shared" si="178"/>
        <v>0</v>
      </c>
      <c r="AN269" s="365">
        <f t="shared" si="165"/>
        <v>0</v>
      </c>
      <c r="AO269" s="365">
        <f t="shared" si="179"/>
        <v>0</v>
      </c>
      <c r="AP269" s="365">
        <f t="shared" si="166"/>
        <v>0</v>
      </c>
      <c r="AQ269" s="365">
        <f t="shared" si="180"/>
        <v>0</v>
      </c>
      <c r="AR269" s="365">
        <f t="shared" si="181"/>
        <v>0</v>
      </c>
      <c r="AS269" s="365">
        <f t="shared" si="182"/>
        <v>0</v>
      </c>
      <c r="AT269" s="363"/>
    </row>
    <row r="270" ht="36" spans="1:46">
      <c r="A270" s="284" t="s">
        <v>195</v>
      </c>
      <c r="B270" s="284" t="s">
        <v>199</v>
      </c>
      <c r="C270" s="284" t="s">
        <v>528</v>
      </c>
      <c r="D270" s="284" t="s">
        <v>526</v>
      </c>
      <c r="E270" s="365">
        <f t="shared" si="158"/>
        <v>0</v>
      </c>
      <c r="F270" s="365">
        <f t="shared" si="159"/>
        <v>0</v>
      </c>
      <c r="G270" s="365"/>
      <c r="H270" s="365"/>
      <c r="I270" s="365"/>
      <c r="J270" s="365"/>
      <c r="K270" s="365"/>
      <c r="L270" s="365">
        <f t="shared" si="160"/>
        <v>0</v>
      </c>
      <c r="M270" s="365"/>
      <c r="N270" s="365"/>
      <c r="O270" s="365"/>
      <c r="P270" s="365">
        <f t="shared" si="183"/>
        <v>0</v>
      </c>
      <c r="Q270" s="365">
        <f t="shared" si="161"/>
        <v>0</v>
      </c>
      <c r="R270" s="365"/>
      <c r="S270" s="365"/>
      <c r="T270" s="365"/>
      <c r="U270" s="365"/>
      <c r="V270" s="365"/>
      <c r="W270" s="365">
        <f t="shared" si="167"/>
        <v>0</v>
      </c>
      <c r="X270" s="365"/>
      <c r="Y270" s="365"/>
      <c r="Z270" s="365"/>
      <c r="AA270" s="365"/>
      <c r="AB270" s="365"/>
      <c r="AC270" s="365"/>
      <c r="AD270" s="366">
        <v>0</v>
      </c>
      <c r="AE270" s="365">
        <f t="shared" si="172"/>
        <v>0</v>
      </c>
      <c r="AF270" s="365">
        <f t="shared" si="162"/>
        <v>0</v>
      </c>
      <c r="AG270" s="365">
        <f t="shared" si="173"/>
        <v>0</v>
      </c>
      <c r="AH270" s="365">
        <f t="shared" si="174"/>
        <v>0</v>
      </c>
      <c r="AI270" s="365">
        <f t="shared" si="175"/>
        <v>0</v>
      </c>
      <c r="AJ270" s="365">
        <f t="shared" si="176"/>
        <v>0</v>
      </c>
      <c r="AK270" s="365">
        <f t="shared" si="177"/>
        <v>0</v>
      </c>
      <c r="AL270" s="365">
        <f t="shared" si="164"/>
        <v>0</v>
      </c>
      <c r="AM270" s="365">
        <f t="shared" si="178"/>
        <v>0</v>
      </c>
      <c r="AN270" s="365">
        <f t="shared" si="165"/>
        <v>0</v>
      </c>
      <c r="AO270" s="365">
        <f t="shared" si="179"/>
        <v>0</v>
      </c>
      <c r="AP270" s="365">
        <f t="shared" si="166"/>
        <v>0</v>
      </c>
      <c r="AQ270" s="365">
        <f t="shared" si="180"/>
        <v>0</v>
      </c>
      <c r="AR270" s="365">
        <f t="shared" si="181"/>
        <v>0</v>
      </c>
      <c r="AS270" s="365">
        <f t="shared" si="182"/>
        <v>0</v>
      </c>
      <c r="AT270" s="363"/>
    </row>
    <row r="271" ht="36" spans="1:46">
      <c r="A271" s="284" t="s">
        <v>195</v>
      </c>
      <c r="B271" s="284" t="s">
        <v>199</v>
      </c>
      <c r="C271" s="284" t="s">
        <v>529</v>
      </c>
      <c r="D271" s="284" t="s">
        <v>526</v>
      </c>
      <c r="E271" s="365">
        <f t="shared" si="158"/>
        <v>0</v>
      </c>
      <c r="F271" s="365">
        <f t="shared" si="159"/>
        <v>0</v>
      </c>
      <c r="G271" s="365"/>
      <c r="H271" s="365"/>
      <c r="I271" s="365"/>
      <c r="J271" s="365"/>
      <c r="K271" s="365"/>
      <c r="L271" s="365">
        <f t="shared" si="160"/>
        <v>0</v>
      </c>
      <c r="M271" s="365"/>
      <c r="N271" s="365"/>
      <c r="O271" s="365"/>
      <c r="P271" s="365">
        <f t="shared" si="183"/>
        <v>0</v>
      </c>
      <c r="Q271" s="365">
        <f t="shared" si="161"/>
        <v>0</v>
      </c>
      <c r="R271" s="365"/>
      <c r="S271" s="365"/>
      <c r="T271" s="365"/>
      <c r="U271" s="365"/>
      <c r="V271" s="365"/>
      <c r="W271" s="365">
        <f t="shared" si="167"/>
        <v>0</v>
      </c>
      <c r="X271" s="365"/>
      <c r="Y271" s="365"/>
      <c r="Z271" s="365"/>
      <c r="AA271" s="365"/>
      <c r="AB271" s="365"/>
      <c r="AC271" s="365"/>
      <c r="AD271" s="366">
        <v>0</v>
      </c>
      <c r="AE271" s="365">
        <f t="shared" si="172"/>
        <v>0</v>
      </c>
      <c r="AF271" s="365">
        <f t="shared" si="162"/>
        <v>0</v>
      </c>
      <c r="AG271" s="365">
        <f t="shared" si="173"/>
        <v>0</v>
      </c>
      <c r="AH271" s="365">
        <f t="shared" si="174"/>
        <v>0</v>
      </c>
      <c r="AI271" s="365">
        <f t="shared" si="175"/>
        <v>0</v>
      </c>
      <c r="AJ271" s="365">
        <f t="shared" si="176"/>
        <v>0</v>
      </c>
      <c r="AK271" s="365">
        <f t="shared" si="177"/>
        <v>0</v>
      </c>
      <c r="AL271" s="365">
        <f t="shared" si="164"/>
        <v>0</v>
      </c>
      <c r="AM271" s="365">
        <f t="shared" si="178"/>
        <v>0</v>
      </c>
      <c r="AN271" s="365">
        <f t="shared" si="165"/>
        <v>0</v>
      </c>
      <c r="AO271" s="365">
        <f t="shared" si="179"/>
        <v>0</v>
      </c>
      <c r="AP271" s="365">
        <f t="shared" si="166"/>
        <v>0</v>
      </c>
      <c r="AQ271" s="365">
        <f t="shared" si="180"/>
        <v>0</v>
      </c>
      <c r="AR271" s="365">
        <f t="shared" si="181"/>
        <v>0</v>
      </c>
      <c r="AS271" s="365">
        <f t="shared" si="182"/>
        <v>0</v>
      </c>
      <c r="AT271" s="363"/>
    </row>
    <row r="272" ht="24" spans="1:47">
      <c r="A272" s="284" t="s">
        <v>195</v>
      </c>
      <c r="B272" s="284" t="s">
        <v>199</v>
      </c>
      <c r="C272" s="284" t="s">
        <v>794</v>
      </c>
      <c r="D272" s="284" t="s">
        <v>531</v>
      </c>
      <c r="E272" s="365">
        <f t="shared" si="158"/>
        <v>0</v>
      </c>
      <c r="F272" s="365">
        <f t="shared" si="159"/>
        <v>0</v>
      </c>
      <c r="G272" s="365"/>
      <c r="H272" s="365"/>
      <c r="I272" s="365"/>
      <c r="J272" s="365"/>
      <c r="K272" s="365"/>
      <c r="L272" s="365">
        <f t="shared" si="160"/>
        <v>0</v>
      </c>
      <c r="M272" s="365"/>
      <c r="N272" s="365"/>
      <c r="O272" s="365"/>
      <c r="P272" s="365">
        <f t="shared" si="183"/>
        <v>0</v>
      </c>
      <c r="Q272" s="365">
        <f t="shared" si="161"/>
        <v>0</v>
      </c>
      <c r="R272" s="365"/>
      <c r="S272" s="365"/>
      <c r="T272" s="365"/>
      <c r="U272" s="365"/>
      <c r="V272" s="365"/>
      <c r="W272" s="365">
        <f t="shared" si="167"/>
        <v>0</v>
      </c>
      <c r="X272" s="365"/>
      <c r="Y272" s="365"/>
      <c r="Z272" s="365"/>
      <c r="AA272" s="365"/>
      <c r="AB272" s="365"/>
      <c r="AC272" s="365"/>
      <c r="AD272" s="366">
        <v>0</v>
      </c>
      <c r="AE272" s="365">
        <f t="shared" si="172"/>
        <v>0</v>
      </c>
      <c r="AF272" s="365">
        <f t="shared" si="162"/>
        <v>0</v>
      </c>
      <c r="AG272" s="365">
        <f t="shared" si="173"/>
        <v>0</v>
      </c>
      <c r="AH272" s="365">
        <f t="shared" si="174"/>
        <v>0</v>
      </c>
      <c r="AI272" s="365">
        <f t="shared" si="175"/>
        <v>0</v>
      </c>
      <c r="AJ272" s="365">
        <f t="shared" si="176"/>
        <v>0</v>
      </c>
      <c r="AK272" s="365">
        <f t="shared" si="177"/>
        <v>0</v>
      </c>
      <c r="AL272" s="365">
        <f t="shared" si="164"/>
        <v>0</v>
      </c>
      <c r="AM272" s="365">
        <f t="shared" si="178"/>
        <v>0</v>
      </c>
      <c r="AN272" s="365">
        <f t="shared" si="165"/>
        <v>0</v>
      </c>
      <c r="AO272" s="365">
        <f t="shared" si="179"/>
        <v>0</v>
      </c>
      <c r="AP272" s="365">
        <f t="shared" si="166"/>
        <v>0</v>
      </c>
      <c r="AQ272" s="365">
        <f t="shared" si="180"/>
        <v>0</v>
      </c>
      <c r="AR272" s="365">
        <f t="shared" si="181"/>
        <v>0</v>
      </c>
      <c r="AS272" s="365">
        <f t="shared" si="182"/>
        <v>0</v>
      </c>
      <c r="AT272" s="363"/>
      <c r="AU272">
        <v>6.5517</v>
      </c>
    </row>
    <row r="273" ht="24" spans="1:47">
      <c r="A273" s="284" t="s">
        <v>195</v>
      </c>
      <c r="B273" s="284" t="s">
        <v>199</v>
      </c>
      <c r="C273" s="284" t="s">
        <v>532</v>
      </c>
      <c r="D273" s="284" t="s">
        <v>533</v>
      </c>
      <c r="E273" s="365">
        <f t="shared" si="158"/>
        <v>0</v>
      </c>
      <c r="F273" s="365">
        <f t="shared" si="159"/>
        <v>0</v>
      </c>
      <c r="G273" s="365"/>
      <c r="H273" s="365"/>
      <c r="I273" s="365"/>
      <c r="J273" s="365"/>
      <c r="K273" s="365"/>
      <c r="L273" s="365">
        <f t="shared" si="160"/>
        <v>0</v>
      </c>
      <c r="M273" s="365"/>
      <c r="N273" s="365"/>
      <c r="O273" s="365"/>
      <c r="P273" s="365">
        <f t="shared" si="183"/>
        <v>0</v>
      </c>
      <c r="Q273" s="365">
        <f t="shared" si="161"/>
        <v>0</v>
      </c>
      <c r="R273" s="365"/>
      <c r="S273" s="365"/>
      <c r="T273" s="365"/>
      <c r="U273" s="365"/>
      <c r="V273" s="365"/>
      <c r="W273" s="365">
        <f t="shared" si="167"/>
        <v>0</v>
      </c>
      <c r="X273" s="365"/>
      <c r="Y273" s="365"/>
      <c r="Z273" s="365"/>
      <c r="AA273" s="365"/>
      <c r="AB273" s="365"/>
      <c r="AC273" s="365"/>
      <c r="AD273" s="366">
        <v>0</v>
      </c>
      <c r="AE273" s="365">
        <f t="shared" si="172"/>
        <v>0</v>
      </c>
      <c r="AF273" s="365">
        <f t="shared" si="162"/>
        <v>0</v>
      </c>
      <c r="AG273" s="365">
        <f t="shared" si="173"/>
        <v>0</v>
      </c>
      <c r="AH273" s="365">
        <f t="shared" si="174"/>
        <v>0</v>
      </c>
      <c r="AI273" s="365">
        <f t="shared" si="175"/>
        <v>0</v>
      </c>
      <c r="AJ273" s="365">
        <f t="shared" si="176"/>
        <v>0</v>
      </c>
      <c r="AK273" s="365">
        <f t="shared" si="177"/>
        <v>0</v>
      </c>
      <c r="AL273" s="365">
        <f t="shared" si="164"/>
        <v>0</v>
      </c>
      <c r="AM273" s="365">
        <f t="shared" si="178"/>
        <v>0</v>
      </c>
      <c r="AN273" s="365">
        <f t="shared" si="165"/>
        <v>0</v>
      </c>
      <c r="AO273" s="365">
        <f t="shared" si="179"/>
        <v>0</v>
      </c>
      <c r="AP273" s="365">
        <f t="shared" si="166"/>
        <v>0</v>
      </c>
      <c r="AQ273" s="365">
        <f t="shared" si="180"/>
        <v>0</v>
      </c>
      <c r="AR273" s="365">
        <f t="shared" si="181"/>
        <v>0</v>
      </c>
      <c r="AS273" s="365">
        <f t="shared" si="182"/>
        <v>0</v>
      </c>
      <c r="AT273" s="363"/>
      <c r="AU273">
        <v>4</v>
      </c>
    </row>
    <row r="274" ht="24" spans="1:47">
      <c r="A274" s="284" t="s">
        <v>195</v>
      </c>
      <c r="B274" s="284" t="s">
        <v>199</v>
      </c>
      <c r="C274" s="284" t="s">
        <v>534</v>
      </c>
      <c r="D274" s="284" t="s">
        <v>535</v>
      </c>
      <c r="E274" s="365">
        <f t="shared" si="158"/>
        <v>0</v>
      </c>
      <c r="F274" s="365">
        <f t="shared" si="159"/>
        <v>0</v>
      </c>
      <c r="G274" s="365"/>
      <c r="H274" s="365"/>
      <c r="I274" s="365"/>
      <c r="J274" s="365"/>
      <c r="K274" s="365"/>
      <c r="L274" s="365">
        <f t="shared" si="160"/>
        <v>0</v>
      </c>
      <c r="M274" s="365"/>
      <c r="N274" s="365"/>
      <c r="O274" s="365"/>
      <c r="P274" s="365">
        <f t="shared" si="183"/>
        <v>0</v>
      </c>
      <c r="Q274" s="365">
        <f t="shared" si="161"/>
        <v>0</v>
      </c>
      <c r="R274" s="365"/>
      <c r="S274" s="365"/>
      <c r="T274" s="365"/>
      <c r="U274" s="365"/>
      <c r="V274" s="365"/>
      <c r="W274" s="365">
        <f t="shared" si="167"/>
        <v>0</v>
      </c>
      <c r="X274" s="365"/>
      <c r="Y274" s="365"/>
      <c r="Z274" s="365"/>
      <c r="AA274" s="365"/>
      <c r="AB274" s="365"/>
      <c r="AC274" s="365"/>
      <c r="AD274" s="366">
        <v>0</v>
      </c>
      <c r="AE274" s="365">
        <f t="shared" si="172"/>
        <v>0</v>
      </c>
      <c r="AF274" s="365">
        <f t="shared" si="162"/>
        <v>0</v>
      </c>
      <c r="AG274" s="365">
        <f t="shared" si="173"/>
        <v>0</v>
      </c>
      <c r="AH274" s="365">
        <f t="shared" si="174"/>
        <v>0</v>
      </c>
      <c r="AI274" s="365">
        <f t="shared" si="175"/>
        <v>0</v>
      </c>
      <c r="AJ274" s="365">
        <f t="shared" si="176"/>
        <v>0</v>
      </c>
      <c r="AK274" s="365">
        <f t="shared" si="177"/>
        <v>0</v>
      </c>
      <c r="AL274" s="365">
        <f t="shared" si="164"/>
        <v>0</v>
      </c>
      <c r="AM274" s="365">
        <f t="shared" si="178"/>
        <v>0</v>
      </c>
      <c r="AN274" s="365">
        <f t="shared" si="165"/>
        <v>0</v>
      </c>
      <c r="AO274" s="365">
        <f t="shared" si="179"/>
        <v>0</v>
      </c>
      <c r="AP274" s="365">
        <f t="shared" si="166"/>
        <v>0</v>
      </c>
      <c r="AQ274" s="365">
        <f t="shared" si="180"/>
        <v>0</v>
      </c>
      <c r="AR274" s="365">
        <f t="shared" si="181"/>
        <v>0</v>
      </c>
      <c r="AS274" s="365">
        <f t="shared" si="182"/>
        <v>0</v>
      </c>
      <c r="AT274" s="363"/>
      <c r="AU274">
        <v>7.0167</v>
      </c>
    </row>
    <row r="275" ht="27" customHeight="1" spans="1:47">
      <c r="A275" s="284" t="s">
        <v>195</v>
      </c>
      <c r="B275" s="284" t="s">
        <v>196</v>
      </c>
      <c r="C275" s="284" t="s">
        <v>536</v>
      </c>
      <c r="D275" s="284" t="s">
        <v>537</v>
      </c>
      <c r="E275" s="365">
        <f t="shared" si="158"/>
        <v>66.42</v>
      </c>
      <c r="F275" s="365">
        <f t="shared" si="159"/>
        <v>26.8</v>
      </c>
      <c r="G275" s="365">
        <v>14.05</v>
      </c>
      <c r="H275" s="365">
        <v>11.58</v>
      </c>
      <c r="I275" s="365">
        <v>1.17</v>
      </c>
      <c r="J275" s="365"/>
      <c r="K275" s="365"/>
      <c r="L275" s="365">
        <f t="shared" si="160"/>
        <v>39.62</v>
      </c>
      <c r="M275" s="365">
        <v>39.62</v>
      </c>
      <c r="N275" s="365"/>
      <c r="O275" s="365"/>
      <c r="P275" s="365">
        <f t="shared" si="183"/>
        <v>22.7262</v>
      </c>
      <c r="Q275" s="365">
        <f t="shared" si="161"/>
        <v>-9.89</v>
      </c>
      <c r="R275" s="365">
        <v>-9.87</v>
      </c>
      <c r="S275" s="365">
        <v>0.16</v>
      </c>
      <c r="T275" s="365">
        <v>-0.18</v>
      </c>
      <c r="U275" s="365"/>
      <c r="V275" s="365"/>
      <c r="W275" s="365">
        <f t="shared" si="167"/>
        <v>32.6162</v>
      </c>
      <c r="X275" s="365"/>
      <c r="Y275" s="365">
        <f>7.61+1.14</f>
        <v>8.75</v>
      </c>
      <c r="Z275" s="365">
        <v>5</v>
      </c>
      <c r="AA275" s="365"/>
      <c r="AB275" s="365">
        <v>18.7162</v>
      </c>
      <c r="AC275" s="365">
        <v>0.15</v>
      </c>
      <c r="AD275" s="366">
        <v>0</v>
      </c>
      <c r="AE275" s="365">
        <f t="shared" si="172"/>
        <v>89.1462</v>
      </c>
      <c r="AF275" s="365">
        <f t="shared" si="162"/>
        <v>16.91</v>
      </c>
      <c r="AG275" s="365">
        <f t="shared" si="173"/>
        <v>4.18</v>
      </c>
      <c r="AH275" s="365">
        <f t="shared" si="174"/>
        <v>11.74</v>
      </c>
      <c r="AI275" s="365">
        <f t="shared" si="175"/>
        <v>0.99</v>
      </c>
      <c r="AJ275" s="365">
        <f t="shared" si="176"/>
        <v>0</v>
      </c>
      <c r="AK275" s="365">
        <f t="shared" si="177"/>
        <v>0</v>
      </c>
      <c r="AL275" s="365">
        <f t="shared" si="164"/>
        <v>72.2362</v>
      </c>
      <c r="AM275" s="365">
        <f t="shared" si="178"/>
        <v>39.62</v>
      </c>
      <c r="AN275" s="365">
        <f t="shared" si="165"/>
        <v>8.75</v>
      </c>
      <c r="AO275" s="365">
        <f t="shared" si="179"/>
        <v>5</v>
      </c>
      <c r="AP275" s="365">
        <f t="shared" si="166"/>
        <v>0</v>
      </c>
      <c r="AQ275" s="365">
        <f t="shared" si="180"/>
        <v>18.7162</v>
      </c>
      <c r="AR275" s="365">
        <f t="shared" si="181"/>
        <v>0.15</v>
      </c>
      <c r="AS275" s="365">
        <f t="shared" si="182"/>
        <v>0</v>
      </c>
      <c r="AT275" s="350" t="s">
        <v>773</v>
      </c>
      <c r="AU275">
        <v>18.7162</v>
      </c>
    </row>
    <row r="276" ht="26" customHeight="1" spans="1:47">
      <c r="A276" s="284" t="s">
        <v>195</v>
      </c>
      <c r="B276" s="284" t="s">
        <v>199</v>
      </c>
      <c r="C276" s="284" t="s">
        <v>538</v>
      </c>
      <c r="D276" s="284" t="s">
        <v>539</v>
      </c>
      <c r="E276" s="365">
        <f t="shared" si="158"/>
        <v>0</v>
      </c>
      <c r="F276" s="365">
        <f t="shared" si="159"/>
        <v>0</v>
      </c>
      <c r="G276" s="365"/>
      <c r="H276" s="365"/>
      <c r="I276" s="365"/>
      <c r="J276" s="365"/>
      <c r="K276" s="365"/>
      <c r="L276" s="365">
        <f t="shared" si="160"/>
        <v>0</v>
      </c>
      <c r="M276" s="365"/>
      <c r="N276" s="365"/>
      <c r="O276" s="365"/>
      <c r="P276" s="365">
        <f t="shared" si="183"/>
        <v>0</v>
      </c>
      <c r="Q276" s="365">
        <f t="shared" si="161"/>
        <v>0</v>
      </c>
      <c r="R276" s="365"/>
      <c r="S276" s="365"/>
      <c r="T276" s="365"/>
      <c r="U276" s="365"/>
      <c r="V276" s="365"/>
      <c r="W276" s="365">
        <f t="shared" si="167"/>
        <v>0</v>
      </c>
      <c r="X276" s="365"/>
      <c r="Y276" s="365"/>
      <c r="Z276" s="365"/>
      <c r="AA276" s="365"/>
      <c r="AB276" s="365"/>
      <c r="AC276" s="365"/>
      <c r="AD276" s="366">
        <v>0</v>
      </c>
      <c r="AE276" s="365">
        <f t="shared" si="172"/>
        <v>0</v>
      </c>
      <c r="AF276" s="365">
        <f t="shared" si="162"/>
        <v>0</v>
      </c>
      <c r="AG276" s="365">
        <f t="shared" si="173"/>
        <v>0</v>
      </c>
      <c r="AH276" s="365">
        <f t="shared" si="174"/>
        <v>0</v>
      </c>
      <c r="AI276" s="365">
        <f t="shared" si="175"/>
        <v>0</v>
      </c>
      <c r="AJ276" s="365">
        <f t="shared" si="176"/>
        <v>0</v>
      </c>
      <c r="AK276" s="365">
        <f t="shared" si="177"/>
        <v>0</v>
      </c>
      <c r="AL276" s="365">
        <f t="shared" si="164"/>
        <v>0</v>
      </c>
      <c r="AM276" s="365">
        <f t="shared" si="178"/>
        <v>0</v>
      </c>
      <c r="AN276" s="365">
        <f t="shared" si="165"/>
        <v>0</v>
      </c>
      <c r="AO276" s="365">
        <f t="shared" si="179"/>
        <v>0</v>
      </c>
      <c r="AP276" s="365">
        <f t="shared" si="166"/>
        <v>0</v>
      </c>
      <c r="AQ276" s="365">
        <f t="shared" si="180"/>
        <v>0</v>
      </c>
      <c r="AR276" s="365">
        <f t="shared" si="181"/>
        <v>0</v>
      </c>
      <c r="AS276" s="365">
        <f t="shared" si="182"/>
        <v>0</v>
      </c>
      <c r="AT276" s="363"/>
      <c r="AU276">
        <v>1.0417</v>
      </c>
    </row>
    <row r="277" s="311" customFormat="1" ht="21" customHeight="1" spans="1:47">
      <c r="A277" s="329"/>
      <c r="B277" s="329" t="s">
        <v>749</v>
      </c>
      <c r="C277" s="329" t="s">
        <v>137</v>
      </c>
      <c r="D277" s="329">
        <v>208</v>
      </c>
      <c r="E277" s="364">
        <f t="shared" ref="E277:O277" si="184">SUM(E278:E298)</f>
        <v>590.57</v>
      </c>
      <c r="F277" s="364">
        <f t="shared" si="184"/>
        <v>330.3</v>
      </c>
      <c r="G277" s="364">
        <f t="shared" si="184"/>
        <v>188.23</v>
      </c>
      <c r="H277" s="364">
        <f t="shared" si="184"/>
        <v>125.85</v>
      </c>
      <c r="I277" s="364">
        <f t="shared" si="184"/>
        <v>16.22</v>
      </c>
      <c r="J277" s="364">
        <f t="shared" si="184"/>
        <v>0</v>
      </c>
      <c r="K277" s="364">
        <f t="shared" si="184"/>
        <v>0</v>
      </c>
      <c r="L277" s="364">
        <f t="shared" si="184"/>
        <v>260.27</v>
      </c>
      <c r="M277" s="364">
        <f t="shared" si="184"/>
        <v>9.91</v>
      </c>
      <c r="N277" s="364">
        <f t="shared" si="184"/>
        <v>18.36</v>
      </c>
      <c r="O277" s="364">
        <f t="shared" si="184"/>
        <v>232</v>
      </c>
      <c r="P277" s="364">
        <f t="shared" si="183"/>
        <v>-28.04216</v>
      </c>
      <c r="Q277" s="364">
        <f t="shared" ref="Q277:AD277" si="185">SUM(Q278:Q298)</f>
        <v>1.4121</v>
      </c>
      <c r="R277" s="364">
        <f t="shared" si="185"/>
        <v>9.7067</v>
      </c>
      <c r="S277" s="364">
        <f t="shared" si="185"/>
        <v>-9.2257</v>
      </c>
      <c r="T277" s="364">
        <f t="shared" si="185"/>
        <v>0.9311</v>
      </c>
      <c r="U277" s="364">
        <f t="shared" si="185"/>
        <v>0</v>
      </c>
      <c r="V277" s="364">
        <f t="shared" si="185"/>
        <v>0</v>
      </c>
      <c r="W277" s="364">
        <f t="shared" si="185"/>
        <v>-29.45426</v>
      </c>
      <c r="X277" s="364">
        <f t="shared" si="185"/>
        <v>0</v>
      </c>
      <c r="Y277" s="364">
        <f t="shared" si="185"/>
        <v>119.83554</v>
      </c>
      <c r="Z277" s="364">
        <f t="shared" si="185"/>
        <v>37</v>
      </c>
      <c r="AA277" s="364">
        <f t="shared" si="185"/>
        <v>0</v>
      </c>
      <c r="AB277" s="364">
        <f t="shared" si="185"/>
        <v>43.3102</v>
      </c>
      <c r="AC277" s="364">
        <f t="shared" si="185"/>
        <v>2.4</v>
      </c>
      <c r="AD277" s="364">
        <f t="shared" si="185"/>
        <v>-232</v>
      </c>
      <c r="AE277" s="364">
        <f t="shared" si="172"/>
        <v>562.52784</v>
      </c>
      <c r="AF277" s="364">
        <f t="shared" ref="AF277:AS277" si="186">SUM(AF278:AF298)</f>
        <v>331.7121</v>
      </c>
      <c r="AG277" s="364">
        <f t="shared" si="186"/>
        <v>197.9367</v>
      </c>
      <c r="AH277" s="364">
        <f t="shared" si="186"/>
        <v>116.6243</v>
      </c>
      <c r="AI277" s="364">
        <f t="shared" si="186"/>
        <v>17.1511</v>
      </c>
      <c r="AJ277" s="364">
        <f t="shared" si="186"/>
        <v>0</v>
      </c>
      <c r="AK277" s="364">
        <f t="shared" si="186"/>
        <v>0</v>
      </c>
      <c r="AL277" s="364">
        <f t="shared" si="186"/>
        <v>230.81574</v>
      </c>
      <c r="AM277" s="364">
        <f t="shared" si="186"/>
        <v>9.91</v>
      </c>
      <c r="AN277" s="364">
        <f t="shared" si="186"/>
        <v>119.83554</v>
      </c>
      <c r="AO277" s="364">
        <f t="shared" si="186"/>
        <v>37</v>
      </c>
      <c r="AP277" s="364">
        <f t="shared" si="186"/>
        <v>0</v>
      </c>
      <c r="AQ277" s="364">
        <f t="shared" si="186"/>
        <v>43.3102</v>
      </c>
      <c r="AR277" s="364">
        <f t="shared" si="186"/>
        <v>20.76</v>
      </c>
      <c r="AS277" s="364">
        <f t="shared" si="186"/>
        <v>0</v>
      </c>
      <c r="AT277" s="372"/>
      <c r="AU277" s="373"/>
    </row>
    <row r="278" ht="24" spans="1:47">
      <c r="A278" s="284" t="s">
        <v>540</v>
      </c>
      <c r="B278" s="284" t="s">
        <v>196</v>
      </c>
      <c r="C278" s="284" t="s">
        <v>541</v>
      </c>
      <c r="D278" s="284" t="s">
        <v>542</v>
      </c>
      <c r="E278" s="365">
        <f t="shared" ref="E278:E298" si="187">F278+L278</f>
        <v>203.02</v>
      </c>
      <c r="F278" s="365">
        <f t="shared" ref="F278:F298" si="188">SUM(G278:K278)</f>
        <v>89.02</v>
      </c>
      <c r="G278" s="365">
        <v>51.94</v>
      </c>
      <c r="H278" s="365">
        <v>32.75</v>
      </c>
      <c r="I278" s="365">
        <v>4.33</v>
      </c>
      <c r="J278" s="365"/>
      <c r="K278" s="365"/>
      <c r="L278" s="365">
        <f t="shared" ref="L278:L298" si="189">SUM(M278:O278)</f>
        <v>114</v>
      </c>
      <c r="M278" s="365"/>
      <c r="N278" s="365"/>
      <c r="O278" s="365">
        <v>114</v>
      </c>
      <c r="P278" s="365">
        <f t="shared" si="183"/>
        <v>-67.8014</v>
      </c>
      <c r="Q278" s="365">
        <f t="shared" ref="Q278:Q298" si="190">SUM(R278:V278)</f>
        <v>-10.5441</v>
      </c>
      <c r="R278" s="365">
        <v>-4.4969</v>
      </c>
      <c r="S278" s="365">
        <v>-6.415</v>
      </c>
      <c r="T278" s="365">
        <v>0.3678</v>
      </c>
      <c r="U278" s="365"/>
      <c r="V278" s="365"/>
      <c r="W278" s="365">
        <f t="shared" ref="W278:W298" si="191">SUM(X278:AD278)</f>
        <v>-57.2573</v>
      </c>
      <c r="X278" s="365"/>
      <c r="Y278" s="365">
        <v>25.9397</v>
      </c>
      <c r="Z278" s="365">
        <v>9</v>
      </c>
      <c r="AA278" s="365"/>
      <c r="AB278" s="365">
        <v>20.303</v>
      </c>
      <c r="AC278" s="365">
        <v>1.5</v>
      </c>
      <c r="AD278" s="366">
        <v>-114</v>
      </c>
      <c r="AE278" s="365">
        <f t="shared" si="172"/>
        <v>135.2186</v>
      </c>
      <c r="AF278" s="365">
        <f t="shared" ref="AF278:AF298" si="192">SUM(AG278:AK278)</f>
        <v>78.4759</v>
      </c>
      <c r="AG278" s="365">
        <f t="shared" ref="AG278:AG298" si="193">G278+R278</f>
        <v>47.4431</v>
      </c>
      <c r="AH278" s="365">
        <f t="shared" ref="AH278:AH298" si="194">H278+S278</f>
        <v>26.335</v>
      </c>
      <c r="AI278" s="365">
        <f t="shared" ref="AI278:AI298" si="195">I278+T278</f>
        <v>4.6978</v>
      </c>
      <c r="AJ278" s="365">
        <f t="shared" ref="AJ278:AJ298" si="196">J278+U278</f>
        <v>0</v>
      </c>
      <c r="AK278" s="365">
        <f t="shared" ref="AK278:AK298" si="197">K278+V278</f>
        <v>0</v>
      </c>
      <c r="AL278" s="365">
        <f t="shared" ref="AL278:AL298" si="198">SUM(AM278:AS278)</f>
        <v>56.7427</v>
      </c>
      <c r="AM278" s="365">
        <f t="shared" ref="AM278:AM298" si="199">M278+X278</f>
        <v>0</v>
      </c>
      <c r="AN278" s="365">
        <f t="shared" ref="AN278:AN298" si="200">Y278</f>
        <v>25.9397</v>
      </c>
      <c r="AO278" s="365">
        <f t="shared" ref="AO278:AO298" si="201">Z278</f>
        <v>9</v>
      </c>
      <c r="AP278" s="365">
        <f t="shared" ref="AP278:AP298" si="202">AA278</f>
        <v>0</v>
      </c>
      <c r="AQ278" s="365">
        <f t="shared" ref="AQ278:AQ298" si="203">AB278</f>
        <v>20.303</v>
      </c>
      <c r="AR278" s="365">
        <f t="shared" ref="AR278:AR298" si="204">N278+AC278</f>
        <v>1.5</v>
      </c>
      <c r="AS278" s="365">
        <f t="shared" ref="AS278:AS298" si="205">O278+AD278</f>
        <v>0</v>
      </c>
      <c r="AT278" s="363"/>
      <c r="AU278">
        <v>21.303</v>
      </c>
    </row>
    <row r="279" ht="24" spans="1:46">
      <c r="A279" s="284" t="s">
        <v>540</v>
      </c>
      <c r="B279" s="284" t="s">
        <v>196</v>
      </c>
      <c r="C279" s="284" t="s">
        <v>543</v>
      </c>
      <c r="D279" s="284" t="s">
        <v>542</v>
      </c>
      <c r="E279" s="365">
        <f t="shared" si="187"/>
        <v>70.38</v>
      </c>
      <c r="F279" s="365">
        <f t="shared" si="188"/>
        <v>70.38</v>
      </c>
      <c r="G279" s="365">
        <v>39.06</v>
      </c>
      <c r="H279" s="365">
        <v>28.06</v>
      </c>
      <c r="I279" s="365">
        <v>3.26</v>
      </c>
      <c r="J279" s="365"/>
      <c r="K279" s="365"/>
      <c r="L279" s="365">
        <f t="shared" si="189"/>
        <v>0</v>
      </c>
      <c r="M279" s="365"/>
      <c r="N279" s="365"/>
      <c r="O279" s="365"/>
      <c r="P279" s="365">
        <f t="shared" si="183"/>
        <v>40.6729</v>
      </c>
      <c r="Q279" s="365">
        <f t="shared" si="190"/>
        <v>2.4688</v>
      </c>
      <c r="R279" s="365">
        <v>3.4385</v>
      </c>
      <c r="S279" s="365">
        <v>-1.2255</v>
      </c>
      <c r="T279" s="365">
        <v>0.2558</v>
      </c>
      <c r="U279" s="365"/>
      <c r="V279" s="365"/>
      <c r="W279" s="365">
        <f t="shared" si="191"/>
        <v>38.2041</v>
      </c>
      <c r="X279" s="365"/>
      <c r="Y279" s="365">
        <v>27.2041</v>
      </c>
      <c r="Z279" s="365">
        <v>11</v>
      </c>
      <c r="AA279" s="365"/>
      <c r="AB279" s="365"/>
      <c r="AC279" s="365"/>
      <c r="AD279" s="366">
        <v>0</v>
      </c>
      <c r="AE279" s="365">
        <f t="shared" si="172"/>
        <v>111.0529</v>
      </c>
      <c r="AF279" s="365">
        <f t="shared" si="192"/>
        <v>72.8488</v>
      </c>
      <c r="AG279" s="365">
        <f t="shared" si="193"/>
        <v>42.4985</v>
      </c>
      <c r="AH279" s="365">
        <f t="shared" si="194"/>
        <v>26.8345</v>
      </c>
      <c r="AI279" s="365">
        <f t="shared" si="195"/>
        <v>3.5158</v>
      </c>
      <c r="AJ279" s="365">
        <f t="shared" si="196"/>
        <v>0</v>
      </c>
      <c r="AK279" s="365">
        <f t="shared" si="197"/>
        <v>0</v>
      </c>
      <c r="AL279" s="365">
        <f t="shared" si="198"/>
        <v>38.2041</v>
      </c>
      <c r="AM279" s="365">
        <f t="shared" si="199"/>
        <v>0</v>
      </c>
      <c r="AN279" s="365">
        <f t="shared" si="200"/>
        <v>27.2041</v>
      </c>
      <c r="AO279" s="365">
        <f t="shared" si="201"/>
        <v>11</v>
      </c>
      <c r="AP279" s="365">
        <f t="shared" si="202"/>
        <v>0</v>
      </c>
      <c r="AQ279" s="365">
        <f t="shared" si="203"/>
        <v>0</v>
      </c>
      <c r="AR279" s="365">
        <f t="shared" si="204"/>
        <v>0</v>
      </c>
      <c r="AS279" s="365">
        <f t="shared" si="205"/>
        <v>0</v>
      </c>
      <c r="AT279" s="363"/>
    </row>
    <row r="280" ht="36" spans="1:47">
      <c r="A280" s="284" t="s">
        <v>540</v>
      </c>
      <c r="B280" s="284" t="s">
        <v>199</v>
      </c>
      <c r="C280" s="284" t="s">
        <v>544</v>
      </c>
      <c r="D280" s="284" t="s">
        <v>545</v>
      </c>
      <c r="E280" s="365">
        <f t="shared" si="187"/>
        <v>0</v>
      </c>
      <c r="F280" s="365">
        <f t="shared" si="188"/>
        <v>0</v>
      </c>
      <c r="G280" s="365"/>
      <c r="H280" s="365"/>
      <c r="I280" s="365"/>
      <c r="J280" s="365"/>
      <c r="K280" s="365"/>
      <c r="L280" s="365">
        <f t="shared" si="189"/>
        <v>0</v>
      </c>
      <c r="M280" s="365"/>
      <c r="N280" s="365"/>
      <c r="O280" s="365"/>
      <c r="P280" s="365">
        <f t="shared" si="183"/>
        <v>0</v>
      </c>
      <c r="Q280" s="365">
        <f t="shared" si="190"/>
        <v>0</v>
      </c>
      <c r="R280" s="365"/>
      <c r="S280" s="365"/>
      <c r="T280" s="365"/>
      <c r="U280" s="365"/>
      <c r="V280" s="365"/>
      <c r="W280" s="365">
        <f t="shared" si="191"/>
        <v>0</v>
      </c>
      <c r="X280" s="365"/>
      <c r="Y280" s="365"/>
      <c r="Z280" s="365"/>
      <c r="AA280" s="365"/>
      <c r="AB280" s="365"/>
      <c r="AC280" s="365"/>
      <c r="AD280" s="366">
        <v>0</v>
      </c>
      <c r="AE280" s="365">
        <f t="shared" si="172"/>
        <v>0</v>
      </c>
      <c r="AF280" s="365">
        <f t="shared" si="192"/>
        <v>0</v>
      </c>
      <c r="AG280" s="365">
        <f t="shared" si="193"/>
        <v>0</v>
      </c>
      <c r="AH280" s="365">
        <f t="shared" si="194"/>
        <v>0</v>
      </c>
      <c r="AI280" s="365">
        <f t="shared" si="195"/>
        <v>0</v>
      </c>
      <c r="AJ280" s="365">
        <f t="shared" si="196"/>
        <v>0</v>
      </c>
      <c r="AK280" s="365">
        <f t="shared" si="197"/>
        <v>0</v>
      </c>
      <c r="AL280" s="365">
        <f t="shared" si="198"/>
        <v>0</v>
      </c>
      <c r="AM280" s="365">
        <f t="shared" si="199"/>
        <v>0</v>
      </c>
      <c r="AN280" s="365">
        <f t="shared" si="200"/>
        <v>0</v>
      </c>
      <c r="AO280" s="365">
        <f t="shared" si="201"/>
        <v>0</v>
      </c>
      <c r="AP280" s="365">
        <f t="shared" si="202"/>
        <v>0</v>
      </c>
      <c r="AQ280" s="365">
        <f t="shared" si="203"/>
        <v>0</v>
      </c>
      <c r="AR280" s="365">
        <f t="shared" si="204"/>
        <v>0</v>
      </c>
      <c r="AS280" s="365">
        <f t="shared" si="205"/>
        <v>0</v>
      </c>
      <c r="AT280" s="363"/>
      <c r="AU280">
        <v>5.5</v>
      </c>
    </row>
    <row r="281" ht="36" spans="1:47">
      <c r="A281" s="284" t="s">
        <v>540</v>
      </c>
      <c r="B281" s="284" t="s">
        <v>199</v>
      </c>
      <c r="C281" s="284" t="s">
        <v>546</v>
      </c>
      <c r="D281" s="284" t="s">
        <v>547</v>
      </c>
      <c r="E281" s="365">
        <f t="shared" si="187"/>
        <v>0</v>
      </c>
      <c r="F281" s="365">
        <f t="shared" si="188"/>
        <v>0</v>
      </c>
      <c r="G281" s="365"/>
      <c r="H281" s="365"/>
      <c r="I281" s="365"/>
      <c r="J281" s="365"/>
      <c r="K281" s="365"/>
      <c r="L281" s="365">
        <f t="shared" si="189"/>
        <v>0</v>
      </c>
      <c r="M281" s="365"/>
      <c r="N281" s="365"/>
      <c r="O281" s="365"/>
      <c r="P281" s="365">
        <f t="shared" si="183"/>
        <v>0</v>
      </c>
      <c r="Q281" s="365">
        <f t="shared" si="190"/>
        <v>0</v>
      </c>
      <c r="R281" s="365"/>
      <c r="S281" s="365"/>
      <c r="T281" s="365"/>
      <c r="U281" s="365"/>
      <c r="V281" s="365"/>
      <c r="W281" s="365">
        <f t="shared" si="191"/>
        <v>0</v>
      </c>
      <c r="X281" s="365"/>
      <c r="Y281" s="365"/>
      <c r="Z281" s="365"/>
      <c r="AA281" s="365"/>
      <c r="AB281" s="365"/>
      <c r="AC281" s="365"/>
      <c r="AD281" s="366">
        <v>0</v>
      </c>
      <c r="AE281" s="365">
        <f t="shared" si="172"/>
        <v>0</v>
      </c>
      <c r="AF281" s="365">
        <f t="shared" si="192"/>
        <v>0</v>
      </c>
      <c r="AG281" s="365">
        <f t="shared" si="193"/>
        <v>0</v>
      </c>
      <c r="AH281" s="365">
        <f t="shared" si="194"/>
        <v>0</v>
      </c>
      <c r="AI281" s="365">
        <f t="shared" si="195"/>
        <v>0</v>
      </c>
      <c r="AJ281" s="365">
        <f t="shared" si="196"/>
        <v>0</v>
      </c>
      <c r="AK281" s="365">
        <f t="shared" si="197"/>
        <v>0</v>
      </c>
      <c r="AL281" s="365">
        <f t="shared" si="198"/>
        <v>0</v>
      </c>
      <c r="AM281" s="365">
        <f t="shared" si="199"/>
        <v>0</v>
      </c>
      <c r="AN281" s="365">
        <f t="shared" si="200"/>
        <v>0</v>
      </c>
      <c r="AO281" s="365">
        <f t="shared" si="201"/>
        <v>0</v>
      </c>
      <c r="AP281" s="365">
        <f t="shared" si="202"/>
        <v>0</v>
      </c>
      <c r="AQ281" s="365">
        <f t="shared" si="203"/>
        <v>0</v>
      </c>
      <c r="AR281" s="365">
        <f t="shared" si="204"/>
        <v>0</v>
      </c>
      <c r="AS281" s="365">
        <f t="shared" si="205"/>
        <v>0</v>
      </c>
      <c r="AT281" s="363"/>
      <c r="AU281">
        <v>3.5</v>
      </c>
    </row>
    <row r="282" ht="36" spans="1:47">
      <c r="A282" s="284" t="s">
        <v>540</v>
      </c>
      <c r="B282" s="284" t="s">
        <v>199</v>
      </c>
      <c r="C282" s="284" t="s">
        <v>548</v>
      </c>
      <c r="D282" s="284" t="s">
        <v>549</v>
      </c>
      <c r="E282" s="365">
        <f t="shared" si="187"/>
        <v>0</v>
      </c>
      <c r="F282" s="365">
        <f t="shared" si="188"/>
        <v>0</v>
      </c>
      <c r="G282" s="365"/>
      <c r="H282" s="365"/>
      <c r="I282" s="365"/>
      <c r="J282" s="365"/>
      <c r="K282" s="365"/>
      <c r="L282" s="365">
        <f t="shared" si="189"/>
        <v>0</v>
      </c>
      <c r="M282" s="365"/>
      <c r="N282" s="365"/>
      <c r="O282" s="365"/>
      <c r="P282" s="365">
        <f t="shared" si="183"/>
        <v>0</v>
      </c>
      <c r="Q282" s="365">
        <f t="shared" si="190"/>
        <v>0</v>
      </c>
      <c r="R282" s="365"/>
      <c r="S282" s="365"/>
      <c r="T282" s="365"/>
      <c r="U282" s="365"/>
      <c r="V282" s="365"/>
      <c r="W282" s="365">
        <f t="shared" si="191"/>
        <v>0</v>
      </c>
      <c r="X282" s="365"/>
      <c r="Y282" s="365"/>
      <c r="Z282" s="365"/>
      <c r="AA282" s="365"/>
      <c r="AB282" s="365"/>
      <c r="AC282" s="365"/>
      <c r="AD282" s="366">
        <v>0</v>
      </c>
      <c r="AE282" s="365">
        <f t="shared" si="172"/>
        <v>0</v>
      </c>
      <c r="AF282" s="365">
        <f t="shared" si="192"/>
        <v>0</v>
      </c>
      <c r="AG282" s="365">
        <f t="shared" si="193"/>
        <v>0</v>
      </c>
      <c r="AH282" s="365">
        <f t="shared" si="194"/>
        <v>0</v>
      </c>
      <c r="AI282" s="365">
        <f t="shared" si="195"/>
        <v>0</v>
      </c>
      <c r="AJ282" s="365">
        <f t="shared" si="196"/>
        <v>0</v>
      </c>
      <c r="AK282" s="365">
        <f t="shared" si="197"/>
        <v>0</v>
      </c>
      <c r="AL282" s="365">
        <f t="shared" si="198"/>
        <v>0</v>
      </c>
      <c r="AM282" s="365">
        <f t="shared" si="199"/>
        <v>0</v>
      </c>
      <c r="AN282" s="365">
        <f t="shared" si="200"/>
        <v>0</v>
      </c>
      <c r="AO282" s="365">
        <f t="shared" si="201"/>
        <v>0</v>
      </c>
      <c r="AP282" s="365">
        <f t="shared" si="202"/>
        <v>0</v>
      </c>
      <c r="AQ282" s="365">
        <f t="shared" si="203"/>
        <v>0</v>
      </c>
      <c r="AR282" s="365">
        <f t="shared" si="204"/>
        <v>0</v>
      </c>
      <c r="AS282" s="365">
        <f t="shared" si="205"/>
        <v>0</v>
      </c>
      <c r="AT282" s="363"/>
      <c r="AU282">
        <v>3.34</v>
      </c>
    </row>
    <row r="283" ht="36" spans="1:47">
      <c r="A283" s="284" t="s">
        <v>540</v>
      </c>
      <c r="B283" s="284" t="s">
        <v>199</v>
      </c>
      <c r="C283" s="284" t="s">
        <v>550</v>
      </c>
      <c r="D283" s="284" t="s">
        <v>549</v>
      </c>
      <c r="E283" s="365">
        <f t="shared" si="187"/>
        <v>0</v>
      </c>
      <c r="F283" s="365">
        <f t="shared" si="188"/>
        <v>0</v>
      </c>
      <c r="G283" s="365"/>
      <c r="H283" s="365"/>
      <c r="I283" s="365"/>
      <c r="J283" s="365"/>
      <c r="K283" s="365"/>
      <c r="L283" s="365">
        <f t="shared" si="189"/>
        <v>0</v>
      </c>
      <c r="M283" s="365"/>
      <c r="N283" s="365"/>
      <c r="O283" s="365"/>
      <c r="P283" s="365">
        <f t="shared" si="183"/>
        <v>0</v>
      </c>
      <c r="Q283" s="365">
        <f t="shared" si="190"/>
        <v>0</v>
      </c>
      <c r="R283" s="365"/>
      <c r="S283" s="365"/>
      <c r="T283" s="365"/>
      <c r="U283" s="365"/>
      <c r="V283" s="365"/>
      <c r="W283" s="365">
        <f t="shared" si="191"/>
        <v>0</v>
      </c>
      <c r="X283" s="365"/>
      <c r="Y283" s="365"/>
      <c r="Z283" s="365"/>
      <c r="AA283" s="365"/>
      <c r="AB283" s="365"/>
      <c r="AC283" s="365"/>
      <c r="AD283" s="366">
        <v>0</v>
      </c>
      <c r="AE283" s="365">
        <f t="shared" si="172"/>
        <v>0</v>
      </c>
      <c r="AF283" s="365">
        <f t="shared" si="192"/>
        <v>0</v>
      </c>
      <c r="AG283" s="365">
        <f t="shared" si="193"/>
        <v>0</v>
      </c>
      <c r="AH283" s="365">
        <f t="shared" si="194"/>
        <v>0</v>
      </c>
      <c r="AI283" s="365">
        <f t="shared" si="195"/>
        <v>0</v>
      </c>
      <c r="AJ283" s="365">
        <f t="shared" si="196"/>
        <v>0</v>
      </c>
      <c r="AK283" s="365">
        <f t="shared" si="197"/>
        <v>0</v>
      </c>
      <c r="AL283" s="365">
        <f t="shared" si="198"/>
        <v>0</v>
      </c>
      <c r="AM283" s="365">
        <f t="shared" si="199"/>
        <v>0</v>
      </c>
      <c r="AN283" s="365">
        <f t="shared" si="200"/>
        <v>0</v>
      </c>
      <c r="AO283" s="365">
        <f t="shared" si="201"/>
        <v>0</v>
      </c>
      <c r="AP283" s="365">
        <f t="shared" si="202"/>
        <v>0</v>
      </c>
      <c r="AQ283" s="365">
        <f t="shared" si="203"/>
        <v>0</v>
      </c>
      <c r="AR283" s="365">
        <f t="shared" si="204"/>
        <v>0</v>
      </c>
      <c r="AS283" s="365">
        <f t="shared" si="205"/>
        <v>0</v>
      </c>
      <c r="AT283" s="363"/>
      <c r="AU283">
        <v>5.7083</v>
      </c>
    </row>
    <row r="284" ht="36" spans="1:46">
      <c r="A284" s="284" t="s">
        <v>540</v>
      </c>
      <c r="B284" s="284" t="s">
        <v>199</v>
      </c>
      <c r="C284" s="284" t="s">
        <v>551</v>
      </c>
      <c r="D284" s="284" t="s">
        <v>552</v>
      </c>
      <c r="E284" s="365">
        <f t="shared" si="187"/>
        <v>0</v>
      </c>
      <c r="F284" s="365">
        <f t="shared" si="188"/>
        <v>0</v>
      </c>
      <c r="G284" s="365"/>
      <c r="H284" s="365"/>
      <c r="I284" s="365"/>
      <c r="J284" s="365"/>
      <c r="K284" s="365"/>
      <c r="L284" s="365">
        <f t="shared" si="189"/>
        <v>0</v>
      </c>
      <c r="M284" s="365"/>
      <c r="N284" s="365"/>
      <c r="O284" s="365"/>
      <c r="P284" s="365">
        <f t="shared" si="183"/>
        <v>0</v>
      </c>
      <c r="Q284" s="365">
        <f t="shared" si="190"/>
        <v>0</v>
      </c>
      <c r="R284" s="365"/>
      <c r="S284" s="365"/>
      <c r="T284" s="365"/>
      <c r="U284" s="365"/>
      <c r="V284" s="365"/>
      <c r="W284" s="365">
        <f t="shared" si="191"/>
        <v>0</v>
      </c>
      <c r="X284" s="365"/>
      <c r="Y284" s="365"/>
      <c r="Z284" s="365"/>
      <c r="AA284" s="365"/>
      <c r="AB284" s="365"/>
      <c r="AC284" s="365"/>
      <c r="AD284" s="366">
        <v>0</v>
      </c>
      <c r="AE284" s="365">
        <f t="shared" si="172"/>
        <v>0</v>
      </c>
      <c r="AF284" s="365">
        <f t="shared" si="192"/>
        <v>0</v>
      </c>
      <c r="AG284" s="365">
        <f t="shared" si="193"/>
        <v>0</v>
      </c>
      <c r="AH284" s="365">
        <f t="shared" si="194"/>
        <v>0</v>
      </c>
      <c r="AI284" s="365">
        <f t="shared" si="195"/>
        <v>0</v>
      </c>
      <c r="AJ284" s="365">
        <f t="shared" si="196"/>
        <v>0</v>
      </c>
      <c r="AK284" s="365">
        <f t="shared" si="197"/>
        <v>0</v>
      </c>
      <c r="AL284" s="365">
        <f t="shared" si="198"/>
        <v>0</v>
      </c>
      <c r="AM284" s="365">
        <f t="shared" si="199"/>
        <v>0</v>
      </c>
      <c r="AN284" s="365">
        <f t="shared" si="200"/>
        <v>0</v>
      </c>
      <c r="AO284" s="365">
        <f t="shared" si="201"/>
        <v>0</v>
      </c>
      <c r="AP284" s="365">
        <f t="shared" si="202"/>
        <v>0</v>
      </c>
      <c r="AQ284" s="365">
        <f t="shared" si="203"/>
        <v>0</v>
      </c>
      <c r="AR284" s="365">
        <f t="shared" si="204"/>
        <v>0</v>
      </c>
      <c r="AS284" s="365">
        <f t="shared" si="205"/>
        <v>0</v>
      </c>
      <c r="AT284" s="363"/>
    </row>
    <row r="285" ht="24" spans="1:47">
      <c r="A285" s="284" t="s">
        <v>540</v>
      </c>
      <c r="B285" s="284" t="s">
        <v>196</v>
      </c>
      <c r="C285" s="284" t="s">
        <v>553</v>
      </c>
      <c r="D285" s="284" t="s">
        <v>554</v>
      </c>
      <c r="E285" s="365">
        <f t="shared" si="187"/>
        <v>128.32</v>
      </c>
      <c r="F285" s="365">
        <f t="shared" si="188"/>
        <v>73.41</v>
      </c>
      <c r="G285" s="365">
        <v>42.06</v>
      </c>
      <c r="H285" s="365">
        <v>27.32</v>
      </c>
      <c r="I285" s="365">
        <v>4.03</v>
      </c>
      <c r="J285" s="365"/>
      <c r="K285" s="365"/>
      <c r="L285" s="365">
        <f t="shared" si="189"/>
        <v>54.91</v>
      </c>
      <c r="M285" s="365">
        <v>9.91</v>
      </c>
      <c r="N285" s="365"/>
      <c r="O285" s="365">
        <v>45</v>
      </c>
      <c r="P285" s="365">
        <f t="shared" si="183"/>
        <v>4.0416</v>
      </c>
      <c r="Q285" s="365">
        <f t="shared" si="190"/>
        <v>-0.4518</v>
      </c>
      <c r="R285" s="365">
        <v>1.9216</v>
      </c>
      <c r="S285" s="365">
        <v>-2.2384</v>
      </c>
      <c r="T285" s="365">
        <v>-0.135</v>
      </c>
      <c r="U285" s="365"/>
      <c r="V285" s="365"/>
      <c r="W285" s="365">
        <f t="shared" si="191"/>
        <v>4.4934</v>
      </c>
      <c r="X285" s="365"/>
      <c r="Y285" s="365">
        <v>32.156</v>
      </c>
      <c r="Z285" s="365">
        <v>3</v>
      </c>
      <c r="AA285" s="365"/>
      <c r="AB285" s="365">
        <v>13.7374</v>
      </c>
      <c r="AC285" s="365">
        <v>0.6</v>
      </c>
      <c r="AD285" s="366">
        <v>-45</v>
      </c>
      <c r="AE285" s="365">
        <f t="shared" si="172"/>
        <v>132.3616</v>
      </c>
      <c r="AF285" s="365">
        <f t="shared" si="192"/>
        <v>72.9582</v>
      </c>
      <c r="AG285" s="365">
        <f t="shared" si="193"/>
        <v>43.9816</v>
      </c>
      <c r="AH285" s="365">
        <f t="shared" si="194"/>
        <v>25.0816</v>
      </c>
      <c r="AI285" s="365">
        <f t="shared" si="195"/>
        <v>3.895</v>
      </c>
      <c r="AJ285" s="365">
        <f t="shared" si="196"/>
        <v>0</v>
      </c>
      <c r="AK285" s="365">
        <f t="shared" si="197"/>
        <v>0</v>
      </c>
      <c r="AL285" s="365">
        <f t="shared" si="198"/>
        <v>59.4034</v>
      </c>
      <c r="AM285" s="365">
        <f t="shared" si="199"/>
        <v>9.91</v>
      </c>
      <c r="AN285" s="365">
        <f t="shared" si="200"/>
        <v>32.156</v>
      </c>
      <c r="AO285" s="365">
        <f t="shared" si="201"/>
        <v>3</v>
      </c>
      <c r="AP285" s="365">
        <f t="shared" si="202"/>
        <v>0</v>
      </c>
      <c r="AQ285" s="365">
        <f t="shared" si="203"/>
        <v>13.7374</v>
      </c>
      <c r="AR285" s="365">
        <f t="shared" si="204"/>
        <v>0.6</v>
      </c>
      <c r="AS285" s="365">
        <f t="shared" si="205"/>
        <v>0</v>
      </c>
      <c r="AT285" s="363"/>
      <c r="AU285">
        <v>13.7374</v>
      </c>
    </row>
    <row r="286" ht="36" spans="1:47">
      <c r="A286" s="284" t="s">
        <v>540</v>
      </c>
      <c r="B286" s="284" t="s">
        <v>199</v>
      </c>
      <c r="C286" s="284" t="s">
        <v>555</v>
      </c>
      <c r="D286" s="284" t="s">
        <v>556</v>
      </c>
      <c r="E286" s="365">
        <f t="shared" si="187"/>
        <v>0</v>
      </c>
      <c r="F286" s="365">
        <f t="shared" si="188"/>
        <v>0</v>
      </c>
      <c r="G286" s="365"/>
      <c r="H286" s="365"/>
      <c r="I286" s="365"/>
      <c r="J286" s="365"/>
      <c r="K286" s="365"/>
      <c r="L286" s="365">
        <f t="shared" si="189"/>
        <v>0</v>
      </c>
      <c r="M286" s="365"/>
      <c r="N286" s="365"/>
      <c r="O286" s="365"/>
      <c r="P286" s="365">
        <f t="shared" si="183"/>
        <v>0</v>
      </c>
      <c r="Q286" s="365">
        <f t="shared" si="190"/>
        <v>0</v>
      </c>
      <c r="R286" s="365"/>
      <c r="S286" s="365"/>
      <c r="T286" s="365"/>
      <c r="U286" s="365"/>
      <c r="V286" s="365"/>
      <c r="W286" s="365">
        <f t="shared" si="191"/>
        <v>0</v>
      </c>
      <c r="X286" s="365"/>
      <c r="Y286" s="365"/>
      <c r="Z286" s="365"/>
      <c r="AA286" s="365"/>
      <c r="AB286" s="365"/>
      <c r="AC286" s="365"/>
      <c r="AD286" s="366">
        <v>0</v>
      </c>
      <c r="AE286" s="365">
        <f t="shared" si="172"/>
        <v>0</v>
      </c>
      <c r="AF286" s="365">
        <f t="shared" si="192"/>
        <v>0</v>
      </c>
      <c r="AG286" s="365">
        <f t="shared" si="193"/>
        <v>0</v>
      </c>
      <c r="AH286" s="365">
        <f t="shared" si="194"/>
        <v>0</v>
      </c>
      <c r="AI286" s="365">
        <f t="shared" si="195"/>
        <v>0</v>
      </c>
      <c r="AJ286" s="365">
        <f t="shared" si="196"/>
        <v>0</v>
      </c>
      <c r="AK286" s="365">
        <f t="shared" si="197"/>
        <v>0</v>
      </c>
      <c r="AL286" s="365">
        <f t="shared" si="198"/>
        <v>0</v>
      </c>
      <c r="AM286" s="365">
        <f t="shared" si="199"/>
        <v>0</v>
      </c>
      <c r="AN286" s="365">
        <f t="shared" si="200"/>
        <v>0</v>
      </c>
      <c r="AO286" s="365">
        <f t="shared" si="201"/>
        <v>0</v>
      </c>
      <c r="AP286" s="365">
        <f t="shared" si="202"/>
        <v>0</v>
      </c>
      <c r="AQ286" s="365">
        <f t="shared" si="203"/>
        <v>0</v>
      </c>
      <c r="AR286" s="365">
        <f t="shared" si="204"/>
        <v>0</v>
      </c>
      <c r="AS286" s="365">
        <f t="shared" si="205"/>
        <v>0</v>
      </c>
      <c r="AT286" s="363"/>
      <c r="AU286">
        <v>1.5</v>
      </c>
    </row>
    <row r="287" ht="36" spans="1:47">
      <c r="A287" s="284" t="s">
        <v>540</v>
      </c>
      <c r="B287" s="284" t="s">
        <v>199</v>
      </c>
      <c r="C287" s="284" t="s">
        <v>557</v>
      </c>
      <c r="D287" s="284" t="s">
        <v>556</v>
      </c>
      <c r="E287" s="365">
        <f t="shared" si="187"/>
        <v>0</v>
      </c>
      <c r="F287" s="365">
        <f t="shared" si="188"/>
        <v>0</v>
      </c>
      <c r="G287" s="365"/>
      <c r="H287" s="365"/>
      <c r="I287" s="365"/>
      <c r="J287" s="365"/>
      <c r="K287" s="365"/>
      <c r="L287" s="365">
        <f t="shared" si="189"/>
        <v>0</v>
      </c>
      <c r="M287" s="365"/>
      <c r="N287" s="365"/>
      <c r="O287" s="365"/>
      <c r="P287" s="365">
        <f t="shared" si="183"/>
        <v>0</v>
      </c>
      <c r="Q287" s="365">
        <f t="shared" si="190"/>
        <v>0</v>
      </c>
      <c r="R287" s="365"/>
      <c r="S287" s="365"/>
      <c r="T287" s="365"/>
      <c r="U287" s="365"/>
      <c r="V287" s="365"/>
      <c r="W287" s="365">
        <f t="shared" si="191"/>
        <v>0</v>
      </c>
      <c r="X287" s="365"/>
      <c r="Y287" s="365"/>
      <c r="Z287" s="365"/>
      <c r="AA287" s="365"/>
      <c r="AB287" s="365"/>
      <c r="AC287" s="365"/>
      <c r="AD287" s="366">
        <v>0</v>
      </c>
      <c r="AE287" s="365">
        <f t="shared" si="172"/>
        <v>0</v>
      </c>
      <c r="AF287" s="365">
        <f t="shared" si="192"/>
        <v>0</v>
      </c>
      <c r="AG287" s="365">
        <f t="shared" si="193"/>
        <v>0</v>
      </c>
      <c r="AH287" s="365">
        <f t="shared" si="194"/>
        <v>0</v>
      </c>
      <c r="AI287" s="365">
        <f t="shared" si="195"/>
        <v>0</v>
      </c>
      <c r="AJ287" s="365">
        <f t="shared" si="196"/>
        <v>0</v>
      </c>
      <c r="AK287" s="365">
        <f t="shared" si="197"/>
        <v>0</v>
      </c>
      <c r="AL287" s="365">
        <f t="shared" si="198"/>
        <v>0</v>
      </c>
      <c r="AM287" s="365">
        <f t="shared" si="199"/>
        <v>0</v>
      </c>
      <c r="AN287" s="365">
        <f t="shared" si="200"/>
        <v>0</v>
      </c>
      <c r="AO287" s="365">
        <f t="shared" si="201"/>
        <v>0</v>
      </c>
      <c r="AP287" s="365">
        <f t="shared" si="202"/>
        <v>0</v>
      </c>
      <c r="AQ287" s="365">
        <f t="shared" si="203"/>
        <v>0</v>
      </c>
      <c r="AR287" s="365">
        <f t="shared" si="204"/>
        <v>0</v>
      </c>
      <c r="AS287" s="365">
        <f t="shared" si="205"/>
        <v>0</v>
      </c>
      <c r="AT287" s="363"/>
      <c r="AU287">
        <v>1</v>
      </c>
    </row>
    <row r="288" ht="36" spans="1:47">
      <c r="A288" s="284" t="s">
        <v>540</v>
      </c>
      <c r="B288" s="284" t="s">
        <v>199</v>
      </c>
      <c r="C288" s="284" t="s">
        <v>558</v>
      </c>
      <c r="D288" s="284" t="s">
        <v>556</v>
      </c>
      <c r="E288" s="365">
        <f t="shared" si="187"/>
        <v>0</v>
      </c>
      <c r="F288" s="365">
        <f t="shared" si="188"/>
        <v>0</v>
      </c>
      <c r="G288" s="365"/>
      <c r="H288" s="365"/>
      <c r="I288" s="365"/>
      <c r="J288" s="365"/>
      <c r="K288" s="365"/>
      <c r="L288" s="365">
        <f t="shared" si="189"/>
        <v>0</v>
      </c>
      <c r="M288" s="365"/>
      <c r="N288" s="386"/>
      <c r="O288" s="365"/>
      <c r="P288" s="365">
        <f t="shared" si="183"/>
        <v>0</v>
      </c>
      <c r="Q288" s="365">
        <f t="shared" si="190"/>
        <v>0</v>
      </c>
      <c r="R288" s="365"/>
      <c r="S288" s="365"/>
      <c r="T288" s="365"/>
      <c r="U288" s="365"/>
      <c r="V288" s="365"/>
      <c r="W288" s="365">
        <f t="shared" si="191"/>
        <v>0</v>
      </c>
      <c r="X288" s="365"/>
      <c r="Y288" s="365"/>
      <c r="Z288" s="365"/>
      <c r="AA288" s="365"/>
      <c r="AB288" s="365"/>
      <c r="AC288" s="386"/>
      <c r="AD288" s="366">
        <v>0</v>
      </c>
      <c r="AE288" s="365">
        <f t="shared" si="172"/>
        <v>0</v>
      </c>
      <c r="AF288" s="365">
        <f t="shared" si="192"/>
        <v>0</v>
      </c>
      <c r="AG288" s="365">
        <f t="shared" si="193"/>
        <v>0</v>
      </c>
      <c r="AH288" s="365">
        <f t="shared" si="194"/>
        <v>0</v>
      </c>
      <c r="AI288" s="365">
        <f t="shared" si="195"/>
        <v>0</v>
      </c>
      <c r="AJ288" s="365">
        <f t="shared" si="196"/>
        <v>0</v>
      </c>
      <c r="AK288" s="365">
        <f t="shared" si="197"/>
        <v>0</v>
      </c>
      <c r="AL288" s="365">
        <f t="shared" si="198"/>
        <v>0</v>
      </c>
      <c r="AM288" s="365">
        <f t="shared" si="199"/>
        <v>0</v>
      </c>
      <c r="AN288" s="365">
        <f t="shared" si="200"/>
        <v>0</v>
      </c>
      <c r="AO288" s="365">
        <f t="shared" si="201"/>
        <v>0</v>
      </c>
      <c r="AP288" s="365">
        <f t="shared" si="202"/>
        <v>0</v>
      </c>
      <c r="AQ288" s="365">
        <f t="shared" si="203"/>
        <v>0</v>
      </c>
      <c r="AR288" s="365">
        <f t="shared" si="204"/>
        <v>0</v>
      </c>
      <c r="AS288" s="365">
        <f t="shared" si="205"/>
        <v>0</v>
      </c>
      <c r="AT288" s="363"/>
      <c r="AU288">
        <v>3</v>
      </c>
    </row>
    <row r="289" ht="36" spans="1:47">
      <c r="A289" s="284" t="s">
        <v>540</v>
      </c>
      <c r="B289" s="284" t="s">
        <v>199</v>
      </c>
      <c r="C289" s="284" t="s">
        <v>559</v>
      </c>
      <c r="D289" s="284" t="s">
        <v>556</v>
      </c>
      <c r="E289" s="365">
        <f t="shared" si="187"/>
        <v>0</v>
      </c>
      <c r="F289" s="365">
        <f t="shared" si="188"/>
        <v>0</v>
      </c>
      <c r="G289" s="365"/>
      <c r="H289" s="365"/>
      <c r="I289" s="365"/>
      <c r="J289" s="365"/>
      <c r="K289" s="365"/>
      <c r="L289" s="365">
        <f t="shared" si="189"/>
        <v>0</v>
      </c>
      <c r="M289" s="365"/>
      <c r="N289" s="365"/>
      <c r="O289" s="365"/>
      <c r="P289" s="365">
        <f t="shared" si="183"/>
        <v>0</v>
      </c>
      <c r="Q289" s="365">
        <f t="shared" si="190"/>
        <v>0</v>
      </c>
      <c r="R289" s="365"/>
      <c r="S289" s="365"/>
      <c r="T289" s="365"/>
      <c r="U289" s="365"/>
      <c r="V289" s="365"/>
      <c r="W289" s="365">
        <f t="shared" si="191"/>
        <v>0</v>
      </c>
      <c r="X289" s="365"/>
      <c r="Y289" s="365"/>
      <c r="Z289" s="365"/>
      <c r="AA289" s="365"/>
      <c r="AB289" s="365"/>
      <c r="AC289" s="365"/>
      <c r="AD289" s="366">
        <v>0</v>
      </c>
      <c r="AE289" s="365">
        <f t="shared" si="172"/>
        <v>0</v>
      </c>
      <c r="AF289" s="365">
        <f t="shared" si="192"/>
        <v>0</v>
      </c>
      <c r="AG289" s="365">
        <f t="shared" si="193"/>
        <v>0</v>
      </c>
      <c r="AH289" s="365">
        <f t="shared" si="194"/>
        <v>0</v>
      </c>
      <c r="AI289" s="365">
        <f t="shared" si="195"/>
        <v>0</v>
      </c>
      <c r="AJ289" s="365">
        <f t="shared" si="196"/>
        <v>0</v>
      </c>
      <c r="AK289" s="365">
        <f t="shared" si="197"/>
        <v>0</v>
      </c>
      <c r="AL289" s="365">
        <f t="shared" si="198"/>
        <v>0</v>
      </c>
      <c r="AM289" s="365">
        <f t="shared" si="199"/>
        <v>0</v>
      </c>
      <c r="AN289" s="365">
        <f t="shared" si="200"/>
        <v>0</v>
      </c>
      <c r="AO289" s="365">
        <f t="shared" si="201"/>
        <v>0</v>
      </c>
      <c r="AP289" s="365">
        <f t="shared" si="202"/>
        <v>0</v>
      </c>
      <c r="AQ289" s="365">
        <f t="shared" si="203"/>
        <v>0</v>
      </c>
      <c r="AR289" s="365">
        <f t="shared" si="204"/>
        <v>0</v>
      </c>
      <c r="AS289" s="365">
        <f t="shared" si="205"/>
        <v>0</v>
      </c>
      <c r="AT289" s="363"/>
      <c r="AU289">
        <v>1.5</v>
      </c>
    </row>
    <row r="290" ht="36" spans="1:47">
      <c r="A290" s="284" t="s">
        <v>540</v>
      </c>
      <c r="B290" s="284" t="s">
        <v>199</v>
      </c>
      <c r="C290" s="284" t="s">
        <v>560</v>
      </c>
      <c r="D290" s="284" t="s">
        <v>556</v>
      </c>
      <c r="E290" s="365">
        <f t="shared" si="187"/>
        <v>0</v>
      </c>
      <c r="F290" s="365">
        <f t="shared" si="188"/>
        <v>0</v>
      </c>
      <c r="G290" s="365"/>
      <c r="H290" s="365"/>
      <c r="I290" s="365"/>
      <c r="J290" s="365"/>
      <c r="K290" s="365"/>
      <c r="L290" s="365">
        <f t="shared" si="189"/>
        <v>0</v>
      </c>
      <c r="M290" s="365"/>
      <c r="N290" s="365"/>
      <c r="O290" s="365"/>
      <c r="P290" s="365">
        <f t="shared" si="183"/>
        <v>0</v>
      </c>
      <c r="Q290" s="365">
        <f t="shared" si="190"/>
        <v>0</v>
      </c>
      <c r="R290" s="365"/>
      <c r="S290" s="365"/>
      <c r="T290" s="365"/>
      <c r="U290" s="365"/>
      <c r="V290" s="365"/>
      <c r="W290" s="365">
        <f t="shared" si="191"/>
        <v>0</v>
      </c>
      <c r="X290" s="365"/>
      <c r="Y290" s="365"/>
      <c r="Z290" s="365"/>
      <c r="AA290" s="365"/>
      <c r="AB290" s="365"/>
      <c r="AC290" s="365"/>
      <c r="AD290" s="366">
        <v>0</v>
      </c>
      <c r="AE290" s="365">
        <f t="shared" si="172"/>
        <v>0</v>
      </c>
      <c r="AF290" s="365">
        <f t="shared" si="192"/>
        <v>0</v>
      </c>
      <c r="AG290" s="365">
        <f t="shared" si="193"/>
        <v>0</v>
      </c>
      <c r="AH290" s="365">
        <f t="shared" si="194"/>
        <v>0</v>
      </c>
      <c r="AI290" s="365">
        <f t="shared" si="195"/>
        <v>0</v>
      </c>
      <c r="AJ290" s="365">
        <f t="shared" si="196"/>
        <v>0</v>
      </c>
      <c r="AK290" s="365">
        <f t="shared" si="197"/>
        <v>0</v>
      </c>
      <c r="AL290" s="365">
        <f t="shared" si="198"/>
        <v>0</v>
      </c>
      <c r="AM290" s="365">
        <f t="shared" si="199"/>
        <v>0</v>
      </c>
      <c r="AN290" s="365">
        <f t="shared" si="200"/>
        <v>0</v>
      </c>
      <c r="AO290" s="365">
        <f t="shared" si="201"/>
        <v>0</v>
      </c>
      <c r="AP290" s="365">
        <f t="shared" si="202"/>
        <v>0</v>
      </c>
      <c r="AQ290" s="365">
        <f t="shared" si="203"/>
        <v>0</v>
      </c>
      <c r="AR290" s="365">
        <f t="shared" si="204"/>
        <v>0</v>
      </c>
      <c r="AS290" s="365">
        <f t="shared" si="205"/>
        <v>0</v>
      </c>
      <c r="AT290" s="363"/>
      <c r="AU290">
        <v>1.5</v>
      </c>
    </row>
    <row r="291" ht="24" spans="1:47">
      <c r="A291" s="284" t="s">
        <v>540</v>
      </c>
      <c r="B291" s="284" t="s">
        <v>199</v>
      </c>
      <c r="C291" s="284" t="s">
        <v>561</v>
      </c>
      <c r="D291" s="284" t="s">
        <v>562</v>
      </c>
      <c r="E291" s="365">
        <f t="shared" si="187"/>
        <v>0</v>
      </c>
      <c r="F291" s="365">
        <f t="shared" si="188"/>
        <v>0</v>
      </c>
      <c r="G291" s="365"/>
      <c r="H291" s="365"/>
      <c r="I291" s="365"/>
      <c r="J291" s="365"/>
      <c r="K291" s="365"/>
      <c r="L291" s="365">
        <f t="shared" si="189"/>
        <v>0</v>
      </c>
      <c r="M291" s="365"/>
      <c r="N291" s="365"/>
      <c r="O291" s="365"/>
      <c r="P291" s="365">
        <f t="shared" si="183"/>
        <v>0</v>
      </c>
      <c r="Q291" s="365">
        <f t="shared" si="190"/>
        <v>0</v>
      </c>
      <c r="R291" s="365"/>
      <c r="S291" s="365"/>
      <c r="T291" s="365"/>
      <c r="U291" s="365"/>
      <c r="V291" s="365"/>
      <c r="W291" s="365">
        <f t="shared" si="191"/>
        <v>0</v>
      </c>
      <c r="X291" s="365"/>
      <c r="Y291" s="365"/>
      <c r="Z291" s="365"/>
      <c r="AA291" s="365"/>
      <c r="AB291" s="365"/>
      <c r="AC291" s="365"/>
      <c r="AD291" s="366">
        <v>0</v>
      </c>
      <c r="AE291" s="365">
        <f t="shared" si="172"/>
        <v>0</v>
      </c>
      <c r="AF291" s="365">
        <f t="shared" si="192"/>
        <v>0</v>
      </c>
      <c r="AG291" s="365">
        <f t="shared" si="193"/>
        <v>0</v>
      </c>
      <c r="AH291" s="365">
        <f t="shared" si="194"/>
        <v>0</v>
      </c>
      <c r="AI291" s="365">
        <f t="shared" si="195"/>
        <v>0</v>
      </c>
      <c r="AJ291" s="365">
        <f t="shared" si="196"/>
        <v>0</v>
      </c>
      <c r="AK291" s="365">
        <f t="shared" si="197"/>
        <v>0</v>
      </c>
      <c r="AL291" s="365">
        <f t="shared" si="198"/>
        <v>0</v>
      </c>
      <c r="AM291" s="365">
        <f t="shared" si="199"/>
        <v>0</v>
      </c>
      <c r="AN291" s="365">
        <f t="shared" si="200"/>
        <v>0</v>
      </c>
      <c r="AO291" s="365">
        <f t="shared" si="201"/>
        <v>0</v>
      </c>
      <c r="AP291" s="365">
        <f t="shared" si="202"/>
        <v>0</v>
      </c>
      <c r="AQ291" s="365">
        <f t="shared" si="203"/>
        <v>0</v>
      </c>
      <c r="AR291" s="365">
        <f t="shared" si="204"/>
        <v>0</v>
      </c>
      <c r="AS291" s="365">
        <f t="shared" si="205"/>
        <v>0</v>
      </c>
      <c r="AT291" s="363"/>
      <c r="AU291">
        <v>2.53</v>
      </c>
    </row>
    <row r="292" ht="36" spans="1:47">
      <c r="A292" s="284" t="s">
        <v>540</v>
      </c>
      <c r="B292" s="284" t="s">
        <v>199</v>
      </c>
      <c r="C292" s="284" t="s">
        <v>563</v>
      </c>
      <c r="D292" s="284" t="s">
        <v>564</v>
      </c>
      <c r="E292" s="365">
        <f t="shared" si="187"/>
        <v>0</v>
      </c>
      <c r="F292" s="365">
        <f t="shared" si="188"/>
        <v>0</v>
      </c>
      <c r="G292" s="365"/>
      <c r="H292" s="365"/>
      <c r="I292" s="365"/>
      <c r="J292" s="365"/>
      <c r="K292" s="365"/>
      <c r="L292" s="365">
        <f t="shared" si="189"/>
        <v>0</v>
      </c>
      <c r="M292" s="365"/>
      <c r="N292" s="386"/>
      <c r="O292" s="365"/>
      <c r="P292" s="365">
        <f t="shared" si="183"/>
        <v>0</v>
      </c>
      <c r="Q292" s="365">
        <f t="shared" si="190"/>
        <v>0</v>
      </c>
      <c r="R292" s="365"/>
      <c r="S292" s="365"/>
      <c r="T292" s="365"/>
      <c r="U292" s="365"/>
      <c r="V292" s="365"/>
      <c r="W292" s="365">
        <f t="shared" si="191"/>
        <v>0</v>
      </c>
      <c r="X292" s="365"/>
      <c r="Y292" s="365"/>
      <c r="Z292" s="365"/>
      <c r="AA292" s="365"/>
      <c r="AB292" s="365"/>
      <c r="AC292" s="386"/>
      <c r="AD292" s="366">
        <v>0</v>
      </c>
      <c r="AE292" s="365">
        <f t="shared" si="172"/>
        <v>0</v>
      </c>
      <c r="AF292" s="365">
        <f t="shared" si="192"/>
        <v>0</v>
      </c>
      <c r="AG292" s="365">
        <f t="shared" si="193"/>
        <v>0</v>
      </c>
      <c r="AH292" s="365">
        <f t="shared" si="194"/>
        <v>0</v>
      </c>
      <c r="AI292" s="365">
        <f t="shared" si="195"/>
        <v>0</v>
      </c>
      <c r="AJ292" s="365">
        <f t="shared" si="196"/>
        <v>0</v>
      </c>
      <c r="AK292" s="365">
        <f t="shared" si="197"/>
        <v>0</v>
      </c>
      <c r="AL292" s="365">
        <f t="shared" si="198"/>
        <v>0</v>
      </c>
      <c r="AM292" s="365">
        <f t="shared" si="199"/>
        <v>0</v>
      </c>
      <c r="AN292" s="365">
        <f t="shared" si="200"/>
        <v>0</v>
      </c>
      <c r="AO292" s="365">
        <f t="shared" si="201"/>
        <v>0</v>
      </c>
      <c r="AP292" s="365">
        <f t="shared" si="202"/>
        <v>0</v>
      </c>
      <c r="AQ292" s="365">
        <f t="shared" si="203"/>
        <v>0</v>
      </c>
      <c r="AR292" s="365">
        <f t="shared" si="204"/>
        <v>0</v>
      </c>
      <c r="AS292" s="365">
        <f t="shared" si="205"/>
        <v>0</v>
      </c>
      <c r="AT292" s="363"/>
      <c r="AU292">
        <v>1.01</v>
      </c>
    </row>
    <row r="293" ht="36" spans="1:47">
      <c r="A293" s="284" t="s">
        <v>540</v>
      </c>
      <c r="B293" s="284" t="s">
        <v>199</v>
      </c>
      <c r="C293" s="284" t="s">
        <v>565</v>
      </c>
      <c r="D293" s="284" t="s">
        <v>566</v>
      </c>
      <c r="E293" s="365">
        <f t="shared" si="187"/>
        <v>0</v>
      </c>
      <c r="F293" s="365">
        <f t="shared" si="188"/>
        <v>0</v>
      </c>
      <c r="G293" s="365"/>
      <c r="H293" s="365"/>
      <c r="I293" s="365"/>
      <c r="J293" s="365"/>
      <c r="K293" s="365"/>
      <c r="L293" s="365">
        <f t="shared" si="189"/>
        <v>0</v>
      </c>
      <c r="M293" s="365"/>
      <c r="N293" s="365"/>
      <c r="O293" s="365"/>
      <c r="P293" s="365">
        <f t="shared" si="183"/>
        <v>0</v>
      </c>
      <c r="Q293" s="365">
        <f t="shared" si="190"/>
        <v>0</v>
      </c>
      <c r="R293" s="365"/>
      <c r="S293" s="365"/>
      <c r="T293" s="365"/>
      <c r="U293" s="365"/>
      <c r="V293" s="365"/>
      <c r="W293" s="365">
        <f t="shared" si="191"/>
        <v>0</v>
      </c>
      <c r="X293" s="365"/>
      <c r="Y293" s="365"/>
      <c r="Z293" s="365"/>
      <c r="AA293" s="365"/>
      <c r="AB293" s="365"/>
      <c r="AC293" s="365"/>
      <c r="AD293" s="366">
        <v>0</v>
      </c>
      <c r="AE293" s="365">
        <f t="shared" si="172"/>
        <v>0</v>
      </c>
      <c r="AF293" s="365">
        <f t="shared" si="192"/>
        <v>0</v>
      </c>
      <c r="AG293" s="365">
        <f t="shared" si="193"/>
        <v>0</v>
      </c>
      <c r="AH293" s="365">
        <f t="shared" si="194"/>
        <v>0</v>
      </c>
      <c r="AI293" s="365">
        <f t="shared" si="195"/>
        <v>0</v>
      </c>
      <c r="AJ293" s="365">
        <f t="shared" si="196"/>
        <v>0</v>
      </c>
      <c r="AK293" s="365">
        <f t="shared" si="197"/>
        <v>0</v>
      </c>
      <c r="AL293" s="365">
        <f t="shared" si="198"/>
        <v>0</v>
      </c>
      <c r="AM293" s="365">
        <f t="shared" si="199"/>
        <v>0</v>
      </c>
      <c r="AN293" s="365">
        <f t="shared" si="200"/>
        <v>0</v>
      </c>
      <c r="AO293" s="365">
        <f t="shared" si="201"/>
        <v>0</v>
      </c>
      <c r="AP293" s="365">
        <f t="shared" si="202"/>
        <v>0</v>
      </c>
      <c r="AQ293" s="365">
        <f t="shared" si="203"/>
        <v>0</v>
      </c>
      <c r="AR293" s="365">
        <f t="shared" si="204"/>
        <v>0</v>
      </c>
      <c r="AS293" s="365">
        <f t="shared" si="205"/>
        <v>0</v>
      </c>
      <c r="AT293" s="363"/>
      <c r="AU293">
        <v>3.51</v>
      </c>
    </row>
    <row r="294" ht="24" spans="1:47">
      <c r="A294" s="284" t="s">
        <v>540</v>
      </c>
      <c r="B294" s="284" t="s">
        <v>196</v>
      </c>
      <c r="C294" s="284" t="s">
        <v>567</v>
      </c>
      <c r="D294" s="284" t="s">
        <v>568</v>
      </c>
      <c r="E294" s="365">
        <f t="shared" si="187"/>
        <v>86.9</v>
      </c>
      <c r="F294" s="365">
        <f t="shared" si="188"/>
        <v>39.54</v>
      </c>
      <c r="G294" s="365">
        <v>22.69</v>
      </c>
      <c r="H294" s="365">
        <v>14.96</v>
      </c>
      <c r="I294" s="365">
        <v>1.89</v>
      </c>
      <c r="J294" s="365"/>
      <c r="K294" s="365"/>
      <c r="L294" s="365">
        <f t="shared" si="189"/>
        <v>47.36</v>
      </c>
      <c r="M294" s="365"/>
      <c r="N294" s="365">
        <v>18.36</v>
      </c>
      <c r="O294" s="365">
        <v>29</v>
      </c>
      <c r="P294" s="365">
        <f t="shared" si="183"/>
        <v>0.6793</v>
      </c>
      <c r="Q294" s="365">
        <f t="shared" si="190"/>
        <v>4.2355</v>
      </c>
      <c r="R294" s="365">
        <v>4.0389</v>
      </c>
      <c r="S294" s="365"/>
      <c r="T294" s="365">
        <v>0.1966</v>
      </c>
      <c r="U294" s="365"/>
      <c r="V294" s="365"/>
      <c r="W294" s="365">
        <f t="shared" si="191"/>
        <v>-3.5562</v>
      </c>
      <c r="X294" s="365"/>
      <c r="Y294" s="365">
        <v>14.823</v>
      </c>
      <c r="Z294" s="365">
        <v>6</v>
      </c>
      <c r="AA294" s="365"/>
      <c r="AB294" s="365">
        <v>4.6208</v>
      </c>
      <c r="AC294" s="365"/>
      <c r="AD294" s="366">
        <v>-29</v>
      </c>
      <c r="AE294" s="365">
        <f t="shared" si="172"/>
        <v>87.5793</v>
      </c>
      <c r="AF294" s="365">
        <f t="shared" si="192"/>
        <v>43.7755</v>
      </c>
      <c r="AG294" s="365">
        <f t="shared" si="193"/>
        <v>26.7289</v>
      </c>
      <c r="AH294" s="365">
        <f t="shared" si="194"/>
        <v>14.96</v>
      </c>
      <c r="AI294" s="365">
        <f t="shared" si="195"/>
        <v>2.0866</v>
      </c>
      <c r="AJ294" s="365">
        <f t="shared" si="196"/>
        <v>0</v>
      </c>
      <c r="AK294" s="365">
        <f t="shared" si="197"/>
        <v>0</v>
      </c>
      <c r="AL294" s="365">
        <f t="shared" si="198"/>
        <v>43.8038</v>
      </c>
      <c r="AM294" s="365">
        <f t="shared" si="199"/>
        <v>0</v>
      </c>
      <c r="AN294" s="365">
        <f t="shared" si="200"/>
        <v>14.823</v>
      </c>
      <c r="AO294" s="365">
        <f t="shared" si="201"/>
        <v>6</v>
      </c>
      <c r="AP294" s="365">
        <f t="shared" si="202"/>
        <v>0</v>
      </c>
      <c r="AQ294" s="365">
        <f t="shared" si="203"/>
        <v>4.6208</v>
      </c>
      <c r="AR294" s="365">
        <f t="shared" si="204"/>
        <v>18.36</v>
      </c>
      <c r="AS294" s="365">
        <f t="shared" si="205"/>
        <v>0</v>
      </c>
      <c r="AT294" s="363"/>
      <c r="AU294">
        <v>4.6208</v>
      </c>
    </row>
    <row r="295" ht="24" spans="1:47">
      <c r="A295" s="284" t="s">
        <v>540</v>
      </c>
      <c r="B295" s="284" t="s">
        <v>199</v>
      </c>
      <c r="C295" s="284" t="s">
        <v>569</v>
      </c>
      <c r="D295" s="284" t="s">
        <v>570</v>
      </c>
      <c r="E295" s="365">
        <f t="shared" si="187"/>
        <v>0</v>
      </c>
      <c r="F295" s="365">
        <f t="shared" si="188"/>
        <v>0</v>
      </c>
      <c r="G295" s="365"/>
      <c r="H295" s="365"/>
      <c r="I295" s="365"/>
      <c r="J295" s="365"/>
      <c r="K295" s="365"/>
      <c r="L295" s="365">
        <f t="shared" si="189"/>
        <v>0</v>
      </c>
      <c r="M295" s="365"/>
      <c r="N295" s="365"/>
      <c r="O295" s="365"/>
      <c r="P295" s="365">
        <f t="shared" si="183"/>
        <v>0</v>
      </c>
      <c r="Q295" s="365">
        <f t="shared" si="190"/>
        <v>0</v>
      </c>
      <c r="R295" s="365"/>
      <c r="S295" s="365"/>
      <c r="T295" s="365"/>
      <c r="U295" s="365"/>
      <c r="V295" s="365"/>
      <c r="W295" s="365">
        <f t="shared" si="191"/>
        <v>0</v>
      </c>
      <c r="X295" s="365"/>
      <c r="Y295" s="365"/>
      <c r="Z295" s="365"/>
      <c r="AA295" s="365"/>
      <c r="AB295" s="365"/>
      <c r="AC295" s="365"/>
      <c r="AD295" s="366">
        <v>0</v>
      </c>
      <c r="AE295" s="365">
        <f t="shared" si="172"/>
        <v>0</v>
      </c>
      <c r="AF295" s="365">
        <f t="shared" si="192"/>
        <v>0</v>
      </c>
      <c r="AG295" s="365">
        <f t="shared" si="193"/>
        <v>0</v>
      </c>
      <c r="AH295" s="365">
        <f t="shared" si="194"/>
        <v>0</v>
      </c>
      <c r="AI295" s="365">
        <f t="shared" si="195"/>
        <v>0</v>
      </c>
      <c r="AJ295" s="365">
        <f t="shared" si="196"/>
        <v>0</v>
      </c>
      <c r="AK295" s="365">
        <f t="shared" si="197"/>
        <v>0</v>
      </c>
      <c r="AL295" s="365">
        <f t="shared" si="198"/>
        <v>0</v>
      </c>
      <c r="AM295" s="365">
        <f t="shared" si="199"/>
        <v>0</v>
      </c>
      <c r="AN295" s="365">
        <f t="shared" si="200"/>
        <v>0</v>
      </c>
      <c r="AO295" s="365">
        <f t="shared" si="201"/>
        <v>0</v>
      </c>
      <c r="AP295" s="365">
        <f t="shared" si="202"/>
        <v>0</v>
      </c>
      <c r="AQ295" s="365">
        <f t="shared" si="203"/>
        <v>0</v>
      </c>
      <c r="AR295" s="365">
        <f t="shared" si="204"/>
        <v>0</v>
      </c>
      <c r="AS295" s="365">
        <f t="shared" si="205"/>
        <v>0</v>
      </c>
      <c r="AT295" s="363"/>
      <c r="AU295">
        <v>0.67</v>
      </c>
    </row>
    <row r="296" ht="24" spans="1:47">
      <c r="A296" s="284" t="s">
        <v>540</v>
      </c>
      <c r="B296" s="284" t="s">
        <v>196</v>
      </c>
      <c r="C296" s="284" t="s">
        <v>571</v>
      </c>
      <c r="D296" s="284" t="s">
        <v>572</v>
      </c>
      <c r="E296" s="365">
        <f t="shared" si="187"/>
        <v>34.58</v>
      </c>
      <c r="F296" s="365">
        <f t="shared" si="188"/>
        <v>19.58</v>
      </c>
      <c r="G296" s="365">
        <v>10.87</v>
      </c>
      <c r="H296" s="365">
        <v>7.8</v>
      </c>
      <c r="I296" s="365">
        <v>0.91</v>
      </c>
      <c r="J296" s="365"/>
      <c r="K296" s="365"/>
      <c r="L296" s="365">
        <f t="shared" si="189"/>
        <v>15</v>
      </c>
      <c r="M296" s="365"/>
      <c r="N296" s="365"/>
      <c r="O296" s="365">
        <v>15</v>
      </c>
      <c r="P296" s="365">
        <f t="shared" si="183"/>
        <v>-1.9223</v>
      </c>
      <c r="Q296" s="365">
        <f t="shared" si="190"/>
        <v>1.862</v>
      </c>
      <c r="R296" s="365">
        <v>1.5997</v>
      </c>
      <c r="S296" s="365">
        <v>0.1852</v>
      </c>
      <c r="T296" s="365">
        <v>0.0770999999999999</v>
      </c>
      <c r="U296" s="365"/>
      <c r="V296" s="365"/>
      <c r="W296" s="365">
        <f t="shared" si="191"/>
        <v>-3.7843</v>
      </c>
      <c r="X296" s="365"/>
      <c r="Y296" s="365">
        <v>4.4809</v>
      </c>
      <c r="Z296" s="365">
        <v>5</v>
      </c>
      <c r="AA296" s="365"/>
      <c r="AB296" s="365">
        <v>1.5848</v>
      </c>
      <c r="AC296" s="365">
        <v>0.15</v>
      </c>
      <c r="AD296" s="366">
        <v>-15</v>
      </c>
      <c r="AE296" s="365">
        <f t="shared" si="172"/>
        <v>32.6577</v>
      </c>
      <c r="AF296" s="365">
        <f t="shared" si="192"/>
        <v>21.442</v>
      </c>
      <c r="AG296" s="365">
        <f t="shared" si="193"/>
        <v>12.4697</v>
      </c>
      <c r="AH296" s="365">
        <f t="shared" si="194"/>
        <v>7.9852</v>
      </c>
      <c r="AI296" s="365">
        <f t="shared" si="195"/>
        <v>0.9871</v>
      </c>
      <c r="AJ296" s="365">
        <f t="shared" si="196"/>
        <v>0</v>
      </c>
      <c r="AK296" s="365">
        <f t="shared" si="197"/>
        <v>0</v>
      </c>
      <c r="AL296" s="365">
        <f t="shared" si="198"/>
        <v>11.2157</v>
      </c>
      <c r="AM296" s="365">
        <f t="shared" si="199"/>
        <v>0</v>
      </c>
      <c r="AN296" s="365">
        <f t="shared" si="200"/>
        <v>4.4809</v>
      </c>
      <c r="AO296" s="365">
        <f t="shared" si="201"/>
        <v>5</v>
      </c>
      <c r="AP296" s="365">
        <f t="shared" si="202"/>
        <v>0</v>
      </c>
      <c r="AQ296" s="365">
        <f t="shared" si="203"/>
        <v>1.5848</v>
      </c>
      <c r="AR296" s="365">
        <f t="shared" si="204"/>
        <v>0.15</v>
      </c>
      <c r="AS296" s="365">
        <f t="shared" si="205"/>
        <v>0</v>
      </c>
      <c r="AT296" s="363"/>
      <c r="AU296">
        <v>1.5848</v>
      </c>
    </row>
    <row r="297" ht="24" spans="1:47">
      <c r="A297" s="284" t="s">
        <v>540</v>
      </c>
      <c r="B297" s="284" t="s">
        <v>196</v>
      </c>
      <c r="C297" s="284" t="s">
        <v>573</v>
      </c>
      <c r="D297" s="284" t="s">
        <v>574</v>
      </c>
      <c r="E297" s="365">
        <f t="shared" si="187"/>
        <v>67.37</v>
      </c>
      <c r="F297" s="365">
        <f t="shared" si="188"/>
        <v>38.37</v>
      </c>
      <c r="G297" s="365">
        <v>21.61</v>
      </c>
      <c r="H297" s="365">
        <v>14.96</v>
      </c>
      <c r="I297" s="365">
        <v>1.8</v>
      </c>
      <c r="J297" s="365"/>
      <c r="K297" s="365"/>
      <c r="L297" s="365">
        <f t="shared" si="189"/>
        <v>29</v>
      </c>
      <c r="M297" s="365"/>
      <c r="N297" s="365"/>
      <c r="O297" s="365">
        <v>29</v>
      </c>
      <c r="P297" s="365">
        <f t="shared" si="183"/>
        <v>-3.71226</v>
      </c>
      <c r="Q297" s="365">
        <f t="shared" si="190"/>
        <v>3.8417</v>
      </c>
      <c r="R297" s="365">
        <v>3.2049</v>
      </c>
      <c r="S297" s="365">
        <v>0.468</v>
      </c>
      <c r="T297" s="365">
        <v>0.1688</v>
      </c>
      <c r="U297" s="365"/>
      <c r="V297" s="365"/>
      <c r="W297" s="365">
        <f t="shared" si="191"/>
        <v>-7.55396</v>
      </c>
      <c r="X297" s="365"/>
      <c r="Y297" s="365">
        <v>15.23184</v>
      </c>
      <c r="Z297" s="365">
        <v>3</v>
      </c>
      <c r="AA297" s="365"/>
      <c r="AB297" s="365">
        <v>3.0642</v>
      </c>
      <c r="AC297" s="365">
        <v>0.15</v>
      </c>
      <c r="AD297" s="366">
        <v>-29</v>
      </c>
      <c r="AE297" s="365">
        <f t="shared" si="172"/>
        <v>63.65774</v>
      </c>
      <c r="AF297" s="365">
        <f t="shared" si="192"/>
        <v>42.2117</v>
      </c>
      <c r="AG297" s="365">
        <f t="shared" si="193"/>
        <v>24.8149</v>
      </c>
      <c r="AH297" s="365">
        <f t="shared" si="194"/>
        <v>15.428</v>
      </c>
      <c r="AI297" s="365">
        <f t="shared" si="195"/>
        <v>1.9688</v>
      </c>
      <c r="AJ297" s="365">
        <f t="shared" si="196"/>
        <v>0</v>
      </c>
      <c r="AK297" s="365">
        <f t="shared" si="197"/>
        <v>0</v>
      </c>
      <c r="AL297" s="365">
        <f t="shared" si="198"/>
        <v>21.44604</v>
      </c>
      <c r="AM297" s="365">
        <f t="shared" si="199"/>
        <v>0</v>
      </c>
      <c r="AN297" s="365">
        <f t="shared" si="200"/>
        <v>15.23184</v>
      </c>
      <c r="AO297" s="365">
        <f t="shared" si="201"/>
        <v>3</v>
      </c>
      <c r="AP297" s="365">
        <f t="shared" si="202"/>
        <v>0</v>
      </c>
      <c r="AQ297" s="365">
        <f t="shared" si="203"/>
        <v>3.0642</v>
      </c>
      <c r="AR297" s="365">
        <f t="shared" si="204"/>
        <v>0.15</v>
      </c>
      <c r="AS297" s="365">
        <f t="shared" si="205"/>
        <v>0</v>
      </c>
      <c r="AT297" s="363"/>
      <c r="AU297">
        <v>3.0642</v>
      </c>
    </row>
    <row r="298" ht="24" spans="1:47">
      <c r="A298" s="284" t="s">
        <v>540</v>
      </c>
      <c r="B298" s="284" t="s">
        <v>199</v>
      </c>
      <c r="C298" s="284" t="s">
        <v>575</v>
      </c>
      <c r="D298" s="284" t="s">
        <v>576</v>
      </c>
      <c r="E298" s="365">
        <f t="shared" si="187"/>
        <v>0</v>
      </c>
      <c r="F298" s="365">
        <f t="shared" si="188"/>
        <v>0</v>
      </c>
      <c r="G298" s="365"/>
      <c r="H298" s="365"/>
      <c r="I298" s="365"/>
      <c r="J298" s="365"/>
      <c r="K298" s="365"/>
      <c r="L298" s="365">
        <f t="shared" si="189"/>
        <v>0</v>
      </c>
      <c r="M298" s="365"/>
      <c r="N298" s="386"/>
      <c r="O298" s="365"/>
      <c r="P298" s="365">
        <f t="shared" si="183"/>
        <v>0</v>
      </c>
      <c r="Q298" s="365">
        <f t="shared" si="190"/>
        <v>0</v>
      </c>
      <c r="R298" s="365"/>
      <c r="S298" s="365"/>
      <c r="T298" s="365"/>
      <c r="U298" s="365"/>
      <c r="V298" s="365"/>
      <c r="W298" s="365">
        <f t="shared" si="191"/>
        <v>0</v>
      </c>
      <c r="X298" s="365"/>
      <c r="Y298" s="365"/>
      <c r="Z298" s="365"/>
      <c r="AA298" s="365"/>
      <c r="AB298" s="365"/>
      <c r="AC298" s="386"/>
      <c r="AD298" s="366">
        <v>0</v>
      </c>
      <c r="AE298" s="365">
        <f t="shared" si="172"/>
        <v>0</v>
      </c>
      <c r="AF298" s="365">
        <f t="shared" si="192"/>
        <v>0</v>
      </c>
      <c r="AG298" s="365">
        <f t="shared" si="193"/>
        <v>0</v>
      </c>
      <c r="AH298" s="365">
        <f t="shared" si="194"/>
        <v>0</v>
      </c>
      <c r="AI298" s="365">
        <f t="shared" si="195"/>
        <v>0</v>
      </c>
      <c r="AJ298" s="365">
        <f t="shared" si="196"/>
        <v>0</v>
      </c>
      <c r="AK298" s="365">
        <f t="shared" si="197"/>
        <v>0</v>
      </c>
      <c r="AL298" s="365">
        <f t="shared" si="198"/>
        <v>0</v>
      </c>
      <c r="AM298" s="365">
        <f t="shared" si="199"/>
        <v>0</v>
      </c>
      <c r="AN298" s="365">
        <f t="shared" si="200"/>
        <v>0</v>
      </c>
      <c r="AO298" s="365">
        <f t="shared" si="201"/>
        <v>0</v>
      </c>
      <c r="AP298" s="365">
        <f t="shared" si="202"/>
        <v>0</v>
      </c>
      <c r="AQ298" s="365">
        <f t="shared" si="203"/>
        <v>0</v>
      </c>
      <c r="AR298" s="365">
        <f t="shared" si="204"/>
        <v>0</v>
      </c>
      <c r="AS298" s="365">
        <f t="shared" si="205"/>
        <v>0</v>
      </c>
      <c r="AT298" s="363"/>
      <c r="AU298">
        <v>2.5</v>
      </c>
    </row>
    <row r="299" s="311" customFormat="1" ht="21" customHeight="1" spans="1:47">
      <c r="A299" s="329"/>
      <c r="B299" s="329" t="s">
        <v>750</v>
      </c>
      <c r="C299" s="329" t="s">
        <v>138</v>
      </c>
      <c r="D299" s="329">
        <v>210</v>
      </c>
      <c r="E299" s="364">
        <f t="shared" ref="E299:O299" si="206">SUM(E300:E328)</f>
        <v>482.6</v>
      </c>
      <c r="F299" s="364">
        <f t="shared" si="206"/>
        <v>239.12</v>
      </c>
      <c r="G299" s="364">
        <f t="shared" si="206"/>
        <v>136.44</v>
      </c>
      <c r="H299" s="364">
        <f t="shared" si="206"/>
        <v>91.3</v>
      </c>
      <c r="I299" s="364">
        <f t="shared" si="206"/>
        <v>11.38</v>
      </c>
      <c r="J299" s="364">
        <f t="shared" si="206"/>
        <v>0</v>
      </c>
      <c r="K299" s="364">
        <f t="shared" si="206"/>
        <v>0</v>
      </c>
      <c r="L299" s="364">
        <f t="shared" si="206"/>
        <v>243.48</v>
      </c>
      <c r="M299" s="364">
        <f t="shared" si="206"/>
        <v>2.48</v>
      </c>
      <c r="N299" s="364">
        <f t="shared" si="206"/>
        <v>80</v>
      </c>
      <c r="O299" s="364">
        <f t="shared" si="206"/>
        <v>161</v>
      </c>
      <c r="P299" s="364">
        <f t="shared" si="183"/>
        <v>188.64645</v>
      </c>
      <c r="Q299" s="364">
        <f t="shared" ref="Q299:AD299" si="207">SUM(Q300:Q328)</f>
        <v>7.28265</v>
      </c>
      <c r="R299" s="364">
        <f t="shared" si="207"/>
        <v>12.83815</v>
      </c>
      <c r="S299" s="364">
        <f t="shared" si="207"/>
        <v>-6.2072</v>
      </c>
      <c r="T299" s="364">
        <f t="shared" si="207"/>
        <v>0.6517</v>
      </c>
      <c r="U299" s="364">
        <f t="shared" si="207"/>
        <v>0</v>
      </c>
      <c r="V299" s="364">
        <f t="shared" si="207"/>
        <v>0</v>
      </c>
      <c r="W299" s="364">
        <f t="shared" si="207"/>
        <v>181.3638</v>
      </c>
      <c r="X299" s="364">
        <f t="shared" si="207"/>
        <v>0</v>
      </c>
      <c r="Y299" s="364">
        <f t="shared" si="207"/>
        <v>99.9234</v>
      </c>
      <c r="Z299" s="364">
        <f t="shared" si="207"/>
        <v>17</v>
      </c>
      <c r="AA299" s="364">
        <f t="shared" si="207"/>
        <v>0</v>
      </c>
      <c r="AB299" s="364">
        <f t="shared" si="207"/>
        <v>223.8904</v>
      </c>
      <c r="AC299" s="364">
        <f t="shared" si="207"/>
        <v>1.55</v>
      </c>
      <c r="AD299" s="364">
        <f t="shared" si="207"/>
        <v>-161</v>
      </c>
      <c r="AE299" s="364">
        <f t="shared" si="172"/>
        <v>671.24645</v>
      </c>
      <c r="AF299" s="364">
        <f t="shared" ref="AF299:AS299" si="208">SUM(AF300:AF328)</f>
        <v>246.40265</v>
      </c>
      <c r="AG299" s="364">
        <f t="shared" si="208"/>
        <v>149.27815</v>
      </c>
      <c r="AH299" s="364">
        <f t="shared" si="208"/>
        <v>85.0928</v>
      </c>
      <c r="AI299" s="364">
        <f t="shared" si="208"/>
        <v>12.0317</v>
      </c>
      <c r="AJ299" s="364">
        <f t="shared" si="208"/>
        <v>0</v>
      </c>
      <c r="AK299" s="364">
        <f t="shared" si="208"/>
        <v>0</v>
      </c>
      <c r="AL299" s="364">
        <f t="shared" si="208"/>
        <v>424.8438</v>
      </c>
      <c r="AM299" s="364">
        <f t="shared" si="208"/>
        <v>2.48</v>
      </c>
      <c r="AN299" s="364">
        <f t="shared" si="208"/>
        <v>99.9234</v>
      </c>
      <c r="AO299" s="364">
        <f t="shared" si="208"/>
        <v>17</v>
      </c>
      <c r="AP299" s="364">
        <f t="shared" si="208"/>
        <v>0</v>
      </c>
      <c r="AQ299" s="364">
        <f t="shared" si="208"/>
        <v>223.8904</v>
      </c>
      <c r="AR299" s="364">
        <f t="shared" si="208"/>
        <v>81.55</v>
      </c>
      <c r="AS299" s="364">
        <f t="shared" si="208"/>
        <v>0</v>
      </c>
      <c r="AT299" s="372"/>
      <c r="AU299" s="373"/>
    </row>
    <row r="300" ht="24" spans="1:47">
      <c r="A300" s="284" t="s">
        <v>540</v>
      </c>
      <c r="B300" s="284" t="s">
        <v>196</v>
      </c>
      <c r="C300" s="284" t="s">
        <v>577</v>
      </c>
      <c r="D300" s="284" t="s">
        <v>578</v>
      </c>
      <c r="E300" s="365">
        <f t="shared" ref="E300:E328" si="209">F300+L300</f>
        <v>180.36</v>
      </c>
      <c r="F300" s="365">
        <f t="shared" ref="F300:F328" si="210">SUM(G300:K300)</f>
        <v>116.36</v>
      </c>
      <c r="G300" s="365">
        <v>67.52</v>
      </c>
      <c r="H300" s="365">
        <v>43.21</v>
      </c>
      <c r="I300" s="365">
        <v>5.63</v>
      </c>
      <c r="J300" s="365"/>
      <c r="K300" s="365"/>
      <c r="L300" s="365">
        <f t="shared" ref="L300:L328" si="211">SUM(M300:O300)</f>
        <v>64</v>
      </c>
      <c r="M300" s="365"/>
      <c r="N300" s="365"/>
      <c r="O300" s="366">
        <v>64</v>
      </c>
      <c r="P300" s="365">
        <f t="shared" si="183"/>
        <v>7.34189999999999</v>
      </c>
      <c r="Q300" s="365">
        <f t="shared" ref="Q300:Q328" si="212">SUM(R300:V300)</f>
        <v>0.2231</v>
      </c>
      <c r="R300" s="365">
        <v>3.6672</v>
      </c>
      <c r="S300" s="365">
        <v>-3.5343</v>
      </c>
      <c r="T300" s="365">
        <v>0.0902000000000003</v>
      </c>
      <c r="U300" s="365"/>
      <c r="V300" s="365"/>
      <c r="W300" s="365">
        <f t="shared" ref="W300:W328" si="213">SUM(X300:AD300)</f>
        <v>7.11879999999999</v>
      </c>
      <c r="X300" s="365"/>
      <c r="Y300" s="365">
        <v>55.3264</v>
      </c>
      <c r="Z300" s="365">
        <v>1</v>
      </c>
      <c r="AA300" s="365"/>
      <c r="AB300" s="365">
        <v>13.2424</v>
      </c>
      <c r="AC300" s="365">
        <v>1.55</v>
      </c>
      <c r="AD300" s="366">
        <v>-64</v>
      </c>
      <c r="AE300" s="365">
        <f t="shared" si="172"/>
        <v>187.7019</v>
      </c>
      <c r="AF300" s="365">
        <f t="shared" ref="AF300:AF328" si="214">SUM(AG300:AK300)</f>
        <v>116.5831</v>
      </c>
      <c r="AG300" s="365">
        <f t="shared" ref="AG300:AG328" si="215">G300+R300</f>
        <v>71.1872</v>
      </c>
      <c r="AH300" s="365">
        <f t="shared" ref="AH300:AH328" si="216">H300+S300</f>
        <v>39.6757</v>
      </c>
      <c r="AI300" s="365">
        <f t="shared" ref="AI300:AI328" si="217">I300+T300</f>
        <v>5.7202</v>
      </c>
      <c r="AJ300" s="365">
        <f t="shared" ref="AJ300:AJ328" si="218">J300+U300</f>
        <v>0</v>
      </c>
      <c r="AK300" s="365">
        <f t="shared" ref="AK300:AK328" si="219">K300+V300</f>
        <v>0</v>
      </c>
      <c r="AL300" s="365">
        <f t="shared" ref="AL300:AL328" si="220">SUM(AM300:AS300)</f>
        <v>71.1188</v>
      </c>
      <c r="AM300" s="365">
        <f t="shared" ref="AM300:AM328" si="221">M300+X300</f>
        <v>0</v>
      </c>
      <c r="AN300" s="365">
        <f t="shared" ref="AN300:AN328" si="222">Y300</f>
        <v>55.3264</v>
      </c>
      <c r="AO300" s="365">
        <f t="shared" ref="AO300:AO328" si="223">Z300</f>
        <v>1</v>
      </c>
      <c r="AP300" s="365">
        <f t="shared" ref="AP300:AP328" si="224">AA300</f>
        <v>0</v>
      </c>
      <c r="AQ300" s="365">
        <f t="shared" ref="AQ300:AQ328" si="225">AB300</f>
        <v>13.2424</v>
      </c>
      <c r="AR300" s="365">
        <f t="shared" ref="AR300:AR328" si="226">N300+AC300</f>
        <v>1.55</v>
      </c>
      <c r="AS300" s="365">
        <f t="shared" ref="AS300:AS328" si="227">O300+AD300</f>
        <v>0</v>
      </c>
      <c r="AT300" s="363"/>
      <c r="AU300">
        <v>13.2424</v>
      </c>
    </row>
    <row r="301" ht="24" spans="1:47">
      <c r="A301" s="284" t="s">
        <v>540</v>
      </c>
      <c r="B301" s="284" t="s">
        <v>196</v>
      </c>
      <c r="C301" s="284" t="s">
        <v>579</v>
      </c>
      <c r="D301" s="284" t="s">
        <v>578</v>
      </c>
      <c r="E301" s="365">
        <f t="shared" si="209"/>
        <v>35.09</v>
      </c>
      <c r="F301" s="365">
        <f t="shared" si="210"/>
        <v>20.09</v>
      </c>
      <c r="G301" s="365">
        <v>11.12</v>
      </c>
      <c r="H301" s="365">
        <v>8.04</v>
      </c>
      <c r="I301" s="365">
        <v>0.93</v>
      </c>
      <c r="J301" s="365"/>
      <c r="K301" s="365"/>
      <c r="L301" s="365">
        <f t="shared" si="211"/>
        <v>15</v>
      </c>
      <c r="M301" s="365"/>
      <c r="N301" s="365"/>
      <c r="O301" s="365">
        <v>15</v>
      </c>
      <c r="P301" s="365">
        <f t="shared" si="183"/>
        <v>-1.5152</v>
      </c>
      <c r="Q301" s="365">
        <f t="shared" si="212"/>
        <v>1.9805</v>
      </c>
      <c r="R301" s="365">
        <v>1.7796</v>
      </c>
      <c r="S301" s="365">
        <v>0.1224</v>
      </c>
      <c r="T301" s="365">
        <v>0.0784999999999999</v>
      </c>
      <c r="U301" s="365"/>
      <c r="V301" s="365"/>
      <c r="W301" s="365">
        <f t="shared" si="213"/>
        <v>-3.4957</v>
      </c>
      <c r="X301" s="365"/>
      <c r="Y301" s="365">
        <v>4.8735</v>
      </c>
      <c r="Z301" s="365">
        <v>5</v>
      </c>
      <c r="AA301" s="365"/>
      <c r="AB301" s="365">
        <v>1.6308</v>
      </c>
      <c r="AC301" s="365"/>
      <c r="AD301" s="366">
        <v>-15</v>
      </c>
      <c r="AE301" s="365">
        <f t="shared" si="172"/>
        <v>33.5748</v>
      </c>
      <c r="AF301" s="365">
        <f t="shared" si="214"/>
        <v>22.0705</v>
      </c>
      <c r="AG301" s="365">
        <f t="shared" si="215"/>
        <v>12.8996</v>
      </c>
      <c r="AH301" s="365">
        <f t="shared" si="216"/>
        <v>8.1624</v>
      </c>
      <c r="AI301" s="365">
        <f t="shared" si="217"/>
        <v>1.0085</v>
      </c>
      <c r="AJ301" s="365">
        <f t="shared" si="218"/>
        <v>0</v>
      </c>
      <c r="AK301" s="365">
        <f t="shared" si="219"/>
        <v>0</v>
      </c>
      <c r="AL301" s="365">
        <f t="shared" si="220"/>
        <v>11.5043</v>
      </c>
      <c r="AM301" s="365">
        <f t="shared" si="221"/>
        <v>0</v>
      </c>
      <c r="AN301" s="365">
        <f t="shared" si="222"/>
        <v>4.8735</v>
      </c>
      <c r="AO301" s="365">
        <f t="shared" si="223"/>
        <v>5</v>
      </c>
      <c r="AP301" s="365">
        <f t="shared" si="224"/>
        <v>0</v>
      </c>
      <c r="AQ301" s="365">
        <f t="shared" si="225"/>
        <v>1.6308</v>
      </c>
      <c r="AR301" s="365">
        <f t="shared" si="226"/>
        <v>0</v>
      </c>
      <c r="AS301" s="365">
        <f t="shared" si="227"/>
        <v>0</v>
      </c>
      <c r="AT301" s="363"/>
      <c r="AU301">
        <v>1.6308</v>
      </c>
    </row>
    <row r="302" ht="24" spans="1:47">
      <c r="A302" s="284" t="s">
        <v>540</v>
      </c>
      <c r="B302" s="284" t="s">
        <v>199</v>
      </c>
      <c r="C302" s="284" t="s">
        <v>580</v>
      </c>
      <c r="D302" s="284" t="s">
        <v>581</v>
      </c>
      <c r="E302" s="365">
        <f t="shared" si="209"/>
        <v>0</v>
      </c>
      <c r="F302" s="365">
        <f t="shared" si="210"/>
        <v>0</v>
      </c>
      <c r="G302" s="365"/>
      <c r="H302" s="365"/>
      <c r="I302" s="365"/>
      <c r="J302" s="365"/>
      <c r="K302" s="365"/>
      <c r="L302" s="365">
        <f t="shared" si="211"/>
        <v>0</v>
      </c>
      <c r="M302" s="365"/>
      <c r="N302" s="365"/>
      <c r="O302" s="365"/>
      <c r="P302" s="365">
        <f t="shared" si="183"/>
        <v>0</v>
      </c>
      <c r="Q302" s="365">
        <f t="shared" si="212"/>
        <v>0</v>
      </c>
      <c r="R302" s="365"/>
      <c r="S302" s="365"/>
      <c r="T302" s="365"/>
      <c r="U302" s="365"/>
      <c r="V302" s="365"/>
      <c r="W302" s="365">
        <f t="shared" si="213"/>
        <v>0</v>
      </c>
      <c r="X302" s="365"/>
      <c r="Y302" s="365"/>
      <c r="Z302" s="365"/>
      <c r="AA302" s="365"/>
      <c r="AB302" s="365"/>
      <c r="AC302" s="365"/>
      <c r="AD302" s="366">
        <v>0</v>
      </c>
      <c r="AE302" s="365">
        <f t="shared" si="172"/>
        <v>0</v>
      </c>
      <c r="AF302" s="365">
        <f t="shared" si="214"/>
        <v>0</v>
      </c>
      <c r="AG302" s="365">
        <f t="shared" si="215"/>
        <v>0</v>
      </c>
      <c r="AH302" s="365">
        <f t="shared" si="216"/>
        <v>0</v>
      </c>
      <c r="AI302" s="365">
        <f t="shared" si="217"/>
        <v>0</v>
      </c>
      <c r="AJ302" s="365">
        <f t="shared" si="218"/>
        <v>0</v>
      </c>
      <c r="AK302" s="365">
        <f t="shared" si="219"/>
        <v>0</v>
      </c>
      <c r="AL302" s="365">
        <f t="shared" si="220"/>
        <v>0</v>
      </c>
      <c r="AM302" s="365">
        <f t="shared" si="221"/>
        <v>0</v>
      </c>
      <c r="AN302" s="365">
        <f t="shared" si="222"/>
        <v>0</v>
      </c>
      <c r="AO302" s="365">
        <f t="shared" si="223"/>
        <v>0</v>
      </c>
      <c r="AP302" s="365">
        <f t="shared" si="224"/>
        <v>0</v>
      </c>
      <c r="AQ302" s="365">
        <f t="shared" si="225"/>
        <v>0</v>
      </c>
      <c r="AR302" s="365">
        <f t="shared" si="226"/>
        <v>0</v>
      </c>
      <c r="AS302" s="365">
        <f t="shared" si="227"/>
        <v>0</v>
      </c>
      <c r="AT302" s="363"/>
      <c r="AU302">
        <v>4.17</v>
      </c>
    </row>
    <row r="303" ht="24" spans="1:47">
      <c r="A303" s="284" t="s">
        <v>540</v>
      </c>
      <c r="B303" s="284" t="s">
        <v>199</v>
      </c>
      <c r="C303" s="284" t="s">
        <v>582</v>
      </c>
      <c r="D303" s="284" t="s">
        <v>581</v>
      </c>
      <c r="E303" s="365">
        <f t="shared" si="209"/>
        <v>0</v>
      </c>
      <c r="F303" s="365">
        <f t="shared" si="210"/>
        <v>0</v>
      </c>
      <c r="G303" s="365"/>
      <c r="H303" s="365"/>
      <c r="I303" s="365"/>
      <c r="J303" s="365"/>
      <c r="K303" s="365"/>
      <c r="L303" s="365">
        <f t="shared" si="211"/>
        <v>0</v>
      </c>
      <c r="M303" s="365"/>
      <c r="N303" s="365"/>
      <c r="O303" s="365"/>
      <c r="P303" s="365">
        <f t="shared" si="183"/>
        <v>0</v>
      </c>
      <c r="Q303" s="365">
        <f t="shared" si="212"/>
        <v>0</v>
      </c>
      <c r="R303" s="365"/>
      <c r="S303" s="365"/>
      <c r="T303" s="365"/>
      <c r="U303" s="365"/>
      <c r="V303" s="365"/>
      <c r="W303" s="365">
        <f t="shared" si="213"/>
        <v>0</v>
      </c>
      <c r="X303" s="365"/>
      <c r="Y303" s="365"/>
      <c r="Z303" s="365"/>
      <c r="AA303" s="365"/>
      <c r="AB303" s="365"/>
      <c r="AC303" s="365"/>
      <c r="AD303" s="366">
        <v>0</v>
      </c>
      <c r="AE303" s="365">
        <f t="shared" si="172"/>
        <v>0</v>
      </c>
      <c r="AF303" s="365">
        <f t="shared" si="214"/>
        <v>0</v>
      </c>
      <c r="AG303" s="365">
        <f t="shared" si="215"/>
        <v>0</v>
      </c>
      <c r="AH303" s="365">
        <f t="shared" si="216"/>
        <v>0</v>
      </c>
      <c r="AI303" s="365">
        <f t="shared" si="217"/>
        <v>0</v>
      </c>
      <c r="AJ303" s="365">
        <f t="shared" si="218"/>
        <v>0</v>
      </c>
      <c r="AK303" s="365">
        <f t="shared" si="219"/>
        <v>0</v>
      </c>
      <c r="AL303" s="365">
        <f t="shared" si="220"/>
        <v>0</v>
      </c>
      <c r="AM303" s="365">
        <f t="shared" si="221"/>
        <v>0</v>
      </c>
      <c r="AN303" s="365">
        <f t="shared" si="222"/>
        <v>0</v>
      </c>
      <c r="AO303" s="365">
        <f t="shared" si="223"/>
        <v>0</v>
      </c>
      <c r="AP303" s="365">
        <f t="shared" si="224"/>
        <v>0</v>
      </c>
      <c r="AQ303" s="365">
        <f t="shared" si="225"/>
        <v>0</v>
      </c>
      <c r="AR303" s="365">
        <f t="shared" si="226"/>
        <v>0</v>
      </c>
      <c r="AS303" s="365">
        <f t="shared" si="227"/>
        <v>0</v>
      </c>
      <c r="AT303" s="363"/>
      <c r="AU303">
        <v>3</v>
      </c>
    </row>
    <row r="304" ht="24" spans="1:47">
      <c r="A304" s="284" t="s">
        <v>540</v>
      </c>
      <c r="B304" s="284" t="s">
        <v>199</v>
      </c>
      <c r="C304" s="284" t="s">
        <v>583</v>
      </c>
      <c r="D304" s="284" t="s">
        <v>581</v>
      </c>
      <c r="E304" s="365">
        <f t="shared" si="209"/>
        <v>0</v>
      </c>
      <c r="F304" s="365">
        <f t="shared" si="210"/>
        <v>0</v>
      </c>
      <c r="G304" s="365"/>
      <c r="H304" s="365"/>
      <c r="I304" s="365"/>
      <c r="J304" s="365"/>
      <c r="K304" s="365"/>
      <c r="L304" s="365">
        <f t="shared" si="211"/>
        <v>0</v>
      </c>
      <c r="M304" s="365"/>
      <c r="N304" s="365"/>
      <c r="O304" s="365"/>
      <c r="P304" s="365">
        <f t="shared" si="183"/>
        <v>0</v>
      </c>
      <c r="Q304" s="365">
        <f t="shared" si="212"/>
        <v>0</v>
      </c>
      <c r="R304" s="365"/>
      <c r="S304" s="365"/>
      <c r="T304" s="365"/>
      <c r="U304" s="365"/>
      <c r="V304" s="365"/>
      <c r="W304" s="365">
        <f t="shared" si="213"/>
        <v>0</v>
      </c>
      <c r="X304" s="365"/>
      <c r="Y304" s="365"/>
      <c r="Z304" s="365"/>
      <c r="AA304" s="365"/>
      <c r="AB304" s="365"/>
      <c r="AC304" s="365"/>
      <c r="AD304" s="366">
        <v>0</v>
      </c>
      <c r="AE304" s="365">
        <f t="shared" si="172"/>
        <v>0</v>
      </c>
      <c r="AF304" s="365">
        <f t="shared" si="214"/>
        <v>0</v>
      </c>
      <c r="AG304" s="365">
        <f t="shared" si="215"/>
        <v>0</v>
      </c>
      <c r="AH304" s="365">
        <f t="shared" si="216"/>
        <v>0</v>
      </c>
      <c r="AI304" s="365">
        <f t="shared" si="217"/>
        <v>0</v>
      </c>
      <c r="AJ304" s="365">
        <f t="shared" si="218"/>
        <v>0</v>
      </c>
      <c r="AK304" s="365">
        <f t="shared" si="219"/>
        <v>0</v>
      </c>
      <c r="AL304" s="365">
        <f t="shared" si="220"/>
        <v>0</v>
      </c>
      <c r="AM304" s="365">
        <f t="shared" si="221"/>
        <v>0</v>
      </c>
      <c r="AN304" s="365">
        <f t="shared" si="222"/>
        <v>0</v>
      </c>
      <c r="AO304" s="365">
        <f t="shared" si="223"/>
        <v>0</v>
      </c>
      <c r="AP304" s="365">
        <f t="shared" si="224"/>
        <v>0</v>
      </c>
      <c r="AQ304" s="365">
        <f t="shared" si="225"/>
        <v>0</v>
      </c>
      <c r="AR304" s="365">
        <f t="shared" si="226"/>
        <v>0</v>
      </c>
      <c r="AS304" s="365">
        <f t="shared" si="227"/>
        <v>0</v>
      </c>
      <c r="AT304" s="363"/>
      <c r="AU304">
        <v>2.5</v>
      </c>
    </row>
    <row r="305" ht="24" spans="1:47">
      <c r="A305" s="284" t="s">
        <v>540</v>
      </c>
      <c r="B305" s="284" t="s">
        <v>199</v>
      </c>
      <c r="C305" s="284" t="s">
        <v>584</v>
      </c>
      <c r="D305" s="284" t="s">
        <v>581</v>
      </c>
      <c r="E305" s="365">
        <f t="shared" si="209"/>
        <v>0</v>
      </c>
      <c r="F305" s="365">
        <f t="shared" si="210"/>
        <v>0</v>
      </c>
      <c r="G305" s="365"/>
      <c r="H305" s="365"/>
      <c r="I305" s="365"/>
      <c r="J305" s="365"/>
      <c r="K305" s="365"/>
      <c r="L305" s="365">
        <f t="shared" si="211"/>
        <v>0</v>
      </c>
      <c r="M305" s="365"/>
      <c r="N305" s="386"/>
      <c r="O305" s="365"/>
      <c r="P305" s="365">
        <f t="shared" si="183"/>
        <v>0</v>
      </c>
      <c r="Q305" s="365">
        <f t="shared" si="212"/>
        <v>0</v>
      </c>
      <c r="R305" s="365"/>
      <c r="S305" s="365"/>
      <c r="T305" s="365"/>
      <c r="U305" s="365"/>
      <c r="V305" s="365"/>
      <c r="W305" s="365">
        <f t="shared" si="213"/>
        <v>0</v>
      </c>
      <c r="X305" s="365"/>
      <c r="Y305" s="365"/>
      <c r="Z305" s="365"/>
      <c r="AA305" s="365"/>
      <c r="AB305" s="365"/>
      <c r="AC305" s="386"/>
      <c r="AD305" s="366">
        <v>0</v>
      </c>
      <c r="AE305" s="365">
        <f t="shared" si="172"/>
        <v>0</v>
      </c>
      <c r="AF305" s="365">
        <f t="shared" si="214"/>
        <v>0</v>
      </c>
      <c r="AG305" s="365">
        <f t="shared" si="215"/>
        <v>0</v>
      </c>
      <c r="AH305" s="365">
        <f t="shared" si="216"/>
        <v>0</v>
      </c>
      <c r="AI305" s="365">
        <f t="shared" si="217"/>
        <v>0</v>
      </c>
      <c r="AJ305" s="365">
        <f t="shared" si="218"/>
        <v>0</v>
      </c>
      <c r="AK305" s="365">
        <f t="shared" si="219"/>
        <v>0</v>
      </c>
      <c r="AL305" s="365">
        <f t="shared" si="220"/>
        <v>0</v>
      </c>
      <c r="AM305" s="365">
        <f t="shared" si="221"/>
        <v>0</v>
      </c>
      <c r="AN305" s="365">
        <f t="shared" si="222"/>
        <v>0</v>
      </c>
      <c r="AO305" s="365">
        <f t="shared" si="223"/>
        <v>0</v>
      </c>
      <c r="AP305" s="365">
        <f t="shared" si="224"/>
        <v>0</v>
      </c>
      <c r="AQ305" s="365">
        <f t="shared" si="225"/>
        <v>0</v>
      </c>
      <c r="AR305" s="365">
        <f t="shared" si="226"/>
        <v>0</v>
      </c>
      <c r="AS305" s="365">
        <f t="shared" si="227"/>
        <v>0</v>
      </c>
      <c r="AT305" s="363"/>
      <c r="AU305">
        <v>3.34</v>
      </c>
    </row>
    <row r="306" ht="24" spans="1:47">
      <c r="A306" s="284" t="s">
        <v>540</v>
      </c>
      <c r="B306" s="284" t="s">
        <v>518</v>
      </c>
      <c r="C306" s="284" t="s">
        <v>585</v>
      </c>
      <c r="D306" s="284" t="s">
        <v>586</v>
      </c>
      <c r="E306" s="365">
        <f t="shared" si="209"/>
        <v>0</v>
      </c>
      <c r="F306" s="365">
        <f t="shared" si="210"/>
        <v>0</v>
      </c>
      <c r="G306" s="365"/>
      <c r="H306" s="365"/>
      <c r="I306" s="365"/>
      <c r="J306" s="365"/>
      <c r="K306" s="365"/>
      <c r="L306" s="365">
        <f t="shared" si="211"/>
        <v>0</v>
      </c>
      <c r="M306" s="365"/>
      <c r="N306" s="365"/>
      <c r="O306" s="365"/>
      <c r="P306" s="365">
        <f t="shared" si="183"/>
        <v>0</v>
      </c>
      <c r="Q306" s="365">
        <f t="shared" si="212"/>
        <v>0</v>
      </c>
      <c r="R306" s="365"/>
      <c r="S306" s="365"/>
      <c r="T306" s="365"/>
      <c r="U306" s="365"/>
      <c r="V306" s="365"/>
      <c r="W306" s="365">
        <f t="shared" si="213"/>
        <v>0</v>
      </c>
      <c r="X306" s="365"/>
      <c r="Y306" s="365"/>
      <c r="Z306" s="365"/>
      <c r="AA306" s="365"/>
      <c r="AB306" s="365"/>
      <c r="AC306" s="365"/>
      <c r="AD306" s="366">
        <v>0</v>
      </c>
      <c r="AE306" s="365">
        <f t="shared" si="172"/>
        <v>0</v>
      </c>
      <c r="AF306" s="365">
        <f t="shared" si="214"/>
        <v>0</v>
      </c>
      <c r="AG306" s="365">
        <f t="shared" si="215"/>
        <v>0</v>
      </c>
      <c r="AH306" s="365">
        <f t="shared" si="216"/>
        <v>0</v>
      </c>
      <c r="AI306" s="365">
        <f t="shared" si="217"/>
        <v>0</v>
      </c>
      <c r="AJ306" s="365">
        <f t="shared" si="218"/>
        <v>0</v>
      </c>
      <c r="AK306" s="365">
        <f t="shared" si="219"/>
        <v>0</v>
      </c>
      <c r="AL306" s="365">
        <f t="shared" si="220"/>
        <v>0</v>
      </c>
      <c r="AM306" s="365">
        <f t="shared" si="221"/>
        <v>0</v>
      </c>
      <c r="AN306" s="365">
        <f t="shared" si="222"/>
        <v>0</v>
      </c>
      <c r="AO306" s="365">
        <f t="shared" si="223"/>
        <v>0</v>
      </c>
      <c r="AP306" s="365">
        <f t="shared" si="224"/>
        <v>0</v>
      </c>
      <c r="AQ306" s="365">
        <f t="shared" si="225"/>
        <v>0</v>
      </c>
      <c r="AR306" s="365">
        <f t="shared" si="226"/>
        <v>0</v>
      </c>
      <c r="AS306" s="365">
        <f t="shared" si="227"/>
        <v>0</v>
      </c>
      <c r="AT306" s="363"/>
      <c r="AU306">
        <v>79.717</v>
      </c>
    </row>
    <row r="307" ht="36" spans="1:47">
      <c r="A307" s="284" t="s">
        <v>540</v>
      </c>
      <c r="B307" s="284" t="s">
        <v>518</v>
      </c>
      <c r="C307" s="284" t="s">
        <v>587</v>
      </c>
      <c r="D307" s="284" t="s">
        <v>588</v>
      </c>
      <c r="E307" s="365">
        <f t="shared" si="209"/>
        <v>0</v>
      </c>
      <c r="F307" s="365">
        <f t="shared" si="210"/>
        <v>0</v>
      </c>
      <c r="G307" s="365"/>
      <c r="H307" s="365"/>
      <c r="I307" s="365"/>
      <c r="J307" s="365"/>
      <c r="K307" s="365"/>
      <c r="L307" s="365">
        <f t="shared" si="211"/>
        <v>0</v>
      </c>
      <c r="M307" s="365"/>
      <c r="N307" s="365"/>
      <c r="O307" s="365"/>
      <c r="P307" s="365">
        <f t="shared" si="183"/>
        <v>0</v>
      </c>
      <c r="Q307" s="365">
        <f t="shared" si="212"/>
        <v>0</v>
      </c>
      <c r="R307" s="365"/>
      <c r="S307" s="365"/>
      <c r="T307" s="365"/>
      <c r="U307" s="365"/>
      <c r="V307" s="365"/>
      <c r="W307" s="365">
        <f t="shared" si="213"/>
        <v>0</v>
      </c>
      <c r="X307" s="365"/>
      <c r="Y307" s="365"/>
      <c r="Z307" s="365"/>
      <c r="AA307" s="365"/>
      <c r="AB307" s="365"/>
      <c r="AC307" s="365"/>
      <c r="AD307" s="366">
        <v>0</v>
      </c>
      <c r="AE307" s="365">
        <f t="shared" si="172"/>
        <v>0</v>
      </c>
      <c r="AF307" s="365">
        <f t="shared" si="214"/>
        <v>0</v>
      </c>
      <c r="AG307" s="365">
        <f t="shared" si="215"/>
        <v>0</v>
      </c>
      <c r="AH307" s="365">
        <f t="shared" si="216"/>
        <v>0</v>
      </c>
      <c r="AI307" s="365">
        <f t="shared" si="217"/>
        <v>0</v>
      </c>
      <c r="AJ307" s="365">
        <f t="shared" si="218"/>
        <v>0</v>
      </c>
      <c r="AK307" s="365">
        <f t="shared" si="219"/>
        <v>0</v>
      </c>
      <c r="AL307" s="365">
        <f t="shared" si="220"/>
        <v>0</v>
      </c>
      <c r="AM307" s="365">
        <f t="shared" si="221"/>
        <v>0</v>
      </c>
      <c r="AN307" s="365">
        <f t="shared" si="222"/>
        <v>0</v>
      </c>
      <c r="AO307" s="365">
        <f t="shared" si="223"/>
        <v>0</v>
      </c>
      <c r="AP307" s="365">
        <f t="shared" si="224"/>
        <v>0</v>
      </c>
      <c r="AQ307" s="365">
        <f t="shared" si="225"/>
        <v>0</v>
      </c>
      <c r="AR307" s="365">
        <f t="shared" si="226"/>
        <v>0</v>
      </c>
      <c r="AS307" s="365">
        <f t="shared" si="227"/>
        <v>0</v>
      </c>
      <c r="AT307" s="363"/>
      <c r="AU307">
        <v>41.2221</v>
      </c>
    </row>
    <row r="308" ht="36" spans="1:47">
      <c r="A308" s="284" t="s">
        <v>540</v>
      </c>
      <c r="B308" s="284" t="s">
        <v>196</v>
      </c>
      <c r="C308" s="284" t="s">
        <v>589</v>
      </c>
      <c r="D308" s="284" t="s">
        <v>590</v>
      </c>
      <c r="E308" s="365">
        <f t="shared" si="209"/>
        <v>80</v>
      </c>
      <c r="F308" s="365">
        <f t="shared" si="210"/>
        <v>0</v>
      </c>
      <c r="G308" s="365"/>
      <c r="H308" s="365"/>
      <c r="I308" s="365"/>
      <c r="J308" s="365"/>
      <c r="K308" s="365"/>
      <c r="L308" s="365">
        <f t="shared" si="211"/>
        <v>80</v>
      </c>
      <c r="M308" s="365"/>
      <c r="N308" s="365">
        <v>80</v>
      </c>
      <c r="O308" s="365"/>
      <c r="P308" s="365">
        <f t="shared" si="183"/>
        <v>199.2204</v>
      </c>
      <c r="Q308" s="365">
        <f t="shared" si="212"/>
        <v>0</v>
      </c>
      <c r="R308" s="365"/>
      <c r="S308" s="365"/>
      <c r="T308" s="365"/>
      <c r="U308" s="365"/>
      <c r="V308" s="365"/>
      <c r="W308" s="365">
        <f t="shared" si="213"/>
        <v>199.2204</v>
      </c>
      <c r="X308" s="365"/>
      <c r="Y308" s="365"/>
      <c r="Z308" s="365"/>
      <c r="AA308" s="365"/>
      <c r="AB308" s="365">
        <v>199.2204</v>
      </c>
      <c r="AC308" s="365"/>
      <c r="AD308" s="366">
        <v>0</v>
      </c>
      <c r="AE308" s="365">
        <f t="shared" si="172"/>
        <v>279.2204</v>
      </c>
      <c r="AF308" s="365">
        <f t="shared" si="214"/>
        <v>0</v>
      </c>
      <c r="AG308" s="365">
        <f t="shared" si="215"/>
        <v>0</v>
      </c>
      <c r="AH308" s="365">
        <f t="shared" si="216"/>
        <v>0</v>
      </c>
      <c r="AI308" s="365">
        <f t="shared" si="217"/>
        <v>0</v>
      </c>
      <c r="AJ308" s="365">
        <f t="shared" si="218"/>
        <v>0</v>
      </c>
      <c r="AK308" s="365">
        <f t="shared" si="219"/>
        <v>0</v>
      </c>
      <c r="AL308" s="365">
        <f t="shared" si="220"/>
        <v>279.2204</v>
      </c>
      <c r="AM308" s="365">
        <f t="shared" si="221"/>
        <v>0</v>
      </c>
      <c r="AN308" s="365">
        <f t="shared" si="222"/>
        <v>0</v>
      </c>
      <c r="AO308" s="365">
        <f t="shared" si="223"/>
        <v>0</v>
      </c>
      <c r="AP308" s="365">
        <f t="shared" si="224"/>
        <v>0</v>
      </c>
      <c r="AQ308" s="365">
        <f t="shared" si="225"/>
        <v>199.2204</v>
      </c>
      <c r="AR308" s="365">
        <f t="shared" si="226"/>
        <v>80</v>
      </c>
      <c r="AS308" s="365">
        <f t="shared" si="227"/>
        <v>0</v>
      </c>
      <c r="AT308" s="363"/>
      <c r="AU308">
        <v>199.2204</v>
      </c>
    </row>
    <row r="309" ht="36" spans="1:46">
      <c r="A309" s="284" t="s">
        <v>540</v>
      </c>
      <c r="B309" s="284" t="s">
        <v>199</v>
      </c>
      <c r="C309" s="284" t="s">
        <v>591</v>
      </c>
      <c r="D309" s="284" t="s">
        <v>592</v>
      </c>
      <c r="E309" s="365">
        <f t="shared" si="209"/>
        <v>0</v>
      </c>
      <c r="F309" s="365">
        <f t="shared" si="210"/>
        <v>0</v>
      </c>
      <c r="G309" s="365"/>
      <c r="H309" s="365"/>
      <c r="I309" s="365"/>
      <c r="J309" s="365"/>
      <c r="K309" s="365"/>
      <c r="L309" s="365">
        <f t="shared" si="211"/>
        <v>0</v>
      </c>
      <c r="M309" s="365"/>
      <c r="N309" s="386"/>
      <c r="O309" s="365"/>
      <c r="P309" s="365">
        <f t="shared" si="183"/>
        <v>0</v>
      </c>
      <c r="Q309" s="365">
        <f t="shared" si="212"/>
        <v>0</v>
      </c>
      <c r="R309" s="365"/>
      <c r="S309" s="365"/>
      <c r="T309" s="365"/>
      <c r="U309" s="365"/>
      <c r="V309" s="365"/>
      <c r="W309" s="365">
        <f t="shared" si="213"/>
        <v>0</v>
      </c>
      <c r="X309" s="365"/>
      <c r="Y309" s="365"/>
      <c r="Z309" s="365"/>
      <c r="AA309" s="365"/>
      <c r="AB309" s="365"/>
      <c r="AC309" s="386"/>
      <c r="AD309" s="366">
        <v>0</v>
      </c>
      <c r="AE309" s="365">
        <f t="shared" si="172"/>
        <v>0</v>
      </c>
      <c r="AF309" s="365">
        <f t="shared" si="214"/>
        <v>0</v>
      </c>
      <c r="AG309" s="365">
        <f t="shared" si="215"/>
        <v>0</v>
      </c>
      <c r="AH309" s="365">
        <f t="shared" si="216"/>
        <v>0</v>
      </c>
      <c r="AI309" s="365">
        <f t="shared" si="217"/>
        <v>0</v>
      </c>
      <c r="AJ309" s="365">
        <f t="shared" si="218"/>
        <v>0</v>
      </c>
      <c r="AK309" s="365">
        <f t="shared" si="219"/>
        <v>0</v>
      </c>
      <c r="AL309" s="365">
        <f t="shared" si="220"/>
        <v>0</v>
      </c>
      <c r="AM309" s="365">
        <f t="shared" si="221"/>
        <v>0</v>
      </c>
      <c r="AN309" s="365">
        <f t="shared" si="222"/>
        <v>0</v>
      </c>
      <c r="AO309" s="365">
        <f t="shared" si="223"/>
        <v>0</v>
      </c>
      <c r="AP309" s="365">
        <f t="shared" si="224"/>
        <v>0</v>
      </c>
      <c r="AQ309" s="365">
        <f t="shared" si="225"/>
        <v>0</v>
      </c>
      <c r="AR309" s="365">
        <f t="shared" si="226"/>
        <v>0</v>
      </c>
      <c r="AS309" s="365">
        <f t="shared" si="227"/>
        <v>0</v>
      </c>
      <c r="AT309" s="363"/>
    </row>
    <row r="310" ht="24" spans="1:46">
      <c r="A310" s="284" t="s">
        <v>540</v>
      </c>
      <c r="B310" s="284" t="s">
        <v>199</v>
      </c>
      <c r="C310" s="284" t="s">
        <v>593</v>
      </c>
      <c r="D310" s="284" t="s">
        <v>594</v>
      </c>
      <c r="E310" s="365">
        <f t="shared" si="209"/>
        <v>0</v>
      </c>
      <c r="F310" s="365">
        <f t="shared" si="210"/>
        <v>0</v>
      </c>
      <c r="G310" s="365"/>
      <c r="H310" s="365"/>
      <c r="I310" s="365"/>
      <c r="J310" s="365"/>
      <c r="K310" s="365"/>
      <c r="L310" s="365">
        <f t="shared" si="211"/>
        <v>0</v>
      </c>
      <c r="M310" s="365"/>
      <c r="N310" s="365"/>
      <c r="O310" s="365"/>
      <c r="P310" s="365">
        <f t="shared" si="183"/>
        <v>0</v>
      </c>
      <c r="Q310" s="365">
        <f t="shared" si="212"/>
        <v>0</v>
      </c>
      <c r="R310" s="365"/>
      <c r="S310" s="365"/>
      <c r="T310" s="365"/>
      <c r="U310" s="365"/>
      <c r="V310" s="365"/>
      <c r="W310" s="365">
        <f t="shared" si="213"/>
        <v>0</v>
      </c>
      <c r="X310" s="365"/>
      <c r="Y310" s="365"/>
      <c r="Z310" s="365"/>
      <c r="AA310" s="365"/>
      <c r="AB310" s="365"/>
      <c r="AC310" s="365"/>
      <c r="AD310" s="366">
        <v>0</v>
      </c>
      <c r="AE310" s="365">
        <f t="shared" si="172"/>
        <v>0</v>
      </c>
      <c r="AF310" s="365">
        <f t="shared" si="214"/>
        <v>0</v>
      </c>
      <c r="AG310" s="365">
        <f t="shared" si="215"/>
        <v>0</v>
      </c>
      <c r="AH310" s="365">
        <f t="shared" si="216"/>
        <v>0</v>
      </c>
      <c r="AI310" s="365">
        <f t="shared" si="217"/>
        <v>0</v>
      </c>
      <c r="AJ310" s="365">
        <f t="shared" si="218"/>
        <v>0</v>
      </c>
      <c r="AK310" s="365">
        <f t="shared" si="219"/>
        <v>0</v>
      </c>
      <c r="AL310" s="365">
        <f t="shared" si="220"/>
        <v>0</v>
      </c>
      <c r="AM310" s="365">
        <f t="shared" si="221"/>
        <v>0</v>
      </c>
      <c r="AN310" s="365">
        <f t="shared" si="222"/>
        <v>0</v>
      </c>
      <c r="AO310" s="365">
        <f t="shared" si="223"/>
        <v>0</v>
      </c>
      <c r="AP310" s="365">
        <f t="shared" si="224"/>
        <v>0</v>
      </c>
      <c r="AQ310" s="365">
        <f t="shared" si="225"/>
        <v>0</v>
      </c>
      <c r="AR310" s="365">
        <f t="shared" si="226"/>
        <v>0</v>
      </c>
      <c r="AS310" s="365">
        <f t="shared" si="227"/>
        <v>0</v>
      </c>
      <c r="AT310" s="363"/>
    </row>
    <row r="311" ht="24" spans="1:46">
      <c r="A311" s="284" t="s">
        <v>540</v>
      </c>
      <c r="B311" s="284" t="s">
        <v>199</v>
      </c>
      <c r="C311" s="284" t="s">
        <v>595</v>
      </c>
      <c r="D311" s="284" t="s">
        <v>594</v>
      </c>
      <c r="E311" s="365">
        <f t="shared" si="209"/>
        <v>0</v>
      </c>
      <c r="F311" s="365">
        <f t="shared" si="210"/>
        <v>0</v>
      </c>
      <c r="G311" s="365"/>
      <c r="H311" s="365"/>
      <c r="I311" s="365"/>
      <c r="J311" s="365"/>
      <c r="K311" s="365"/>
      <c r="L311" s="365">
        <f t="shared" si="211"/>
        <v>0</v>
      </c>
      <c r="M311" s="365"/>
      <c r="N311" s="365"/>
      <c r="O311" s="365"/>
      <c r="P311" s="365">
        <f t="shared" si="183"/>
        <v>0</v>
      </c>
      <c r="Q311" s="365">
        <f t="shared" si="212"/>
        <v>0</v>
      </c>
      <c r="R311" s="365"/>
      <c r="S311" s="365"/>
      <c r="T311" s="365"/>
      <c r="U311" s="365"/>
      <c r="V311" s="365"/>
      <c r="W311" s="365">
        <f t="shared" si="213"/>
        <v>0</v>
      </c>
      <c r="X311" s="365"/>
      <c r="Y311" s="365"/>
      <c r="Z311" s="365"/>
      <c r="AA311" s="365"/>
      <c r="AB311" s="365"/>
      <c r="AC311" s="365"/>
      <c r="AD311" s="366">
        <v>0</v>
      </c>
      <c r="AE311" s="365">
        <f t="shared" si="172"/>
        <v>0</v>
      </c>
      <c r="AF311" s="365">
        <f t="shared" si="214"/>
        <v>0</v>
      </c>
      <c r="AG311" s="365">
        <f t="shared" si="215"/>
        <v>0</v>
      </c>
      <c r="AH311" s="365">
        <f t="shared" si="216"/>
        <v>0</v>
      </c>
      <c r="AI311" s="365">
        <f t="shared" si="217"/>
        <v>0</v>
      </c>
      <c r="AJ311" s="365">
        <f t="shared" si="218"/>
        <v>0</v>
      </c>
      <c r="AK311" s="365">
        <f t="shared" si="219"/>
        <v>0</v>
      </c>
      <c r="AL311" s="365">
        <f t="shared" si="220"/>
        <v>0</v>
      </c>
      <c r="AM311" s="365">
        <f t="shared" si="221"/>
        <v>0</v>
      </c>
      <c r="AN311" s="365">
        <f t="shared" si="222"/>
        <v>0</v>
      </c>
      <c r="AO311" s="365">
        <f t="shared" si="223"/>
        <v>0</v>
      </c>
      <c r="AP311" s="365">
        <f t="shared" si="224"/>
        <v>0</v>
      </c>
      <c r="AQ311" s="365">
        <f t="shared" si="225"/>
        <v>0</v>
      </c>
      <c r="AR311" s="365">
        <f t="shared" si="226"/>
        <v>0</v>
      </c>
      <c r="AS311" s="365">
        <f t="shared" si="227"/>
        <v>0</v>
      </c>
      <c r="AT311" s="363"/>
    </row>
    <row r="312" ht="24" spans="1:46">
      <c r="A312" s="284" t="s">
        <v>540</v>
      </c>
      <c r="B312" s="284" t="s">
        <v>199</v>
      </c>
      <c r="C312" s="284" t="s">
        <v>596</v>
      </c>
      <c r="D312" s="284" t="s">
        <v>594</v>
      </c>
      <c r="E312" s="365">
        <f t="shared" si="209"/>
        <v>0</v>
      </c>
      <c r="F312" s="365">
        <f t="shared" si="210"/>
        <v>0</v>
      </c>
      <c r="G312" s="365"/>
      <c r="H312" s="365"/>
      <c r="I312" s="365"/>
      <c r="J312" s="365"/>
      <c r="K312" s="365"/>
      <c r="L312" s="365">
        <f t="shared" si="211"/>
        <v>0</v>
      </c>
      <c r="M312" s="365"/>
      <c r="N312" s="365"/>
      <c r="O312" s="365"/>
      <c r="P312" s="365">
        <f t="shared" si="183"/>
        <v>0</v>
      </c>
      <c r="Q312" s="365">
        <f t="shared" si="212"/>
        <v>0</v>
      </c>
      <c r="R312" s="365"/>
      <c r="S312" s="365"/>
      <c r="T312" s="365"/>
      <c r="U312" s="365"/>
      <c r="V312" s="365"/>
      <c r="W312" s="365">
        <f t="shared" si="213"/>
        <v>0</v>
      </c>
      <c r="X312" s="365"/>
      <c r="Y312" s="365"/>
      <c r="Z312" s="365"/>
      <c r="AA312" s="365"/>
      <c r="AB312" s="365"/>
      <c r="AC312" s="365"/>
      <c r="AD312" s="366">
        <v>0</v>
      </c>
      <c r="AE312" s="365">
        <f t="shared" si="172"/>
        <v>0</v>
      </c>
      <c r="AF312" s="365">
        <f t="shared" si="214"/>
        <v>0</v>
      </c>
      <c r="AG312" s="365">
        <f t="shared" si="215"/>
        <v>0</v>
      </c>
      <c r="AH312" s="365">
        <f t="shared" si="216"/>
        <v>0</v>
      </c>
      <c r="AI312" s="365">
        <f t="shared" si="217"/>
        <v>0</v>
      </c>
      <c r="AJ312" s="365">
        <f t="shared" si="218"/>
        <v>0</v>
      </c>
      <c r="AK312" s="365">
        <f t="shared" si="219"/>
        <v>0</v>
      </c>
      <c r="AL312" s="365">
        <f t="shared" si="220"/>
        <v>0</v>
      </c>
      <c r="AM312" s="365">
        <f t="shared" si="221"/>
        <v>0</v>
      </c>
      <c r="AN312" s="365">
        <f t="shared" si="222"/>
        <v>0</v>
      </c>
      <c r="AO312" s="365">
        <f t="shared" si="223"/>
        <v>0</v>
      </c>
      <c r="AP312" s="365">
        <f t="shared" si="224"/>
        <v>0</v>
      </c>
      <c r="AQ312" s="365">
        <f t="shared" si="225"/>
        <v>0</v>
      </c>
      <c r="AR312" s="365">
        <f t="shared" si="226"/>
        <v>0</v>
      </c>
      <c r="AS312" s="365">
        <f t="shared" si="227"/>
        <v>0</v>
      </c>
      <c r="AT312" s="363"/>
    </row>
    <row r="313" ht="24" spans="1:46">
      <c r="A313" s="284" t="s">
        <v>540</v>
      </c>
      <c r="B313" s="284" t="s">
        <v>199</v>
      </c>
      <c r="C313" s="284" t="s">
        <v>597</v>
      </c>
      <c r="D313" s="284" t="s">
        <v>594</v>
      </c>
      <c r="E313" s="365">
        <f t="shared" si="209"/>
        <v>0</v>
      </c>
      <c r="F313" s="365">
        <f t="shared" si="210"/>
        <v>0</v>
      </c>
      <c r="G313" s="365"/>
      <c r="H313" s="365"/>
      <c r="I313" s="365"/>
      <c r="J313" s="365"/>
      <c r="K313" s="365"/>
      <c r="L313" s="365">
        <f t="shared" si="211"/>
        <v>0</v>
      </c>
      <c r="M313" s="365"/>
      <c r="N313" s="365"/>
      <c r="O313" s="365"/>
      <c r="P313" s="365">
        <f t="shared" si="183"/>
        <v>0</v>
      </c>
      <c r="Q313" s="365">
        <f t="shared" si="212"/>
        <v>0</v>
      </c>
      <c r="R313" s="365"/>
      <c r="S313" s="365"/>
      <c r="T313" s="365"/>
      <c r="U313" s="365"/>
      <c r="V313" s="365"/>
      <c r="W313" s="365">
        <f t="shared" si="213"/>
        <v>0</v>
      </c>
      <c r="X313" s="365"/>
      <c r="Y313" s="365"/>
      <c r="Z313" s="365"/>
      <c r="AA313" s="365"/>
      <c r="AB313" s="365"/>
      <c r="AC313" s="365"/>
      <c r="AD313" s="366">
        <v>0</v>
      </c>
      <c r="AE313" s="365">
        <f t="shared" si="172"/>
        <v>0</v>
      </c>
      <c r="AF313" s="365">
        <f t="shared" si="214"/>
        <v>0</v>
      </c>
      <c r="AG313" s="365">
        <f t="shared" si="215"/>
        <v>0</v>
      </c>
      <c r="AH313" s="365">
        <f t="shared" si="216"/>
        <v>0</v>
      </c>
      <c r="AI313" s="365">
        <f t="shared" si="217"/>
        <v>0</v>
      </c>
      <c r="AJ313" s="365">
        <f t="shared" si="218"/>
        <v>0</v>
      </c>
      <c r="AK313" s="365">
        <f t="shared" si="219"/>
        <v>0</v>
      </c>
      <c r="AL313" s="365">
        <f t="shared" si="220"/>
        <v>0</v>
      </c>
      <c r="AM313" s="365">
        <f t="shared" si="221"/>
        <v>0</v>
      </c>
      <c r="AN313" s="365">
        <f t="shared" si="222"/>
        <v>0</v>
      </c>
      <c r="AO313" s="365">
        <f t="shared" si="223"/>
        <v>0</v>
      </c>
      <c r="AP313" s="365">
        <f t="shared" si="224"/>
        <v>0</v>
      </c>
      <c r="AQ313" s="365">
        <f t="shared" si="225"/>
        <v>0</v>
      </c>
      <c r="AR313" s="365">
        <f t="shared" si="226"/>
        <v>0</v>
      </c>
      <c r="AS313" s="365">
        <f t="shared" si="227"/>
        <v>0</v>
      </c>
      <c r="AT313" s="363"/>
    </row>
    <row r="314" ht="24" spans="1:46">
      <c r="A314" s="284" t="s">
        <v>540</v>
      </c>
      <c r="B314" s="284" t="s">
        <v>199</v>
      </c>
      <c r="C314" s="284" t="s">
        <v>598</v>
      </c>
      <c r="D314" s="284" t="s">
        <v>594</v>
      </c>
      <c r="E314" s="365">
        <f t="shared" si="209"/>
        <v>0</v>
      </c>
      <c r="F314" s="365">
        <f t="shared" si="210"/>
        <v>0</v>
      </c>
      <c r="G314" s="365"/>
      <c r="H314" s="365"/>
      <c r="I314" s="365"/>
      <c r="J314" s="365"/>
      <c r="K314" s="365"/>
      <c r="L314" s="365">
        <f t="shared" si="211"/>
        <v>0</v>
      </c>
      <c r="M314" s="365"/>
      <c r="N314" s="365"/>
      <c r="O314" s="365"/>
      <c r="P314" s="365">
        <f t="shared" si="183"/>
        <v>0</v>
      </c>
      <c r="Q314" s="365">
        <f t="shared" si="212"/>
        <v>0</v>
      </c>
      <c r="R314" s="365"/>
      <c r="S314" s="365"/>
      <c r="T314" s="365"/>
      <c r="U314" s="365"/>
      <c r="V314" s="365"/>
      <c r="W314" s="365">
        <f t="shared" si="213"/>
        <v>0</v>
      </c>
      <c r="X314" s="365"/>
      <c r="Y314" s="365"/>
      <c r="Z314" s="365"/>
      <c r="AA314" s="365"/>
      <c r="AB314" s="365"/>
      <c r="AC314" s="365"/>
      <c r="AD314" s="366">
        <v>0</v>
      </c>
      <c r="AE314" s="365">
        <f t="shared" si="172"/>
        <v>0</v>
      </c>
      <c r="AF314" s="365">
        <f t="shared" si="214"/>
        <v>0</v>
      </c>
      <c r="AG314" s="365">
        <f t="shared" si="215"/>
        <v>0</v>
      </c>
      <c r="AH314" s="365">
        <f t="shared" si="216"/>
        <v>0</v>
      </c>
      <c r="AI314" s="365">
        <f t="shared" si="217"/>
        <v>0</v>
      </c>
      <c r="AJ314" s="365">
        <f t="shared" si="218"/>
        <v>0</v>
      </c>
      <c r="AK314" s="365">
        <f t="shared" si="219"/>
        <v>0</v>
      </c>
      <c r="AL314" s="365">
        <f t="shared" si="220"/>
        <v>0</v>
      </c>
      <c r="AM314" s="365">
        <f t="shared" si="221"/>
        <v>0</v>
      </c>
      <c r="AN314" s="365">
        <f t="shared" si="222"/>
        <v>0</v>
      </c>
      <c r="AO314" s="365">
        <f t="shared" si="223"/>
        <v>0</v>
      </c>
      <c r="AP314" s="365">
        <f t="shared" si="224"/>
        <v>0</v>
      </c>
      <c r="AQ314" s="365">
        <f t="shared" si="225"/>
        <v>0</v>
      </c>
      <c r="AR314" s="365">
        <f t="shared" si="226"/>
        <v>0</v>
      </c>
      <c r="AS314" s="365">
        <f t="shared" si="227"/>
        <v>0</v>
      </c>
      <c r="AT314" s="363"/>
    </row>
    <row r="315" ht="24" spans="1:46">
      <c r="A315" s="284" t="s">
        <v>540</v>
      </c>
      <c r="B315" s="284" t="s">
        <v>199</v>
      </c>
      <c r="C315" s="284" t="s">
        <v>599</v>
      </c>
      <c r="D315" s="284" t="s">
        <v>594</v>
      </c>
      <c r="E315" s="365">
        <f t="shared" si="209"/>
        <v>0</v>
      </c>
      <c r="F315" s="365">
        <f t="shared" si="210"/>
        <v>0</v>
      </c>
      <c r="G315" s="365"/>
      <c r="H315" s="365"/>
      <c r="I315" s="365"/>
      <c r="J315" s="365"/>
      <c r="K315" s="365"/>
      <c r="L315" s="365">
        <f t="shared" si="211"/>
        <v>0</v>
      </c>
      <c r="M315" s="365"/>
      <c r="N315" s="365"/>
      <c r="O315" s="365"/>
      <c r="P315" s="365">
        <f t="shared" si="183"/>
        <v>0</v>
      </c>
      <c r="Q315" s="365">
        <f t="shared" si="212"/>
        <v>0</v>
      </c>
      <c r="R315" s="365"/>
      <c r="S315" s="365"/>
      <c r="T315" s="365"/>
      <c r="U315" s="365"/>
      <c r="V315" s="365"/>
      <c r="W315" s="365">
        <f t="shared" si="213"/>
        <v>0</v>
      </c>
      <c r="X315" s="365"/>
      <c r="Y315" s="365"/>
      <c r="Z315" s="365"/>
      <c r="AA315" s="365"/>
      <c r="AB315" s="365"/>
      <c r="AC315" s="365"/>
      <c r="AD315" s="366">
        <v>0</v>
      </c>
      <c r="AE315" s="365">
        <f t="shared" si="172"/>
        <v>0</v>
      </c>
      <c r="AF315" s="365">
        <f t="shared" si="214"/>
        <v>0</v>
      </c>
      <c r="AG315" s="365">
        <f t="shared" si="215"/>
        <v>0</v>
      </c>
      <c r="AH315" s="365">
        <f t="shared" si="216"/>
        <v>0</v>
      </c>
      <c r="AI315" s="365">
        <f t="shared" si="217"/>
        <v>0</v>
      </c>
      <c r="AJ315" s="365">
        <f t="shared" si="218"/>
        <v>0</v>
      </c>
      <c r="AK315" s="365">
        <f t="shared" si="219"/>
        <v>0</v>
      </c>
      <c r="AL315" s="365">
        <f t="shared" si="220"/>
        <v>0</v>
      </c>
      <c r="AM315" s="365">
        <f t="shared" si="221"/>
        <v>0</v>
      </c>
      <c r="AN315" s="365">
        <f t="shared" si="222"/>
        <v>0</v>
      </c>
      <c r="AO315" s="365">
        <f t="shared" si="223"/>
        <v>0</v>
      </c>
      <c r="AP315" s="365">
        <f t="shared" si="224"/>
        <v>0</v>
      </c>
      <c r="AQ315" s="365">
        <f t="shared" si="225"/>
        <v>0</v>
      </c>
      <c r="AR315" s="365">
        <f t="shared" si="226"/>
        <v>0</v>
      </c>
      <c r="AS315" s="365">
        <f t="shared" si="227"/>
        <v>0</v>
      </c>
      <c r="AT315" s="363"/>
    </row>
    <row r="316" ht="24" spans="1:46">
      <c r="A316" s="284" t="s">
        <v>540</v>
      </c>
      <c r="B316" s="284" t="s">
        <v>199</v>
      </c>
      <c r="C316" s="284" t="s">
        <v>600</v>
      </c>
      <c r="D316" s="284" t="s">
        <v>594</v>
      </c>
      <c r="E316" s="365">
        <f t="shared" si="209"/>
        <v>0</v>
      </c>
      <c r="F316" s="365">
        <f t="shared" si="210"/>
        <v>0</v>
      </c>
      <c r="G316" s="365"/>
      <c r="H316" s="365"/>
      <c r="I316" s="365"/>
      <c r="J316" s="365"/>
      <c r="K316" s="365"/>
      <c r="L316" s="365">
        <f t="shared" si="211"/>
        <v>0</v>
      </c>
      <c r="M316" s="365"/>
      <c r="N316" s="365"/>
      <c r="O316" s="365"/>
      <c r="P316" s="365">
        <f t="shared" si="183"/>
        <v>0</v>
      </c>
      <c r="Q316" s="365">
        <f t="shared" si="212"/>
        <v>0</v>
      </c>
      <c r="R316" s="365"/>
      <c r="S316" s="365"/>
      <c r="T316" s="365"/>
      <c r="U316" s="365"/>
      <c r="V316" s="365"/>
      <c r="W316" s="365">
        <f t="shared" si="213"/>
        <v>0</v>
      </c>
      <c r="X316" s="365"/>
      <c r="Y316" s="365"/>
      <c r="Z316" s="365"/>
      <c r="AA316" s="365"/>
      <c r="AB316" s="365"/>
      <c r="AC316" s="365"/>
      <c r="AD316" s="366">
        <v>0</v>
      </c>
      <c r="AE316" s="365">
        <f t="shared" si="172"/>
        <v>0</v>
      </c>
      <c r="AF316" s="365">
        <f t="shared" si="214"/>
        <v>0</v>
      </c>
      <c r="AG316" s="365">
        <f t="shared" si="215"/>
        <v>0</v>
      </c>
      <c r="AH316" s="365">
        <f t="shared" si="216"/>
        <v>0</v>
      </c>
      <c r="AI316" s="365">
        <f t="shared" si="217"/>
        <v>0</v>
      </c>
      <c r="AJ316" s="365">
        <f t="shared" si="218"/>
        <v>0</v>
      </c>
      <c r="AK316" s="365">
        <f t="shared" si="219"/>
        <v>0</v>
      </c>
      <c r="AL316" s="365">
        <f t="shared" si="220"/>
        <v>0</v>
      </c>
      <c r="AM316" s="365">
        <f t="shared" si="221"/>
        <v>0</v>
      </c>
      <c r="AN316" s="365">
        <f t="shared" si="222"/>
        <v>0</v>
      </c>
      <c r="AO316" s="365">
        <f t="shared" si="223"/>
        <v>0</v>
      </c>
      <c r="AP316" s="365">
        <f t="shared" si="224"/>
        <v>0</v>
      </c>
      <c r="AQ316" s="365">
        <f t="shared" si="225"/>
        <v>0</v>
      </c>
      <c r="AR316" s="365">
        <f t="shared" si="226"/>
        <v>0</v>
      </c>
      <c r="AS316" s="365">
        <f t="shared" si="227"/>
        <v>0</v>
      </c>
      <c r="AT316" s="363"/>
    </row>
    <row r="317" ht="24" spans="1:46">
      <c r="A317" s="284" t="s">
        <v>540</v>
      </c>
      <c r="B317" s="284" t="s">
        <v>199</v>
      </c>
      <c r="C317" s="284" t="s">
        <v>601</v>
      </c>
      <c r="D317" s="284" t="s">
        <v>594</v>
      </c>
      <c r="E317" s="365">
        <f t="shared" si="209"/>
        <v>0</v>
      </c>
      <c r="F317" s="365">
        <f t="shared" si="210"/>
        <v>0</v>
      </c>
      <c r="G317" s="365"/>
      <c r="H317" s="365"/>
      <c r="I317" s="365"/>
      <c r="J317" s="365"/>
      <c r="K317" s="365"/>
      <c r="L317" s="365">
        <f t="shared" si="211"/>
        <v>0</v>
      </c>
      <c r="M317" s="365"/>
      <c r="N317" s="365"/>
      <c r="O317" s="365"/>
      <c r="P317" s="365">
        <f t="shared" si="183"/>
        <v>0</v>
      </c>
      <c r="Q317" s="365">
        <f t="shared" si="212"/>
        <v>0</v>
      </c>
      <c r="R317" s="365"/>
      <c r="S317" s="365"/>
      <c r="T317" s="365"/>
      <c r="U317" s="365"/>
      <c r="V317" s="365"/>
      <c r="W317" s="365">
        <f t="shared" si="213"/>
        <v>0</v>
      </c>
      <c r="X317" s="365"/>
      <c r="Y317" s="365"/>
      <c r="Z317" s="365"/>
      <c r="AA317" s="365"/>
      <c r="AB317" s="365"/>
      <c r="AC317" s="365"/>
      <c r="AD317" s="366">
        <v>0</v>
      </c>
      <c r="AE317" s="365">
        <f t="shared" si="172"/>
        <v>0</v>
      </c>
      <c r="AF317" s="365">
        <f t="shared" si="214"/>
        <v>0</v>
      </c>
      <c r="AG317" s="365">
        <f t="shared" si="215"/>
        <v>0</v>
      </c>
      <c r="AH317" s="365">
        <f t="shared" si="216"/>
        <v>0</v>
      </c>
      <c r="AI317" s="365">
        <f t="shared" si="217"/>
        <v>0</v>
      </c>
      <c r="AJ317" s="365">
        <f t="shared" si="218"/>
        <v>0</v>
      </c>
      <c r="AK317" s="365">
        <f t="shared" si="219"/>
        <v>0</v>
      </c>
      <c r="AL317" s="365">
        <f t="shared" si="220"/>
        <v>0</v>
      </c>
      <c r="AM317" s="365">
        <f t="shared" si="221"/>
        <v>0</v>
      </c>
      <c r="AN317" s="365">
        <f t="shared" si="222"/>
        <v>0</v>
      </c>
      <c r="AO317" s="365">
        <f t="shared" si="223"/>
        <v>0</v>
      </c>
      <c r="AP317" s="365">
        <f t="shared" si="224"/>
        <v>0</v>
      </c>
      <c r="AQ317" s="365">
        <f t="shared" si="225"/>
        <v>0</v>
      </c>
      <c r="AR317" s="365">
        <f t="shared" si="226"/>
        <v>0</v>
      </c>
      <c r="AS317" s="365">
        <f t="shared" si="227"/>
        <v>0</v>
      </c>
      <c r="AT317" s="363"/>
    </row>
    <row r="318" ht="24" spans="1:46">
      <c r="A318" s="284" t="s">
        <v>540</v>
      </c>
      <c r="B318" s="284" t="s">
        <v>199</v>
      </c>
      <c r="C318" s="284" t="s">
        <v>602</v>
      </c>
      <c r="D318" s="284" t="s">
        <v>594</v>
      </c>
      <c r="E318" s="365">
        <f t="shared" si="209"/>
        <v>0</v>
      </c>
      <c r="F318" s="365">
        <f t="shared" si="210"/>
        <v>0</v>
      </c>
      <c r="G318" s="365"/>
      <c r="H318" s="365"/>
      <c r="I318" s="365"/>
      <c r="J318" s="365"/>
      <c r="K318" s="365"/>
      <c r="L318" s="365">
        <f t="shared" si="211"/>
        <v>0</v>
      </c>
      <c r="M318" s="365"/>
      <c r="N318" s="365"/>
      <c r="O318" s="365"/>
      <c r="P318" s="365">
        <f t="shared" si="183"/>
        <v>0</v>
      </c>
      <c r="Q318" s="365">
        <f t="shared" si="212"/>
        <v>0</v>
      </c>
      <c r="R318" s="365"/>
      <c r="S318" s="365"/>
      <c r="T318" s="365"/>
      <c r="U318" s="365"/>
      <c r="V318" s="365"/>
      <c r="W318" s="365">
        <f t="shared" si="213"/>
        <v>0</v>
      </c>
      <c r="X318" s="365"/>
      <c r="Y318" s="365"/>
      <c r="Z318" s="365"/>
      <c r="AA318" s="365"/>
      <c r="AB318" s="365"/>
      <c r="AC318" s="365"/>
      <c r="AD318" s="366">
        <v>0</v>
      </c>
      <c r="AE318" s="365">
        <f t="shared" si="172"/>
        <v>0</v>
      </c>
      <c r="AF318" s="365">
        <f t="shared" si="214"/>
        <v>0</v>
      </c>
      <c r="AG318" s="365">
        <f t="shared" si="215"/>
        <v>0</v>
      </c>
      <c r="AH318" s="365">
        <f t="shared" si="216"/>
        <v>0</v>
      </c>
      <c r="AI318" s="365">
        <f t="shared" si="217"/>
        <v>0</v>
      </c>
      <c r="AJ318" s="365">
        <f t="shared" si="218"/>
        <v>0</v>
      </c>
      <c r="AK318" s="365">
        <f t="shared" si="219"/>
        <v>0</v>
      </c>
      <c r="AL318" s="365">
        <f t="shared" si="220"/>
        <v>0</v>
      </c>
      <c r="AM318" s="365">
        <f t="shared" si="221"/>
        <v>0</v>
      </c>
      <c r="AN318" s="365">
        <f t="shared" si="222"/>
        <v>0</v>
      </c>
      <c r="AO318" s="365">
        <f t="shared" si="223"/>
        <v>0</v>
      </c>
      <c r="AP318" s="365">
        <f t="shared" si="224"/>
        <v>0</v>
      </c>
      <c r="AQ318" s="365">
        <f t="shared" si="225"/>
        <v>0</v>
      </c>
      <c r="AR318" s="365">
        <f t="shared" si="226"/>
        <v>0</v>
      </c>
      <c r="AS318" s="365">
        <f t="shared" si="227"/>
        <v>0</v>
      </c>
      <c r="AT318" s="363"/>
    </row>
    <row r="319" ht="24" spans="1:46">
      <c r="A319" s="284" t="s">
        <v>540</v>
      </c>
      <c r="B319" s="284" t="s">
        <v>199</v>
      </c>
      <c r="C319" s="284" t="s">
        <v>603</v>
      </c>
      <c r="D319" s="284" t="s">
        <v>594</v>
      </c>
      <c r="E319" s="365">
        <f t="shared" si="209"/>
        <v>0</v>
      </c>
      <c r="F319" s="365">
        <f t="shared" si="210"/>
        <v>0</v>
      </c>
      <c r="G319" s="365"/>
      <c r="H319" s="365"/>
      <c r="I319" s="365"/>
      <c r="J319" s="365"/>
      <c r="K319" s="365"/>
      <c r="L319" s="365">
        <f t="shared" si="211"/>
        <v>0</v>
      </c>
      <c r="M319" s="365"/>
      <c r="N319" s="365"/>
      <c r="O319" s="365"/>
      <c r="P319" s="365">
        <f t="shared" si="183"/>
        <v>0</v>
      </c>
      <c r="Q319" s="365">
        <f t="shared" si="212"/>
        <v>0</v>
      </c>
      <c r="R319" s="365"/>
      <c r="S319" s="365"/>
      <c r="T319" s="365"/>
      <c r="U319" s="365"/>
      <c r="V319" s="365"/>
      <c r="W319" s="365">
        <f t="shared" si="213"/>
        <v>0</v>
      </c>
      <c r="X319" s="365"/>
      <c r="Y319" s="365"/>
      <c r="Z319" s="365"/>
      <c r="AA319" s="365"/>
      <c r="AB319" s="365"/>
      <c r="AC319" s="365"/>
      <c r="AD319" s="366">
        <v>0</v>
      </c>
      <c r="AE319" s="365">
        <f t="shared" si="172"/>
        <v>0</v>
      </c>
      <c r="AF319" s="365">
        <f t="shared" si="214"/>
        <v>0</v>
      </c>
      <c r="AG319" s="365">
        <f t="shared" si="215"/>
        <v>0</v>
      </c>
      <c r="AH319" s="365">
        <f t="shared" si="216"/>
        <v>0</v>
      </c>
      <c r="AI319" s="365">
        <f t="shared" si="217"/>
        <v>0</v>
      </c>
      <c r="AJ319" s="365">
        <f t="shared" si="218"/>
        <v>0</v>
      </c>
      <c r="AK319" s="365">
        <f t="shared" si="219"/>
        <v>0</v>
      </c>
      <c r="AL319" s="365">
        <f t="shared" si="220"/>
        <v>0</v>
      </c>
      <c r="AM319" s="365">
        <f t="shared" si="221"/>
        <v>0</v>
      </c>
      <c r="AN319" s="365">
        <f t="shared" si="222"/>
        <v>0</v>
      </c>
      <c r="AO319" s="365">
        <f t="shared" si="223"/>
        <v>0</v>
      </c>
      <c r="AP319" s="365">
        <f t="shared" si="224"/>
        <v>0</v>
      </c>
      <c r="AQ319" s="365">
        <f t="shared" si="225"/>
        <v>0</v>
      </c>
      <c r="AR319" s="365">
        <f t="shared" si="226"/>
        <v>0</v>
      </c>
      <c r="AS319" s="365">
        <f t="shared" si="227"/>
        <v>0</v>
      </c>
      <c r="AT319" s="363"/>
    </row>
    <row r="320" ht="24" spans="1:46">
      <c r="A320" s="284" t="s">
        <v>540</v>
      </c>
      <c r="B320" s="284" t="s">
        <v>199</v>
      </c>
      <c r="C320" s="284" t="s">
        <v>604</v>
      </c>
      <c r="D320" s="284" t="s">
        <v>594</v>
      </c>
      <c r="E320" s="365">
        <f t="shared" si="209"/>
        <v>0</v>
      </c>
      <c r="F320" s="365">
        <f t="shared" si="210"/>
        <v>0</v>
      </c>
      <c r="G320" s="365"/>
      <c r="H320" s="365"/>
      <c r="I320" s="365"/>
      <c r="J320" s="365"/>
      <c r="K320" s="365"/>
      <c r="L320" s="365">
        <f t="shared" si="211"/>
        <v>0</v>
      </c>
      <c r="M320" s="365"/>
      <c r="N320" s="365"/>
      <c r="O320" s="365"/>
      <c r="P320" s="365">
        <f t="shared" si="183"/>
        <v>0</v>
      </c>
      <c r="Q320" s="365">
        <f t="shared" si="212"/>
        <v>0</v>
      </c>
      <c r="R320" s="365"/>
      <c r="S320" s="365"/>
      <c r="T320" s="365"/>
      <c r="U320" s="365"/>
      <c r="V320" s="365"/>
      <c r="W320" s="365">
        <f t="shared" si="213"/>
        <v>0</v>
      </c>
      <c r="X320" s="365"/>
      <c r="Y320" s="365"/>
      <c r="Z320" s="365"/>
      <c r="AA320" s="365"/>
      <c r="AB320" s="365"/>
      <c r="AC320" s="365"/>
      <c r="AD320" s="366">
        <v>0</v>
      </c>
      <c r="AE320" s="365">
        <f t="shared" si="172"/>
        <v>0</v>
      </c>
      <c r="AF320" s="365">
        <f t="shared" si="214"/>
        <v>0</v>
      </c>
      <c r="AG320" s="365">
        <f t="shared" si="215"/>
        <v>0</v>
      </c>
      <c r="AH320" s="365">
        <f t="shared" si="216"/>
        <v>0</v>
      </c>
      <c r="AI320" s="365">
        <f t="shared" si="217"/>
        <v>0</v>
      </c>
      <c r="AJ320" s="365">
        <f t="shared" si="218"/>
        <v>0</v>
      </c>
      <c r="AK320" s="365">
        <f t="shared" si="219"/>
        <v>0</v>
      </c>
      <c r="AL320" s="365">
        <f t="shared" si="220"/>
        <v>0</v>
      </c>
      <c r="AM320" s="365">
        <f t="shared" si="221"/>
        <v>0</v>
      </c>
      <c r="AN320" s="365">
        <f t="shared" si="222"/>
        <v>0</v>
      </c>
      <c r="AO320" s="365">
        <f t="shared" si="223"/>
        <v>0</v>
      </c>
      <c r="AP320" s="365">
        <f t="shared" si="224"/>
        <v>0</v>
      </c>
      <c r="AQ320" s="365">
        <f t="shared" si="225"/>
        <v>0</v>
      </c>
      <c r="AR320" s="365">
        <f t="shared" si="226"/>
        <v>0</v>
      </c>
      <c r="AS320" s="365">
        <f t="shared" si="227"/>
        <v>0</v>
      </c>
      <c r="AT320" s="363"/>
    </row>
    <row r="321" ht="24" spans="1:46">
      <c r="A321" s="284" t="s">
        <v>540</v>
      </c>
      <c r="B321" s="284" t="s">
        <v>199</v>
      </c>
      <c r="C321" s="284" t="s">
        <v>605</v>
      </c>
      <c r="D321" s="284" t="s">
        <v>594</v>
      </c>
      <c r="E321" s="365">
        <f t="shared" si="209"/>
        <v>0</v>
      </c>
      <c r="F321" s="365">
        <f t="shared" si="210"/>
        <v>0</v>
      </c>
      <c r="G321" s="365"/>
      <c r="H321" s="365"/>
      <c r="I321" s="365"/>
      <c r="J321" s="365"/>
      <c r="K321" s="365"/>
      <c r="L321" s="365">
        <f t="shared" si="211"/>
        <v>0</v>
      </c>
      <c r="M321" s="365"/>
      <c r="N321" s="365"/>
      <c r="O321" s="365"/>
      <c r="P321" s="365">
        <f t="shared" si="183"/>
        <v>0</v>
      </c>
      <c r="Q321" s="365">
        <f t="shared" si="212"/>
        <v>0</v>
      </c>
      <c r="R321" s="365"/>
      <c r="S321" s="365"/>
      <c r="T321" s="365"/>
      <c r="U321" s="365"/>
      <c r="V321" s="365"/>
      <c r="W321" s="365">
        <f t="shared" si="213"/>
        <v>0</v>
      </c>
      <c r="X321" s="365"/>
      <c r="Y321" s="365"/>
      <c r="Z321" s="365"/>
      <c r="AA321" s="365"/>
      <c r="AB321" s="365"/>
      <c r="AC321" s="365"/>
      <c r="AD321" s="366">
        <v>0</v>
      </c>
      <c r="AE321" s="365">
        <f t="shared" si="172"/>
        <v>0</v>
      </c>
      <c r="AF321" s="365">
        <f t="shared" si="214"/>
        <v>0</v>
      </c>
      <c r="AG321" s="365">
        <f t="shared" si="215"/>
        <v>0</v>
      </c>
      <c r="AH321" s="365">
        <f t="shared" si="216"/>
        <v>0</v>
      </c>
      <c r="AI321" s="365">
        <f t="shared" si="217"/>
        <v>0</v>
      </c>
      <c r="AJ321" s="365">
        <f t="shared" si="218"/>
        <v>0</v>
      </c>
      <c r="AK321" s="365">
        <f t="shared" si="219"/>
        <v>0</v>
      </c>
      <c r="AL321" s="365">
        <f t="shared" si="220"/>
        <v>0</v>
      </c>
      <c r="AM321" s="365">
        <f t="shared" si="221"/>
        <v>0</v>
      </c>
      <c r="AN321" s="365">
        <f t="shared" si="222"/>
        <v>0</v>
      </c>
      <c r="AO321" s="365">
        <f t="shared" si="223"/>
        <v>0</v>
      </c>
      <c r="AP321" s="365">
        <f t="shared" si="224"/>
        <v>0</v>
      </c>
      <c r="AQ321" s="365">
        <f t="shared" si="225"/>
        <v>0</v>
      </c>
      <c r="AR321" s="365">
        <f t="shared" si="226"/>
        <v>0</v>
      </c>
      <c r="AS321" s="365">
        <f t="shared" si="227"/>
        <v>0</v>
      </c>
      <c r="AT321" s="363"/>
    </row>
    <row r="322" ht="24" spans="1:46">
      <c r="A322" s="284" t="s">
        <v>540</v>
      </c>
      <c r="B322" s="284" t="s">
        <v>199</v>
      </c>
      <c r="C322" s="284" t="s">
        <v>606</v>
      </c>
      <c r="D322" s="284" t="s">
        <v>594</v>
      </c>
      <c r="E322" s="365">
        <f t="shared" si="209"/>
        <v>0</v>
      </c>
      <c r="F322" s="365">
        <f t="shared" si="210"/>
        <v>0</v>
      </c>
      <c r="G322" s="365"/>
      <c r="H322" s="365"/>
      <c r="I322" s="365"/>
      <c r="J322" s="365"/>
      <c r="K322" s="365"/>
      <c r="L322" s="365">
        <f t="shared" si="211"/>
        <v>0</v>
      </c>
      <c r="M322" s="365"/>
      <c r="N322" s="365"/>
      <c r="O322" s="365"/>
      <c r="P322" s="365">
        <f t="shared" si="183"/>
        <v>0</v>
      </c>
      <c r="Q322" s="365">
        <f t="shared" si="212"/>
        <v>0</v>
      </c>
      <c r="R322" s="365"/>
      <c r="S322" s="365"/>
      <c r="T322" s="365"/>
      <c r="U322" s="365"/>
      <c r="V322" s="365"/>
      <c r="W322" s="365">
        <f t="shared" si="213"/>
        <v>0</v>
      </c>
      <c r="X322" s="365"/>
      <c r="Y322" s="365"/>
      <c r="Z322" s="365"/>
      <c r="AA322" s="365"/>
      <c r="AB322" s="365"/>
      <c r="AC322" s="365"/>
      <c r="AD322" s="366">
        <v>0</v>
      </c>
      <c r="AE322" s="365">
        <f t="shared" si="172"/>
        <v>0</v>
      </c>
      <c r="AF322" s="365">
        <f t="shared" si="214"/>
        <v>0</v>
      </c>
      <c r="AG322" s="365">
        <f t="shared" si="215"/>
        <v>0</v>
      </c>
      <c r="AH322" s="365">
        <f t="shared" si="216"/>
        <v>0</v>
      </c>
      <c r="AI322" s="365">
        <f t="shared" si="217"/>
        <v>0</v>
      </c>
      <c r="AJ322" s="365">
        <f t="shared" si="218"/>
        <v>0</v>
      </c>
      <c r="AK322" s="365">
        <f t="shared" si="219"/>
        <v>0</v>
      </c>
      <c r="AL322" s="365">
        <f t="shared" si="220"/>
        <v>0</v>
      </c>
      <c r="AM322" s="365">
        <f t="shared" si="221"/>
        <v>0</v>
      </c>
      <c r="AN322" s="365">
        <f t="shared" si="222"/>
        <v>0</v>
      </c>
      <c r="AO322" s="365">
        <f t="shared" si="223"/>
        <v>0</v>
      </c>
      <c r="AP322" s="365">
        <f t="shared" si="224"/>
        <v>0</v>
      </c>
      <c r="AQ322" s="365">
        <f t="shared" si="225"/>
        <v>0</v>
      </c>
      <c r="AR322" s="365">
        <f t="shared" si="226"/>
        <v>0</v>
      </c>
      <c r="AS322" s="365">
        <f t="shared" si="227"/>
        <v>0</v>
      </c>
      <c r="AT322" s="363"/>
    </row>
    <row r="323" ht="24" spans="1:46">
      <c r="A323" s="284" t="s">
        <v>540</v>
      </c>
      <c r="B323" s="284" t="s">
        <v>199</v>
      </c>
      <c r="C323" s="284" t="s">
        <v>607</v>
      </c>
      <c r="D323" s="284" t="s">
        <v>594</v>
      </c>
      <c r="E323" s="365">
        <f t="shared" si="209"/>
        <v>0</v>
      </c>
      <c r="F323" s="365">
        <f t="shared" si="210"/>
        <v>0</v>
      </c>
      <c r="G323" s="365"/>
      <c r="H323" s="365"/>
      <c r="I323" s="365"/>
      <c r="J323" s="365"/>
      <c r="K323" s="365"/>
      <c r="L323" s="365">
        <f t="shared" si="211"/>
        <v>0</v>
      </c>
      <c r="M323" s="365"/>
      <c r="N323" s="365"/>
      <c r="O323" s="365"/>
      <c r="P323" s="365">
        <f t="shared" si="183"/>
        <v>0</v>
      </c>
      <c r="Q323" s="365">
        <f t="shared" si="212"/>
        <v>0</v>
      </c>
      <c r="R323" s="365"/>
      <c r="S323" s="365"/>
      <c r="T323" s="365"/>
      <c r="U323" s="365"/>
      <c r="V323" s="365"/>
      <c r="W323" s="365">
        <f t="shared" si="213"/>
        <v>0</v>
      </c>
      <c r="X323" s="365"/>
      <c r="Y323" s="365"/>
      <c r="Z323" s="365"/>
      <c r="AA323" s="365"/>
      <c r="AB323" s="365"/>
      <c r="AC323" s="365"/>
      <c r="AD323" s="366">
        <v>0</v>
      </c>
      <c r="AE323" s="365">
        <f t="shared" si="172"/>
        <v>0</v>
      </c>
      <c r="AF323" s="365">
        <f t="shared" si="214"/>
        <v>0</v>
      </c>
      <c r="AG323" s="365">
        <f t="shared" si="215"/>
        <v>0</v>
      </c>
      <c r="AH323" s="365">
        <f t="shared" si="216"/>
        <v>0</v>
      </c>
      <c r="AI323" s="365">
        <f t="shared" si="217"/>
        <v>0</v>
      </c>
      <c r="AJ323" s="365">
        <f t="shared" si="218"/>
        <v>0</v>
      </c>
      <c r="AK323" s="365">
        <f t="shared" si="219"/>
        <v>0</v>
      </c>
      <c r="AL323" s="365">
        <f t="shared" si="220"/>
        <v>0</v>
      </c>
      <c r="AM323" s="365">
        <f t="shared" si="221"/>
        <v>0</v>
      </c>
      <c r="AN323" s="365">
        <f t="shared" si="222"/>
        <v>0</v>
      </c>
      <c r="AO323" s="365">
        <f t="shared" si="223"/>
        <v>0</v>
      </c>
      <c r="AP323" s="365">
        <f t="shared" si="224"/>
        <v>0</v>
      </c>
      <c r="AQ323" s="365">
        <f t="shared" si="225"/>
        <v>0</v>
      </c>
      <c r="AR323" s="365">
        <f t="shared" si="226"/>
        <v>0</v>
      </c>
      <c r="AS323" s="365">
        <f t="shared" si="227"/>
        <v>0</v>
      </c>
      <c r="AT323" s="363"/>
    </row>
    <row r="324" ht="24" spans="1:46">
      <c r="A324" s="284" t="s">
        <v>540</v>
      </c>
      <c r="B324" s="284" t="s">
        <v>199</v>
      </c>
      <c r="C324" s="284" t="s">
        <v>608</v>
      </c>
      <c r="D324" s="284" t="s">
        <v>594</v>
      </c>
      <c r="E324" s="365">
        <f t="shared" si="209"/>
        <v>0</v>
      </c>
      <c r="F324" s="365">
        <f t="shared" si="210"/>
        <v>0</v>
      </c>
      <c r="G324" s="365"/>
      <c r="H324" s="365"/>
      <c r="I324" s="365"/>
      <c r="J324" s="365"/>
      <c r="K324" s="365"/>
      <c r="L324" s="365">
        <f t="shared" si="211"/>
        <v>0</v>
      </c>
      <c r="M324" s="365"/>
      <c r="N324" s="365"/>
      <c r="O324" s="365"/>
      <c r="P324" s="365">
        <f t="shared" si="183"/>
        <v>0</v>
      </c>
      <c r="Q324" s="365">
        <f t="shared" si="212"/>
        <v>0</v>
      </c>
      <c r="R324" s="365"/>
      <c r="S324" s="365"/>
      <c r="T324" s="365"/>
      <c r="U324" s="365"/>
      <c r="V324" s="365"/>
      <c r="W324" s="365">
        <f t="shared" si="213"/>
        <v>0</v>
      </c>
      <c r="X324" s="365"/>
      <c r="Y324" s="365"/>
      <c r="Z324" s="365"/>
      <c r="AA324" s="365"/>
      <c r="AB324" s="365"/>
      <c r="AC324" s="365"/>
      <c r="AD324" s="366">
        <v>0</v>
      </c>
      <c r="AE324" s="365">
        <f t="shared" si="172"/>
        <v>0</v>
      </c>
      <c r="AF324" s="365">
        <f t="shared" si="214"/>
        <v>0</v>
      </c>
      <c r="AG324" s="365">
        <f t="shared" si="215"/>
        <v>0</v>
      </c>
      <c r="AH324" s="365">
        <f t="shared" si="216"/>
        <v>0</v>
      </c>
      <c r="AI324" s="365">
        <f t="shared" si="217"/>
        <v>0</v>
      </c>
      <c r="AJ324" s="365">
        <f t="shared" si="218"/>
        <v>0</v>
      </c>
      <c r="AK324" s="365">
        <f t="shared" si="219"/>
        <v>0</v>
      </c>
      <c r="AL324" s="365">
        <f t="shared" si="220"/>
        <v>0</v>
      </c>
      <c r="AM324" s="365">
        <f t="shared" si="221"/>
        <v>0</v>
      </c>
      <c r="AN324" s="365">
        <f t="shared" si="222"/>
        <v>0</v>
      </c>
      <c r="AO324" s="365">
        <f t="shared" si="223"/>
        <v>0</v>
      </c>
      <c r="AP324" s="365">
        <f t="shared" si="224"/>
        <v>0</v>
      </c>
      <c r="AQ324" s="365">
        <f t="shared" si="225"/>
        <v>0</v>
      </c>
      <c r="AR324" s="365">
        <f t="shared" si="226"/>
        <v>0</v>
      </c>
      <c r="AS324" s="365">
        <f t="shared" si="227"/>
        <v>0</v>
      </c>
      <c r="AT324" s="363"/>
    </row>
    <row r="325" ht="36" spans="1:47">
      <c r="A325" s="284" t="s">
        <v>540</v>
      </c>
      <c r="B325" s="284" t="s">
        <v>199</v>
      </c>
      <c r="C325" s="284" t="s">
        <v>609</v>
      </c>
      <c r="D325" s="284" t="s">
        <v>610</v>
      </c>
      <c r="E325" s="365">
        <f t="shared" si="209"/>
        <v>0</v>
      </c>
      <c r="F325" s="365">
        <f t="shared" si="210"/>
        <v>0</v>
      </c>
      <c r="G325" s="365"/>
      <c r="H325" s="365"/>
      <c r="I325" s="365"/>
      <c r="J325" s="365"/>
      <c r="K325" s="365"/>
      <c r="L325" s="365">
        <f t="shared" si="211"/>
        <v>0</v>
      </c>
      <c r="M325" s="365"/>
      <c r="N325" s="365"/>
      <c r="O325" s="365"/>
      <c r="P325" s="365">
        <f t="shared" si="183"/>
        <v>0</v>
      </c>
      <c r="Q325" s="365">
        <f t="shared" si="212"/>
        <v>0</v>
      </c>
      <c r="R325" s="365"/>
      <c r="S325" s="365"/>
      <c r="T325" s="365"/>
      <c r="U325" s="365"/>
      <c r="V325" s="365"/>
      <c r="W325" s="365">
        <f t="shared" si="213"/>
        <v>0</v>
      </c>
      <c r="X325" s="365"/>
      <c r="Y325" s="365"/>
      <c r="Z325" s="365"/>
      <c r="AA325" s="365"/>
      <c r="AB325" s="365"/>
      <c r="AC325" s="365"/>
      <c r="AD325" s="366">
        <v>0</v>
      </c>
      <c r="AE325" s="365">
        <f t="shared" si="172"/>
        <v>0</v>
      </c>
      <c r="AF325" s="365">
        <f t="shared" si="214"/>
        <v>0</v>
      </c>
      <c r="AG325" s="365">
        <f t="shared" si="215"/>
        <v>0</v>
      </c>
      <c r="AH325" s="365">
        <f t="shared" si="216"/>
        <v>0</v>
      </c>
      <c r="AI325" s="365">
        <f t="shared" si="217"/>
        <v>0</v>
      </c>
      <c r="AJ325" s="365">
        <f t="shared" si="218"/>
        <v>0</v>
      </c>
      <c r="AK325" s="365">
        <f t="shared" si="219"/>
        <v>0</v>
      </c>
      <c r="AL325" s="365">
        <f t="shared" si="220"/>
        <v>0</v>
      </c>
      <c r="AM325" s="365">
        <f t="shared" si="221"/>
        <v>0</v>
      </c>
      <c r="AN325" s="365">
        <f t="shared" si="222"/>
        <v>0</v>
      </c>
      <c r="AO325" s="365">
        <f t="shared" si="223"/>
        <v>0</v>
      </c>
      <c r="AP325" s="365">
        <f t="shared" si="224"/>
        <v>0</v>
      </c>
      <c r="AQ325" s="365">
        <f t="shared" si="225"/>
        <v>0</v>
      </c>
      <c r="AR325" s="365">
        <f t="shared" si="226"/>
        <v>0</v>
      </c>
      <c r="AS325" s="365">
        <f t="shared" si="227"/>
        <v>0</v>
      </c>
      <c r="AT325" s="363"/>
      <c r="AU325">
        <v>21.17</v>
      </c>
    </row>
    <row r="326" ht="36" spans="1:47">
      <c r="A326" s="284" t="s">
        <v>540</v>
      </c>
      <c r="B326" s="284" t="s">
        <v>196</v>
      </c>
      <c r="C326" s="284" t="s">
        <v>795</v>
      </c>
      <c r="D326" s="284" t="s">
        <v>612</v>
      </c>
      <c r="E326" s="365">
        <f t="shared" si="209"/>
        <v>112.45</v>
      </c>
      <c r="F326" s="365">
        <f t="shared" si="210"/>
        <v>59.45</v>
      </c>
      <c r="G326" s="365">
        <v>33.47</v>
      </c>
      <c r="H326" s="365">
        <v>23.19</v>
      </c>
      <c r="I326" s="365">
        <v>2.79</v>
      </c>
      <c r="J326" s="365"/>
      <c r="K326" s="365"/>
      <c r="L326" s="365">
        <f t="shared" si="211"/>
        <v>53</v>
      </c>
      <c r="M326" s="365"/>
      <c r="N326" s="365"/>
      <c r="O326" s="365">
        <v>53</v>
      </c>
      <c r="P326" s="365">
        <f t="shared" si="183"/>
        <v>-7.04315</v>
      </c>
      <c r="Q326" s="365">
        <f t="shared" si="212"/>
        <v>8.35705</v>
      </c>
      <c r="R326" s="365">
        <v>8.13615</v>
      </c>
      <c r="S326" s="365"/>
      <c r="T326" s="365">
        <v>0.2209</v>
      </c>
      <c r="U326" s="365"/>
      <c r="V326" s="365"/>
      <c r="W326" s="365">
        <f t="shared" si="213"/>
        <v>-15.4002</v>
      </c>
      <c r="X326" s="365"/>
      <c r="Y326" s="365">
        <v>24.2474</v>
      </c>
      <c r="Z326" s="365">
        <v>8</v>
      </c>
      <c r="AA326" s="365"/>
      <c r="AB326" s="365">
        <v>5.3524</v>
      </c>
      <c r="AC326" s="365"/>
      <c r="AD326" s="366">
        <v>-53</v>
      </c>
      <c r="AE326" s="365">
        <f t="shared" si="172"/>
        <v>105.40685</v>
      </c>
      <c r="AF326" s="365">
        <f t="shared" si="214"/>
        <v>67.80705</v>
      </c>
      <c r="AG326" s="365">
        <f t="shared" si="215"/>
        <v>41.60615</v>
      </c>
      <c r="AH326" s="365">
        <f t="shared" si="216"/>
        <v>23.19</v>
      </c>
      <c r="AI326" s="365">
        <f t="shared" si="217"/>
        <v>3.0109</v>
      </c>
      <c r="AJ326" s="365">
        <f t="shared" si="218"/>
        <v>0</v>
      </c>
      <c r="AK326" s="365">
        <f t="shared" si="219"/>
        <v>0</v>
      </c>
      <c r="AL326" s="365">
        <f t="shared" si="220"/>
        <v>37.5998</v>
      </c>
      <c r="AM326" s="365">
        <f t="shared" si="221"/>
        <v>0</v>
      </c>
      <c r="AN326" s="365">
        <f t="shared" si="222"/>
        <v>24.2474</v>
      </c>
      <c r="AO326" s="365">
        <f t="shared" si="223"/>
        <v>8</v>
      </c>
      <c r="AP326" s="365">
        <f t="shared" si="224"/>
        <v>0</v>
      </c>
      <c r="AQ326" s="365">
        <f t="shared" si="225"/>
        <v>5.3524</v>
      </c>
      <c r="AR326" s="365">
        <f t="shared" si="226"/>
        <v>0</v>
      </c>
      <c r="AS326" s="365">
        <f t="shared" si="227"/>
        <v>0</v>
      </c>
      <c r="AT326" s="363"/>
      <c r="AU326">
        <v>5.3524</v>
      </c>
    </row>
    <row r="327" ht="36" spans="1:47">
      <c r="A327" s="284" t="s">
        <v>540</v>
      </c>
      <c r="B327" s="284" t="s">
        <v>199</v>
      </c>
      <c r="C327" s="284" t="s">
        <v>613</v>
      </c>
      <c r="D327" s="284" t="s">
        <v>614</v>
      </c>
      <c r="E327" s="365">
        <f t="shared" si="209"/>
        <v>0</v>
      </c>
      <c r="F327" s="365">
        <f t="shared" si="210"/>
        <v>0</v>
      </c>
      <c r="G327" s="365"/>
      <c r="H327" s="365"/>
      <c r="I327" s="365"/>
      <c r="J327" s="365"/>
      <c r="K327" s="365"/>
      <c r="L327" s="365">
        <f t="shared" si="211"/>
        <v>0</v>
      </c>
      <c r="M327" s="365"/>
      <c r="N327" s="386"/>
      <c r="O327" s="365"/>
      <c r="P327" s="365">
        <f t="shared" si="183"/>
        <v>0</v>
      </c>
      <c r="Q327" s="365">
        <f t="shared" si="212"/>
        <v>0</v>
      </c>
      <c r="R327" s="365"/>
      <c r="S327" s="365"/>
      <c r="T327" s="365"/>
      <c r="U327" s="365"/>
      <c r="V327" s="365"/>
      <c r="W327" s="365">
        <f t="shared" si="213"/>
        <v>0</v>
      </c>
      <c r="X327" s="365"/>
      <c r="Y327" s="365"/>
      <c r="Z327" s="365"/>
      <c r="AA327" s="365"/>
      <c r="AB327" s="365"/>
      <c r="AC327" s="386"/>
      <c r="AD327" s="366">
        <v>0</v>
      </c>
      <c r="AE327" s="365">
        <f t="shared" ref="AE327:AE390" si="228">AF327+AL327</f>
        <v>0</v>
      </c>
      <c r="AF327" s="365">
        <f t="shared" si="214"/>
        <v>0</v>
      </c>
      <c r="AG327" s="365">
        <f t="shared" si="215"/>
        <v>0</v>
      </c>
      <c r="AH327" s="365">
        <f t="shared" si="216"/>
        <v>0</v>
      </c>
      <c r="AI327" s="365">
        <f t="shared" si="217"/>
        <v>0</v>
      </c>
      <c r="AJ327" s="365">
        <f t="shared" si="218"/>
        <v>0</v>
      </c>
      <c r="AK327" s="365">
        <f t="shared" si="219"/>
        <v>0</v>
      </c>
      <c r="AL327" s="365">
        <f t="shared" si="220"/>
        <v>0</v>
      </c>
      <c r="AM327" s="365">
        <f t="shared" si="221"/>
        <v>0</v>
      </c>
      <c r="AN327" s="365">
        <f t="shared" si="222"/>
        <v>0</v>
      </c>
      <c r="AO327" s="365">
        <f t="shared" si="223"/>
        <v>0</v>
      </c>
      <c r="AP327" s="365">
        <f t="shared" si="224"/>
        <v>0</v>
      </c>
      <c r="AQ327" s="365">
        <f t="shared" si="225"/>
        <v>0</v>
      </c>
      <c r="AR327" s="365">
        <f t="shared" si="226"/>
        <v>0</v>
      </c>
      <c r="AS327" s="365">
        <f t="shared" si="227"/>
        <v>0</v>
      </c>
      <c r="AT327" s="363"/>
      <c r="AU327">
        <v>22.1472</v>
      </c>
    </row>
    <row r="328" ht="36" spans="1:47">
      <c r="A328" s="284" t="s">
        <v>540</v>
      </c>
      <c r="B328" s="284" t="s">
        <v>196</v>
      </c>
      <c r="C328" s="284" t="s">
        <v>615</v>
      </c>
      <c r="D328" s="284" t="s">
        <v>616</v>
      </c>
      <c r="E328" s="365">
        <f t="shared" si="209"/>
        <v>74.7</v>
      </c>
      <c r="F328" s="365">
        <f t="shared" si="210"/>
        <v>43.22</v>
      </c>
      <c r="G328" s="365">
        <v>24.33</v>
      </c>
      <c r="H328" s="365">
        <v>16.86</v>
      </c>
      <c r="I328" s="365">
        <v>2.03</v>
      </c>
      <c r="J328" s="365"/>
      <c r="K328" s="365"/>
      <c r="L328" s="365">
        <f t="shared" si="211"/>
        <v>31.48</v>
      </c>
      <c r="M328" s="365">
        <v>2.48</v>
      </c>
      <c r="N328" s="365"/>
      <c r="O328" s="365">
        <v>29</v>
      </c>
      <c r="P328" s="365">
        <f t="shared" ref="P328:P391" si="229">Q328+W328</f>
        <v>-9.3575</v>
      </c>
      <c r="Q328" s="365">
        <f t="shared" si="212"/>
        <v>-3.278</v>
      </c>
      <c r="R328" s="365">
        <v>-0.7448</v>
      </c>
      <c r="S328" s="365">
        <v>-2.7953</v>
      </c>
      <c r="T328" s="365">
        <v>0.2621</v>
      </c>
      <c r="U328" s="365"/>
      <c r="V328" s="365"/>
      <c r="W328" s="365">
        <f t="shared" si="213"/>
        <v>-6.0795</v>
      </c>
      <c r="X328" s="365"/>
      <c r="Y328" s="365">
        <v>15.4761</v>
      </c>
      <c r="Z328" s="365">
        <v>3</v>
      </c>
      <c r="AA328" s="365"/>
      <c r="AB328" s="365">
        <v>4.4444</v>
      </c>
      <c r="AC328" s="365"/>
      <c r="AD328" s="366">
        <v>-29</v>
      </c>
      <c r="AE328" s="365">
        <f t="shared" si="228"/>
        <v>65.3425</v>
      </c>
      <c r="AF328" s="365">
        <f t="shared" si="214"/>
        <v>39.942</v>
      </c>
      <c r="AG328" s="365">
        <f t="shared" si="215"/>
        <v>23.5852</v>
      </c>
      <c r="AH328" s="365">
        <f t="shared" si="216"/>
        <v>14.0647</v>
      </c>
      <c r="AI328" s="365">
        <f t="shared" si="217"/>
        <v>2.2921</v>
      </c>
      <c r="AJ328" s="365">
        <f t="shared" si="218"/>
        <v>0</v>
      </c>
      <c r="AK328" s="365">
        <f t="shared" si="219"/>
        <v>0</v>
      </c>
      <c r="AL328" s="365">
        <f t="shared" si="220"/>
        <v>25.4005</v>
      </c>
      <c r="AM328" s="365">
        <f t="shared" si="221"/>
        <v>2.48</v>
      </c>
      <c r="AN328" s="365">
        <f t="shared" si="222"/>
        <v>15.4761</v>
      </c>
      <c r="AO328" s="365">
        <f t="shared" si="223"/>
        <v>3</v>
      </c>
      <c r="AP328" s="365">
        <f t="shared" si="224"/>
        <v>0</v>
      </c>
      <c r="AQ328" s="365">
        <f t="shared" si="225"/>
        <v>4.4444</v>
      </c>
      <c r="AR328" s="365">
        <f t="shared" si="226"/>
        <v>0</v>
      </c>
      <c r="AS328" s="365">
        <f t="shared" si="227"/>
        <v>0</v>
      </c>
      <c r="AT328" s="363"/>
      <c r="AU328">
        <v>4.4444</v>
      </c>
    </row>
    <row r="329" s="311" customFormat="1" ht="21" customHeight="1" spans="1:47">
      <c r="A329" s="329"/>
      <c r="B329" s="329" t="s">
        <v>751</v>
      </c>
      <c r="C329" s="329" t="s">
        <v>140</v>
      </c>
      <c r="D329" s="329">
        <v>212</v>
      </c>
      <c r="E329" s="364">
        <f t="shared" ref="E329:O329" si="230">SUM(E330:E344)</f>
        <v>1302.66</v>
      </c>
      <c r="F329" s="364">
        <f t="shared" si="230"/>
        <v>287.85</v>
      </c>
      <c r="G329" s="364">
        <f t="shared" si="230"/>
        <v>162.94</v>
      </c>
      <c r="H329" s="364">
        <f t="shared" si="230"/>
        <v>111.33</v>
      </c>
      <c r="I329" s="364">
        <f t="shared" si="230"/>
        <v>13.58</v>
      </c>
      <c r="J329" s="364">
        <f t="shared" si="230"/>
        <v>0</v>
      </c>
      <c r="K329" s="364">
        <f t="shared" si="230"/>
        <v>0</v>
      </c>
      <c r="L329" s="364">
        <f t="shared" si="230"/>
        <v>1014.81</v>
      </c>
      <c r="M329" s="364">
        <f t="shared" si="230"/>
        <v>488.09</v>
      </c>
      <c r="N329" s="364">
        <f t="shared" si="230"/>
        <v>347.72</v>
      </c>
      <c r="O329" s="364">
        <f t="shared" si="230"/>
        <v>179</v>
      </c>
      <c r="P329" s="364">
        <f t="shared" si="229"/>
        <v>132.0722</v>
      </c>
      <c r="Q329" s="364">
        <f t="shared" ref="Q329:AD329" si="231">SUM(Q330:Q344)</f>
        <v>-3.3151</v>
      </c>
      <c r="R329" s="364">
        <f t="shared" si="231"/>
        <v>-7.3651</v>
      </c>
      <c r="S329" s="364">
        <f t="shared" si="231"/>
        <v>4.05</v>
      </c>
      <c r="T329" s="364">
        <f t="shared" si="231"/>
        <v>0</v>
      </c>
      <c r="U329" s="364">
        <f t="shared" si="231"/>
        <v>0</v>
      </c>
      <c r="V329" s="364">
        <f t="shared" si="231"/>
        <v>0</v>
      </c>
      <c r="W329" s="364">
        <f t="shared" si="231"/>
        <v>135.3873</v>
      </c>
      <c r="X329" s="364">
        <f t="shared" si="231"/>
        <v>10.23</v>
      </c>
      <c r="Y329" s="364">
        <f t="shared" si="231"/>
        <v>82.1781</v>
      </c>
      <c r="Z329" s="364">
        <f t="shared" si="231"/>
        <v>191</v>
      </c>
      <c r="AA329" s="364">
        <f t="shared" si="231"/>
        <v>0</v>
      </c>
      <c r="AB329" s="364">
        <f t="shared" si="231"/>
        <v>27.8292</v>
      </c>
      <c r="AC329" s="364">
        <f t="shared" si="231"/>
        <v>3.15</v>
      </c>
      <c r="AD329" s="364">
        <f t="shared" si="231"/>
        <v>-179</v>
      </c>
      <c r="AE329" s="364">
        <f t="shared" si="228"/>
        <v>1434.7322</v>
      </c>
      <c r="AF329" s="364">
        <f t="shared" ref="AF329:AS329" si="232">SUM(AF330:AF344)</f>
        <v>284.5349</v>
      </c>
      <c r="AG329" s="364">
        <f t="shared" si="232"/>
        <v>155.5749</v>
      </c>
      <c r="AH329" s="364">
        <f t="shared" si="232"/>
        <v>115.38</v>
      </c>
      <c r="AI329" s="364">
        <f t="shared" si="232"/>
        <v>13.58</v>
      </c>
      <c r="AJ329" s="364">
        <f t="shared" si="232"/>
        <v>0</v>
      </c>
      <c r="AK329" s="364">
        <f t="shared" si="232"/>
        <v>0</v>
      </c>
      <c r="AL329" s="364">
        <f t="shared" si="232"/>
        <v>1150.1973</v>
      </c>
      <c r="AM329" s="364">
        <f t="shared" si="232"/>
        <v>498.32</v>
      </c>
      <c r="AN329" s="364">
        <f t="shared" si="232"/>
        <v>82.1781</v>
      </c>
      <c r="AO329" s="364">
        <f t="shared" si="232"/>
        <v>191</v>
      </c>
      <c r="AP329" s="364">
        <f t="shared" si="232"/>
        <v>0</v>
      </c>
      <c r="AQ329" s="364">
        <f t="shared" si="232"/>
        <v>27.8292</v>
      </c>
      <c r="AR329" s="364">
        <f t="shared" si="232"/>
        <v>350.87</v>
      </c>
      <c r="AS329" s="364">
        <f t="shared" si="232"/>
        <v>0</v>
      </c>
      <c r="AT329" s="372"/>
      <c r="AU329" s="373"/>
    </row>
    <row r="330" ht="24" spans="1:47">
      <c r="A330" s="284" t="s">
        <v>290</v>
      </c>
      <c r="B330" s="284" t="s">
        <v>196</v>
      </c>
      <c r="C330" s="284" t="s">
        <v>617</v>
      </c>
      <c r="D330" s="284" t="s">
        <v>618</v>
      </c>
      <c r="E330" s="365">
        <f t="shared" ref="E330:E344" si="233">F330+L330</f>
        <v>157.82</v>
      </c>
      <c r="F330" s="365">
        <f t="shared" ref="F330:F344" si="234">SUM(G330:K330)</f>
        <v>110.34</v>
      </c>
      <c r="G330" s="365">
        <v>62.26</v>
      </c>
      <c r="H330" s="365">
        <v>42.89</v>
      </c>
      <c r="I330" s="365">
        <v>5.19</v>
      </c>
      <c r="J330" s="365"/>
      <c r="K330" s="365"/>
      <c r="L330" s="365">
        <f t="shared" ref="L330:L344" si="235">SUM(M330:O330)</f>
        <v>47.48</v>
      </c>
      <c r="M330" s="365">
        <v>2.48</v>
      </c>
      <c r="N330" s="365"/>
      <c r="O330" s="366">
        <v>45</v>
      </c>
      <c r="P330" s="386">
        <f t="shared" si="229"/>
        <v>1.6971</v>
      </c>
      <c r="Q330" s="386">
        <f t="shared" ref="Q330:Q332" si="236">SUM(R330:V330)</f>
        <v>-17.6435</v>
      </c>
      <c r="R330" s="386">
        <v>-17.6435</v>
      </c>
      <c r="S330" s="386"/>
      <c r="T330" s="386"/>
      <c r="U330" s="386"/>
      <c r="V330" s="386"/>
      <c r="W330" s="386">
        <f>SUM(X330:AD330)</f>
        <v>19.3406</v>
      </c>
      <c r="X330" s="386"/>
      <c r="Y330" s="386">
        <v>26.3628</v>
      </c>
      <c r="Z330" s="386">
        <v>22</v>
      </c>
      <c r="AA330" s="386"/>
      <c r="AB330" s="386">
        <v>13.8778</v>
      </c>
      <c r="AC330" s="370">
        <f>4.5-2.4</f>
        <v>2.1</v>
      </c>
      <c r="AD330" s="370">
        <v>-45</v>
      </c>
      <c r="AE330" s="386">
        <f t="shared" si="228"/>
        <v>159.5171</v>
      </c>
      <c r="AF330" s="365">
        <f t="shared" ref="AF330:AF344" si="237">SUM(AG330:AK330)</f>
        <v>92.6965</v>
      </c>
      <c r="AG330" s="365">
        <f t="shared" ref="AG330:AG344" si="238">G330+R330</f>
        <v>44.6165</v>
      </c>
      <c r="AH330" s="365">
        <f t="shared" ref="AH330:AH344" si="239">H330+S330</f>
        <v>42.89</v>
      </c>
      <c r="AI330" s="365">
        <f t="shared" ref="AI330:AI344" si="240">I330+T330</f>
        <v>5.19</v>
      </c>
      <c r="AJ330" s="365">
        <f t="shared" ref="AJ330:AJ344" si="241">J330+U330</f>
        <v>0</v>
      </c>
      <c r="AK330" s="365">
        <f t="shared" ref="AK330:AK344" si="242">K330+V330</f>
        <v>0</v>
      </c>
      <c r="AL330" s="365">
        <f t="shared" ref="AL330:AL344" si="243">SUM(AM330:AS330)</f>
        <v>66.8206</v>
      </c>
      <c r="AM330" s="365">
        <f t="shared" ref="AM330:AM344" si="244">M330+X330</f>
        <v>2.48</v>
      </c>
      <c r="AN330" s="365">
        <f t="shared" ref="AN330:AN344" si="245">Y330</f>
        <v>26.3628</v>
      </c>
      <c r="AO330" s="365">
        <f t="shared" ref="AO330:AO344" si="246">Z330</f>
        <v>22</v>
      </c>
      <c r="AP330" s="365">
        <f t="shared" ref="AP330:AP344" si="247">AA330</f>
        <v>0</v>
      </c>
      <c r="AQ330" s="365">
        <f t="shared" ref="AQ330:AQ344" si="248">AB330</f>
        <v>13.8778</v>
      </c>
      <c r="AR330" s="365">
        <f t="shared" ref="AR330:AR344" si="249">N330+AC330</f>
        <v>2.1</v>
      </c>
      <c r="AS330" s="365">
        <f t="shared" ref="AS330:AS344" si="250">O330+AD330</f>
        <v>0</v>
      </c>
      <c r="AT330" s="376" t="s">
        <v>796</v>
      </c>
      <c r="AU330">
        <v>13.8778</v>
      </c>
    </row>
    <row r="331" ht="24" spans="1:47">
      <c r="A331" s="284" t="s">
        <v>290</v>
      </c>
      <c r="B331" s="284" t="s">
        <v>196</v>
      </c>
      <c r="C331" s="284" t="s">
        <v>619</v>
      </c>
      <c r="D331" s="284" t="s">
        <v>620</v>
      </c>
      <c r="E331" s="365">
        <f t="shared" si="233"/>
        <v>880.67</v>
      </c>
      <c r="F331" s="365">
        <f t="shared" si="234"/>
        <v>51.54</v>
      </c>
      <c r="G331" s="365">
        <v>29.02</v>
      </c>
      <c r="H331" s="365">
        <v>20.1</v>
      </c>
      <c r="I331" s="365">
        <v>2.42</v>
      </c>
      <c r="J331" s="365"/>
      <c r="K331" s="365"/>
      <c r="L331" s="365">
        <f t="shared" si="235"/>
        <v>829.13</v>
      </c>
      <c r="M331" s="365">
        <v>485.61</v>
      </c>
      <c r="N331" s="374">
        <f>8+1.68+298.84</f>
        <v>308.52</v>
      </c>
      <c r="O331" s="365">
        <v>35</v>
      </c>
      <c r="P331" s="365">
        <f t="shared" si="229"/>
        <v>143.4644</v>
      </c>
      <c r="Q331" s="365">
        <f t="shared" si="236"/>
        <v>5.13</v>
      </c>
      <c r="R331" s="386">
        <v>4.08</v>
      </c>
      <c r="S331" s="386">
        <v>1.05</v>
      </c>
      <c r="T331" s="386"/>
      <c r="U331" s="386"/>
      <c r="V331" s="386"/>
      <c r="W331" s="386">
        <f>SUM(X331:AD331)</f>
        <v>138.3344</v>
      </c>
      <c r="X331" s="386">
        <v>10.23</v>
      </c>
      <c r="Y331" s="386">
        <v>15.8826</v>
      </c>
      <c r="Z331" s="386">
        <v>143</v>
      </c>
      <c r="AA331" s="386"/>
      <c r="AB331" s="386">
        <v>4.0718</v>
      </c>
      <c r="AC331" s="370">
        <f>0.15</f>
        <v>0.15</v>
      </c>
      <c r="AD331" s="370">
        <v>-35</v>
      </c>
      <c r="AE331" s="365">
        <f t="shared" si="228"/>
        <v>1024.1344</v>
      </c>
      <c r="AF331" s="366">
        <f t="shared" si="237"/>
        <v>56.67</v>
      </c>
      <c r="AG331" s="366">
        <f t="shared" si="238"/>
        <v>33.1</v>
      </c>
      <c r="AH331" s="366">
        <f t="shared" si="239"/>
        <v>21.15</v>
      </c>
      <c r="AI331" s="366">
        <f t="shared" si="240"/>
        <v>2.42</v>
      </c>
      <c r="AJ331" s="366">
        <f t="shared" si="241"/>
        <v>0</v>
      </c>
      <c r="AK331" s="366">
        <f t="shared" si="242"/>
        <v>0</v>
      </c>
      <c r="AL331" s="366">
        <f t="shared" si="243"/>
        <v>967.4644</v>
      </c>
      <c r="AM331" s="366">
        <f t="shared" si="244"/>
        <v>495.84</v>
      </c>
      <c r="AN331" s="366">
        <f t="shared" si="245"/>
        <v>15.8826</v>
      </c>
      <c r="AO331" s="366">
        <f t="shared" si="246"/>
        <v>143</v>
      </c>
      <c r="AP331" s="366">
        <f t="shared" si="247"/>
        <v>0</v>
      </c>
      <c r="AQ331" s="366">
        <f t="shared" si="248"/>
        <v>4.0718</v>
      </c>
      <c r="AR331" s="366">
        <f t="shared" si="249"/>
        <v>308.67</v>
      </c>
      <c r="AS331" s="366">
        <f t="shared" si="250"/>
        <v>0</v>
      </c>
      <c r="AT331" s="376" t="s">
        <v>797</v>
      </c>
      <c r="AU331">
        <v>4.0718</v>
      </c>
    </row>
    <row r="332" ht="24" spans="1:47">
      <c r="A332" s="284" t="s">
        <v>290</v>
      </c>
      <c r="B332" s="284" t="s">
        <v>196</v>
      </c>
      <c r="C332" s="284" t="s">
        <v>622</v>
      </c>
      <c r="D332" s="284" t="s">
        <v>620</v>
      </c>
      <c r="E332" s="365">
        <f t="shared" si="233"/>
        <v>264.17</v>
      </c>
      <c r="F332" s="365">
        <f t="shared" si="234"/>
        <v>125.97</v>
      </c>
      <c r="G332" s="365">
        <v>71.66</v>
      </c>
      <c r="H332" s="365">
        <v>48.34</v>
      </c>
      <c r="I332" s="365">
        <v>5.97</v>
      </c>
      <c r="J332" s="365"/>
      <c r="K332" s="365"/>
      <c r="L332" s="365">
        <f t="shared" si="235"/>
        <v>138.2</v>
      </c>
      <c r="M332" s="365"/>
      <c r="N332" s="386">
        <v>39.2</v>
      </c>
      <c r="O332" s="365">
        <v>99</v>
      </c>
      <c r="P332" s="365">
        <f t="shared" si="229"/>
        <v>-13.0893</v>
      </c>
      <c r="Q332" s="365">
        <f t="shared" si="236"/>
        <v>9.1984</v>
      </c>
      <c r="R332" s="386">
        <v>6.1984</v>
      </c>
      <c r="S332" s="386">
        <v>3</v>
      </c>
      <c r="T332" s="386"/>
      <c r="U332" s="386"/>
      <c r="V332" s="386"/>
      <c r="W332" s="386">
        <f>SUM(X332:AD332)</f>
        <v>-22.2877</v>
      </c>
      <c r="X332" s="386"/>
      <c r="Y332" s="386">
        <v>39.9327</v>
      </c>
      <c r="Z332" s="386">
        <v>26</v>
      </c>
      <c r="AA332" s="386"/>
      <c r="AB332" s="386">
        <v>9.8796</v>
      </c>
      <c r="AC332" s="386">
        <v>0.9</v>
      </c>
      <c r="AD332" s="370">
        <v>-99</v>
      </c>
      <c r="AE332" s="365">
        <f t="shared" si="228"/>
        <v>251.0807</v>
      </c>
      <c r="AF332" s="365">
        <f t="shared" si="237"/>
        <v>135.1684</v>
      </c>
      <c r="AG332" s="365">
        <f t="shared" si="238"/>
        <v>77.8584</v>
      </c>
      <c r="AH332" s="365">
        <f t="shared" si="239"/>
        <v>51.34</v>
      </c>
      <c r="AI332" s="365">
        <f t="shared" si="240"/>
        <v>5.97</v>
      </c>
      <c r="AJ332" s="365">
        <f t="shared" si="241"/>
        <v>0</v>
      </c>
      <c r="AK332" s="365">
        <f t="shared" si="242"/>
        <v>0</v>
      </c>
      <c r="AL332" s="365">
        <f t="shared" si="243"/>
        <v>115.9123</v>
      </c>
      <c r="AM332" s="365">
        <f t="shared" si="244"/>
        <v>0</v>
      </c>
      <c r="AN332" s="365">
        <f t="shared" si="245"/>
        <v>39.9327</v>
      </c>
      <c r="AO332" s="365">
        <f t="shared" si="246"/>
        <v>26</v>
      </c>
      <c r="AP332" s="365">
        <f t="shared" si="247"/>
        <v>0</v>
      </c>
      <c r="AQ332" s="365">
        <f t="shared" si="248"/>
        <v>9.8796</v>
      </c>
      <c r="AR332" s="365">
        <f t="shared" si="249"/>
        <v>40.1</v>
      </c>
      <c r="AS332" s="365">
        <f t="shared" si="250"/>
        <v>0</v>
      </c>
      <c r="AT332" s="363" t="s">
        <v>798</v>
      </c>
      <c r="AU332">
        <v>9.8796</v>
      </c>
    </row>
    <row r="333" ht="24" spans="1:47">
      <c r="A333" s="284" t="s">
        <v>290</v>
      </c>
      <c r="B333" s="284" t="s">
        <v>199</v>
      </c>
      <c r="C333" s="284" t="s">
        <v>623</v>
      </c>
      <c r="D333" s="284" t="s">
        <v>620</v>
      </c>
      <c r="E333" s="365">
        <f t="shared" si="233"/>
        <v>0</v>
      </c>
      <c r="F333" s="365">
        <f t="shared" si="234"/>
        <v>0</v>
      </c>
      <c r="G333" s="365"/>
      <c r="H333" s="365"/>
      <c r="I333" s="365"/>
      <c r="J333" s="365"/>
      <c r="K333" s="365"/>
      <c r="L333" s="365">
        <f t="shared" si="235"/>
        <v>0</v>
      </c>
      <c r="M333" s="365"/>
      <c r="N333" s="386"/>
      <c r="O333" s="365"/>
      <c r="P333" s="365">
        <f t="shared" si="229"/>
        <v>0</v>
      </c>
      <c r="Q333" s="365">
        <f t="shared" ref="Q333:Q344" si="251">SUM(R333:V333)</f>
        <v>0</v>
      </c>
      <c r="R333" s="365"/>
      <c r="S333" s="365"/>
      <c r="T333" s="365"/>
      <c r="U333" s="365"/>
      <c r="V333" s="365"/>
      <c r="W333" s="365">
        <f t="shared" ref="W333:W344" si="252">SUM(X333:AD333)</f>
        <v>0</v>
      </c>
      <c r="X333" s="365"/>
      <c r="Y333" s="365"/>
      <c r="Z333" s="365"/>
      <c r="AA333" s="365"/>
      <c r="AB333" s="365"/>
      <c r="AC333" s="386"/>
      <c r="AD333" s="366">
        <v>0</v>
      </c>
      <c r="AE333" s="365">
        <f t="shared" si="228"/>
        <v>0</v>
      </c>
      <c r="AF333" s="365">
        <f t="shared" si="237"/>
        <v>0</v>
      </c>
      <c r="AG333" s="365">
        <f t="shared" si="238"/>
        <v>0</v>
      </c>
      <c r="AH333" s="365">
        <f t="shared" si="239"/>
        <v>0</v>
      </c>
      <c r="AI333" s="365">
        <f t="shared" si="240"/>
        <v>0</v>
      </c>
      <c r="AJ333" s="365">
        <f t="shared" si="241"/>
        <v>0</v>
      </c>
      <c r="AK333" s="365">
        <f t="shared" si="242"/>
        <v>0</v>
      </c>
      <c r="AL333" s="365">
        <f t="shared" si="243"/>
        <v>0</v>
      </c>
      <c r="AM333" s="365">
        <f t="shared" si="244"/>
        <v>0</v>
      </c>
      <c r="AN333" s="365">
        <f t="shared" si="245"/>
        <v>0</v>
      </c>
      <c r="AO333" s="365">
        <f t="shared" si="246"/>
        <v>0</v>
      </c>
      <c r="AP333" s="365">
        <f t="shared" si="247"/>
        <v>0</v>
      </c>
      <c r="AQ333" s="365">
        <f t="shared" si="248"/>
        <v>0</v>
      </c>
      <c r="AR333" s="365">
        <f t="shared" si="249"/>
        <v>0</v>
      </c>
      <c r="AS333" s="365">
        <f t="shared" si="250"/>
        <v>0</v>
      </c>
      <c r="AT333" s="363"/>
      <c r="AU333">
        <v>12.5</v>
      </c>
    </row>
    <row r="334" ht="24" spans="1:47">
      <c r="A334" s="284" t="s">
        <v>290</v>
      </c>
      <c r="B334" s="284" t="s">
        <v>199</v>
      </c>
      <c r="C334" s="284" t="s">
        <v>624</v>
      </c>
      <c r="D334" s="284" t="s">
        <v>620</v>
      </c>
      <c r="E334" s="365">
        <f t="shared" si="233"/>
        <v>0</v>
      </c>
      <c r="F334" s="365">
        <f t="shared" si="234"/>
        <v>0</v>
      </c>
      <c r="G334" s="365"/>
      <c r="H334" s="365"/>
      <c r="I334" s="365"/>
      <c r="J334" s="365"/>
      <c r="K334" s="365"/>
      <c r="L334" s="365">
        <f t="shared" si="235"/>
        <v>0</v>
      </c>
      <c r="M334" s="365"/>
      <c r="N334" s="386"/>
      <c r="O334" s="365"/>
      <c r="P334" s="365">
        <f t="shared" si="229"/>
        <v>0</v>
      </c>
      <c r="Q334" s="365">
        <f t="shared" si="251"/>
        <v>0</v>
      </c>
      <c r="R334" s="365"/>
      <c r="S334" s="365"/>
      <c r="T334" s="365"/>
      <c r="U334" s="365"/>
      <c r="V334" s="365"/>
      <c r="W334" s="365">
        <f t="shared" si="252"/>
        <v>0</v>
      </c>
      <c r="X334" s="365"/>
      <c r="Y334" s="365"/>
      <c r="Z334" s="365"/>
      <c r="AA334" s="365"/>
      <c r="AB334" s="365"/>
      <c r="AC334" s="386"/>
      <c r="AD334" s="366">
        <v>0</v>
      </c>
      <c r="AE334" s="365">
        <f t="shared" si="228"/>
        <v>0</v>
      </c>
      <c r="AF334" s="365">
        <f t="shared" si="237"/>
        <v>0</v>
      </c>
      <c r="AG334" s="365">
        <f t="shared" si="238"/>
        <v>0</v>
      </c>
      <c r="AH334" s="365">
        <f t="shared" si="239"/>
        <v>0</v>
      </c>
      <c r="AI334" s="365">
        <f t="shared" si="240"/>
        <v>0</v>
      </c>
      <c r="AJ334" s="365">
        <f t="shared" si="241"/>
        <v>0</v>
      </c>
      <c r="AK334" s="365">
        <f t="shared" si="242"/>
        <v>0</v>
      </c>
      <c r="AL334" s="365">
        <f t="shared" si="243"/>
        <v>0</v>
      </c>
      <c r="AM334" s="365">
        <f t="shared" si="244"/>
        <v>0</v>
      </c>
      <c r="AN334" s="365">
        <f t="shared" si="245"/>
        <v>0</v>
      </c>
      <c r="AO334" s="365">
        <f t="shared" si="246"/>
        <v>0</v>
      </c>
      <c r="AP334" s="365">
        <f t="shared" si="247"/>
        <v>0</v>
      </c>
      <c r="AQ334" s="365">
        <f t="shared" si="248"/>
        <v>0</v>
      </c>
      <c r="AR334" s="365">
        <f t="shared" si="249"/>
        <v>0</v>
      </c>
      <c r="AS334" s="365">
        <f t="shared" si="250"/>
        <v>0</v>
      </c>
      <c r="AT334" s="363"/>
      <c r="AU334">
        <v>1.17</v>
      </c>
    </row>
    <row r="335" ht="24" spans="1:47">
      <c r="A335" s="284" t="s">
        <v>290</v>
      </c>
      <c r="B335" s="284" t="s">
        <v>199</v>
      </c>
      <c r="C335" s="284" t="s">
        <v>625</v>
      </c>
      <c r="D335" s="284" t="s">
        <v>620</v>
      </c>
      <c r="E335" s="365">
        <f t="shared" si="233"/>
        <v>0</v>
      </c>
      <c r="F335" s="365">
        <f t="shared" si="234"/>
        <v>0</v>
      </c>
      <c r="G335" s="365"/>
      <c r="H335" s="365"/>
      <c r="I335" s="365"/>
      <c r="J335" s="365"/>
      <c r="K335" s="365"/>
      <c r="L335" s="365">
        <f t="shared" si="235"/>
        <v>0</v>
      </c>
      <c r="M335" s="365"/>
      <c r="N335" s="386"/>
      <c r="O335" s="365"/>
      <c r="P335" s="365">
        <f t="shared" si="229"/>
        <v>0</v>
      </c>
      <c r="Q335" s="365">
        <f t="shared" si="251"/>
        <v>0</v>
      </c>
      <c r="R335" s="365"/>
      <c r="S335" s="365"/>
      <c r="T335" s="365"/>
      <c r="U335" s="365"/>
      <c r="V335" s="365"/>
      <c r="W335" s="365">
        <f t="shared" si="252"/>
        <v>0</v>
      </c>
      <c r="X335" s="365"/>
      <c r="Y335" s="365"/>
      <c r="Z335" s="365"/>
      <c r="AA335" s="365"/>
      <c r="AB335" s="365"/>
      <c r="AC335" s="386"/>
      <c r="AD335" s="366">
        <v>0</v>
      </c>
      <c r="AE335" s="365">
        <f t="shared" si="228"/>
        <v>0</v>
      </c>
      <c r="AF335" s="365">
        <f t="shared" si="237"/>
        <v>0</v>
      </c>
      <c r="AG335" s="365">
        <f t="shared" si="238"/>
        <v>0</v>
      </c>
      <c r="AH335" s="365">
        <f t="shared" si="239"/>
        <v>0</v>
      </c>
      <c r="AI335" s="365">
        <f t="shared" si="240"/>
        <v>0</v>
      </c>
      <c r="AJ335" s="365">
        <f t="shared" si="241"/>
        <v>0</v>
      </c>
      <c r="AK335" s="365">
        <f t="shared" si="242"/>
        <v>0</v>
      </c>
      <c r="AL335" s="365">
        <f t="shared" si="243"/>
        <v>0</v>
      </c>
      <c r="AM335" s="365">
        <f t="shared" si="244"/>
        <v>0</v>
      </c>
      <c r="AN335" s="365">
        <f t="shared" si="245"/>
        <v>0</v>
      </c>
      <c r="AO335" s="365">
        <f t="shared" si="246"/>
        <v>0</v>
      </c>
      <c r="AP335" s="365">
        <f t="shared" si="247"/>
        <v>0</v>
      </c>
      <c r="AQ335" s="365">
        <f t="shared" si="248"/>
        <v>0</v>
      </c>
      <c r="AR335" s="365">
        <f t="shared" si="249"/>
        <v>0</v>
      </c>
      <c r="AS335" s="365">
        <f t="shared" si="250"/>
        <v>0</v>
      </c>
      <c r="AT335" s="363"/>
      <c r="AU335">
        <v>2</v>
      </c>
    </row>
    <row r="336" ht="48" spans="1:47">
      <c r="A336" s="284" t="s">
        <v>290</v>
      </c>
      <c r="B336" s="284" t="s">
        <v>199</v>
      </c>
      <c r="C336" s="284" t="s">
        <v>626</v>
      </c>
      <c r="D336" s="284" t="s">
        <v>627</v>
      </c>
      <c r="E336" s="365">
        <f t="shared" si="233"/>
        <v>0</v>
      </c>
      <c r="F336" s="365">
        <f t="shared" si="234"/>
        <v>0</v>
      </c>
      <c r="G336" s="365"/>
      <c r="H336" s="365"/>
      <c r="I336" s="365"/>
      <c r="J336" s="365"/>
      <c r="K336" s="365"/>
      <c r="L336" s="365">
        <f t="shared" si="235"/>
        <v>0</v>
      </c>
      <c r="M336" s="365"/>
      <c r="N336" s="365"/>
      <c r="O336" s="365"/>
      <c r="P336" s="365">
        <f t="shared" si="229"/>
        <v>0</v>
      </c>
      <c r="Q336" s="365">
        <f t="shared" si="251"/>
        <v>0</v>
      </c>
      <c r="R336" s="365"/>
      <c r="S336" s="365"/>
      <c r="T336" s="365"/>
      <c r="U336" s="365"/>
      <c r="V336" s="365"/>
      <c r="W336" s="365">
        <f t="shared" si="252"/>
        <v>0</v>
      </c>
      <c r="X336" s="365"/>
      <c r="Y336" s="365"/>
      <c r="Z336" s="365"/>
      <c r="AA336" s="365"/>
      <c r="AB336" s="365"/>
      <c r="AC336" s="365"/>
      <c r="AD336" s="366">
        <v>0</v>
      </c>
      <c r="AE336" s="365">
        <f t="shared" si="228"/>
        <v>0</v>
      </c>
      <c r="AF336" s="365">
        <f t="shared" si="237"/>
        <v>0</v>
      </c>
      <c r="AG336" s="365">
        <f t="shared" si="238"/>
        <v>0</v>
      </c>
      <c r="AH336" s="365">
        <f t="shared" si="239"/>
        <v>0</v>
      </c>
      <c r="AI336" s="365">
        <f t="shared" si="240"/>
        <v>0</v>
      </c>
      <c r="AJ336" s="365">
        <f t="shared" si="241"/>
        <v>0</v>
      </c>
      <c r="AK336" s="365">
        <f t="shared" si="242"/>
        <v>0</v>
      </c>
      <c r="AL336" s="365">
        <f t="shared" si="243"/>
        <v>0</v>
      </c>
      <c r="AM336" s="365">
        <f t="shared" si="244"/>
        <v>0</v>
      </c>
      <c r="AN336" s="365">
        <f t="shared" si="245"/>
        <v>0</v>
      </c>
      <c r="AO336" s="365">
        <f t="shared" si="246"/>
        <v>0</v>
      </c>
      <c r="AP336" s="365">
        <f t="shared" si="247"/>
        <v>0</v>
      </c>
      <c r="AQ336" s="365">
        <f t="shared" si="248"/>
        <v>0</v>
      </c>
      <c r="AR336" s="365">
        <f t="shared" si="249"/>
        <v>0</v>
      </c>
      <c r="AS336" s="365">
        <f t="shared" si="250"/>
        <v>0</v>
      </c>
      <c r="AT336" s="363"/>
      <c r="AU336">
        <v>3</v>
      </c>
    </row>
    <row r="337" ht="48" spans="1:47">
      <c r="A337" s="284" t="s">
        <v>290</v>
      </c>
      <c r="B337" s="284" t="s">
        <v>199</v>
      </c>
      <c r="C337" s="284" t="s">
        <v>628</v>
      </c>
      <c r="D337" s="284" t="s">
        <v>629</v>
      </c>
      <c r="E337" s="365">
        <f t="shared" si="233"/>
        <v>0</v>
      </c>
      <c r="F337" s="365">
        <f t="shared" si="234"/>
        <v>0</v>
      </c>
      <c r="G337" s="365"/>
      <c r="H337" s="365"/>
      <c r="I337" s="365"/>
      <c r="J337" s="365"/>
      <c r="K337" s="365"/>
      <c r="L337" s="365">
        <f t="shared" si="235"/>
        <v>0</v>
      </c>
      <c r="M337" s="365"/>
      <c r="N337" s="365"/>
      <c r="O337" s="365"/>
      <c r="P337" s="365">
        <f t="shared" si="229"/>
        <v>0</v>
      </c>
      <c r="Q337" s="365">
        <f t="shared" si="251"/>
        <v>0</v>
      </c>
      <c r="R337" s="365"/>
      <c r="S337" s="365"/>
      <c r="T337" s="365"/>
      <c r="U337" s="365"/>
      <c r="V337" s="365"/>
      <c r="W337" s="365">
        <f t="shared" si="252"/>
        <v>0</v>
      </c>
      <c r="X337" s="365"/>
      <c r="Y337" s="365"/>
      <c r="Z337" s="365"/>
      <c r="AA337" s="365"/>
      <c r="AB337" s="365"/>
      <c r="AC337" s="365"/>
      <c r="AD337" s="366">
        <v>0</v>
      </c>
      <c r="AE337" s="365">
        <f t="shared" si="228"/>
        <v>0</v>
      </c>
      <c r="AF337" s="365">
        <f t="shared" si="237"/>
        <v>0</v>
      </c>
      <c r="AG337" s="365">
        <f t="shared" si="238"/>
        <v>0</v>
      </c>
      <c r="AH337" s="365">
        <f t="shared" si="239"/>
        <v>0</v>
      </c>
      <c r="AI337" s="365">
        <f t="shared" si="240"/>
        <v>0</v>
      </c>
      <c r="AJ337" s="365">
        <f t="shared" si="241"/>
        <v>0</v>
      </c>
      <c r="AK337" s="365">
        <f t="shared" si="242"/>
        <v>0</v>
      </c>
      <c r="AL337" s="365">
        <f t="shared" si="243"/>
        <v>0</v>
      </c>
      <c r="AM337" s="365">
        <f t="shared" si="244"/>
        <v>0</v>
      </c>
      <c r="AN337" s="365">
        <f t="shared" si="245"/>
        <v>0</v>
      </c>
      <c r="AO337" s="365">
        <f t="shared" si="246"/>
        <v>0</v>
      </c>
      <c r="AP337" s="365">
        <f t="shared" si="247"/>
        <v>0</v>
      </c>
      <c r="AQ337" s="365">
        <f t="shared" si="248"/>
        <v>0</v>
      </c>
      <c r="AR337" s="365">
        <f t="shared" si="249"/>
        <v>0</v>
      </c>
      <c r="AS337" s="365">
        <f t="shared" si="250"/>
        <v>0</v>
      </c>
      <c r="AT337" s="363"/>
      <c r="AU337">
        <v>1.5</v>
      </c>
    </row>
    <row r="338" ht="48" spans="1:47">
      <c r="A338" s="284" t="s">
        <v>290</v>
      </c>
      <c r="B338" s="284" t="s">
        <v>199</v>
      </c>
      <c r="C338" s="284" t="s">
        <v>630</v>
      </c>
      <c r="D338" s="284" t="s">
        <v>629</v>
      </c>
      <c r="E338" s="365">
        <f t="shared" si="233"/>
        <v>0</v>
      </c>
      <c r="F338" s="365">
        <f t="shared" si="234"/>
        <v>0</v>
      </c>
      <c r="G338" s="365"/>
      <c r="H338" s="365"/>
      <c r="I338" s="365"/>
      <c r="J338" s="365"/>
      <c r="K338" s="365"/>
      <c r="L338" s="365">
        <f t="shared" si="235"/>
        <v>0</v>
      </c>
      <c r="M338" s="365"/>
      <c r="N338" s="365"/>
      <c r="O338" s="365"/>
      <c r="P338" s="365">
        <f t="shared" si="229"/>
        <v>0</v>
      </c>
      <c r="Q338" s="365">
        <f t="shared" si="251"/>
        <v>0</v>
      </c>
      <c r="R338" s="365"/>
      <c r="S338" s="365"/>
      <c r="T338" s="365"/>
      <c r="U338" s="365"/>
      <c r="V338" s="365"/>
      <c r="W338" s="365">
        <f t="shared" si="252"/>
        <v>0</v>
      </c>
      <c r="X338" s="365"/>
      <c r="Y338" s="365"/>
      <c r="Z338" s="365"/>
      <c r="AA338" s="365"/>
      <c r="AB338" s="365"/>
      <c r="AC338" s="365"/>
      <c r="AD338" s="366">
        <v>0</v>
      </c>
      <c r="AE338" s="365">
        <f t="shared" si="228"/>
        <v>0</v>
      </c>
      <c r="AF338" s="365">
        <f t="shared" si="237"/>
        <v>0</v>
      </c>
      <c r="AG338" s="365">
        <f t="shared" si="238"/>
        <v>0</v>
      </c>
      <c r="AH338" s="365">
        <f t="shared" si="239"/>
        <v>0</v>
      </c>
      <c r="AI338" s="365">
        <f t="shared" si="240"/>
        <v>0</v>
      </c>
      <c r="AJ338" s="365">
        <f t="shared" si="241"/>
        <v>0</v>
      </c>
      <c r="AK338" s="365">
        <f t="shared" si="242"/>
        <v>0</v>
      </c>
      <c r="AL338" s="365">
        <f t="shared" si="243"/>
        <v>0</v>
      </c>
      <c r="AM338" s="365">
        <f t="shared" si="244"/>
        <v>0</v>
      </c>
      <c r="AN338" s="365">
        <f t="shared" si="245"/>
        <v>0</v>
      </c>
      <c r="AO338" s="365">
        <f t="shared" si="246"/>
        <v>0</v>
      </c>
      <c r="AP338" s="365">
        <f t="shared" si="247"/>
        <v>0</v>
      </c>
      <c r="AQ338" s="365">
        <f t="shared" si="248"/>
        <v>0</v>
      </c>
      <c r="AR338" s="365">
        <f t="shared" si="249"/>
        <v>0</v>
      </c>
      <c r="AS338" s="365">
        <f t="shared" si="250"/>
        <v>0</v>
      </c>
      <c r="AT338" s="363"/>
      <c r="AU338">
        <v>3.5417</v>
      </c>
    </row>
    <row r="339" ht="48" spans="1:47">
      <c r="A339" s="284" t="s">
        <v>290</v>
      </c>
      <c r="B339" s="284" t="s">
        <v>199</v>
      </c>
      <c r="C339" s="284" t="s">
        <v>631</v>
      </c>
      <c r="D339" s="284" t="s">
        <v>629</v>
      </c>
      <c r="E339" s="365">
        <f t="shared" si="233"/>
        <v>0</v>
      </c>
      <c r="F339" s="365">
        <f t="shared" si="234"/>
        <v>0</v>
      </c>
      <c r="G339" s="365"/>
      <c r="H339" s="365"/>
      <c r="I339" s="365"/>
      <c r="J339" s="365"/>
      <c r="K339" s="365"/>
      <c r="L339" s="365">
        <f t="shared" si="235"/>
        <v>0</v>
      </c>
      <c r="M339" s="365"/>
      <c r="N339" s="365"/>
      <c r="O339" s="365"/>
      <c r="P339" s="365">
        <f t="shared" si="229"/>
        <v>0</v>
      </c>
      <c r="Q339" s="365">
        <f t="shared" si="251"/>
        <v>0</v>
      </c>
      <c r="R339" s="365"/>
      <c r="S339" s="365"/>
      <c r="T339" s="365"/>
      <c r="U339" s="365"/>
      <c r="V339" s="365"/>
      <c r="W339" s="365">
        <f t="shared" si="252"/>
        <v>0</v>
      </c>
      <c r="X339" s="365"/>
      <c r="Y339" s="365"/>
      <c r="Z339" s="365"/>
      <c r="AA339" s="365"/>
      <c r="AB339" s="365"/>
      <c r="AC339" s="365"/>
      <c r="AD339" s="366">
        <v>0</v>
      </c>
      <c r="AE339" s="365">
        <f t="shared" si="228"/>
        <v>0</v>
      </c>
      <c r="AF339" s="365">
        <f t="shared" si="237"/>
        <v>0</v>
      </c>
      <c r="AG339" s="365">
        <f t="shared" si="238"/>
        <v>0</v>
      </c>
      <c r="AH339" s="365">
        <f t="shared" si="239"/>
        <v>0</v>
      </c>
      <c r="AI339" s="365">
        <f t="shared" si="240"/>
        <v>0</v>
      </c>
      <c r="AJ339" s="365">
        <f t="shared" si="241"/>
        <v>0</v>
      </c>
      <c r="AK339" s="365">
        <f t="shared" si="242"/>
        <v>0</v>
      </c>
      <c r="AL339" s="365">
        <f t="shared" si="243"/>
        <v>0</v>
      </c>
      <c r="AM339" s="365">
        <f t="shared" si="244"/>
        <v>0</v>
      </c>
      <c r="AN339" s="365">
        <f t="shared" si="245"/>
        <v>0</v>
      </c>
      <c r="AO339" s="365">
        <f t="shared" si="246"/>
        <v>0</v>
      </c>
      <c r="AP339" s="365">
        <f t="shared" si="247"/>
        <v>0</v>
      </c>
      <c r="AQ339" s="365">
        <f t="shared" si="248"/>
        <v>0</v>
      </c>
      <c r="AR339" s="365">
        <f t="shared" si="249"/>
        <v>0</v>
      </c>
      <c r="AS339" s="365">
        <f t="shared" si="250"/>
        <v>0</v>
      </c>
      <c r="AT339" s="363"/>
      <c r="AU339">
        <v>3</v>
      </c>
    </row>
    <row r="340" ht="36" spans="1:47">
      <c r="A340" s="284" t="s">
        <v>290</v>
      </c>
      <c r="B340" s="284" t="s">
        <v>199</v>
      </c>
      <c r="C340" s="284" t="s">
        <v>632</v>
      </c>
      <c r="D340" s="284" t="s">
        <v>633</v>
      </c>
      <c r="E340" s="365">
        <f t="shared" si="233"/>
        <v>0</v>
      </c>
      <c r="F340" s="365">
        <f t="shared" si="234"/>
        <v>0</v>
      </c>
      <c r="G340" s="365"/>
      <c r="H340" s="365"/>
      <c r="I340" s="365"/>
      <c r="J340" s="365"/>
      <c r="K340" s="365"/>
      <c r="L340" s="365">
        <f t="shared" si="235"/>
        <v>0</v>
      </c>
      <c r="M340" s="365"/>
      <c r="N340" s="365"/>
      <c r="O340" s="365"/>
      <c r="P340" s="365">
        <f t="shared" si="229"/>
        <v>0</v>
      </c>
      <c r="Q340" s="365">
        <f t="shared" si="251"/>
        <v>0</v>
      </c>
      <c r="R340" s="365"/>
      <c r="S340" s="365"/>
      <c r="T340" s="365"/>
      <c r="U340" s="365"/>
      <c r="V340" s="365"/>
      <c r="W340" s="365">
        <f t="shared" si="252"/>
        <v>0</v>
      </c>
      <c r="X340" s="365"/>
      <c r="Y340" s="365"/>
      <c r="Z340" s="365"/>
      <c r="AA340" s="365"/>
      <c r="AB340" s="365"/>
      <c r="AC340" s="365"/>
      <c r="AD340" s="366">
        <v>0</v>
      </c>
      <c r="AE340" s="365">
        <f t="shared" si="228"/>
        <v>0</v>
      </c>
      <c r="AF340" s="365">
        <f t="shared" si="237"/>
        <v>0</v>
      </c>
      <c r="AG340" s="365">
        <f t="shared" si="238"/>
        <v>0</v>
      </c>
      <c r="AH340" s="365">
        <f t="shared" si="239"/>
        <v>0</v>
      </c>
      <c r="AI340" s="365">
        <f t="shared" si="240"/>
        <v>0</v>
      </c>
      <c r="AJ340" s="365">
        <f t="shared" si="241"/>
        <v>0</v>
      </c>
      <c r="AK340" s="365">
        <f t="shared" si="242"/>
        <v>0</v>
      </c>
      <c r="AL340" s="365">
        <f t="shared" si="243"/>
        <v>0</v>
      </c>
      <c r="AM340" s="365">
        <f t="shared" si="244"/>
        <v>0</v>
      </c>
      <c r="AN340" s="365">
        <f t="shared" si="245"/>
        <v>0</v>
      </c>
      <c r="AO340" s="365">
        <f t="shared" si="246"/>
        <v>0</v>
      </c>
      <c r="AP340" s="365">
        <f t="shared" si="247"/>
        <v>0</v>
      </c>
      <c r="AQ340" s="365">
        <f t="shared" si="248"/>
        <v>0</v>
      </c>
      <c r="AR340" s="365">
        <f t="shared" si="249"/>
        <v>0</v>
      </c>
      <c r="AS340" s="365">
        <f t="shared" si="250"/>
        <v>0</v>
      </c>
      <c r="AT340" s="363"/>
      <c r="AU340">
        <v>7.0517</v>
      </c>
    </row>
    <row r="341" ht="36" spans="1:47">
      <c r="A341" s="284" t="s">
        <v>290</v>
      </c>
      <c r="B341" s="284" t="s">
        <v>199</v>
      </c>
      <c r="C341" s="284" t="s">
        <v>634</v>
      </c>
      <c r="D341" s="284" t="s">
        <v>635</v>
      </c>
      <c r="E341" s="365">
        <f t="shared" si="233"/>
        <v>0</v>
      </c>
      <c r="F341" s="365">
        <f t="shared" si="234"/>
        <v>0</v>
      </c>
      <c r="G341" s="365"/>
      <c r="H341" s="365"/>
      <c r="I341" s="365"/>
      <c r="J341" s="365"/>
      <c r="K341" s="365"/>
      <c r="L341" s="365">
        <f t="shared" si="235"/>
        <v>0</v>
      </c>
      <c r="M341" s="365"/>
      <c r="N341" s="365"/>
      <c r="O341" s="365"/>
      <c r="P341" s="365">
        <f t="shared" si="229"/>
        <v>0</v>
      </c>
      <c r="Q341" s="365">
        <f t="shared" si="251"/>
        <v>0</v>
      </c>
      <c r="R341" s="365"/>
      <c r="S341" s="365"/>
      <c r="T341" s="365"/>
      <c r="U341" s="365"/>
      <c r="V341" s="365"/>
      <c r="W341" s="365">
        <f t="shared" si="252"/>
        <v>0</v>
      </c>
      <c r="X341" s="365"/>
      <c r="Y341" s="365"/>
      <c r="Z341" s="365"/>
      <c r="AA341" s="365"/>
      <c r="AB341" s="365"/>
      <c r="AC341" s="365"/>
      <c r="AD341" s="366">
        <v>0</v>
      </c>
      <c r="AE341" s="365">
        <f t="shared" si="228"/>
        <v>0</v>
      </c>
      <c r="AF341" s="365">
        <f t="shared" si="237"/>
        <v>0</v>
      </c>
      <c r="AG341" s="365">
        <f t="shared" si="238"/>
        <v>0</v>
      </c>
      <c r="AH341" s="365">
        <f t="shared" si="239"/>
        <v>0</v>
      </c>
      <c r="AI341" s="365">
        <f t="shared" si="240"/>
        <v>0</v>
      </c>
      <c r="AJ341" s="365">
        <f t="shared" si="241"/>
        <v>0</v>
      </c>
      <c r="AK341" s="365">
        <f t="shared" si="242"/>
        <v>0</v>
      </c>
      <c r="AL341" s="365">
        <f t="shared" si="243"/>
        <v>0</v>
      </c>
      <c r="AM341" s="365">
        <f t="shared" si="244"/>
        <v>0</v>
      </c>
      <c r="AN341" s="365">
        <f t="shared" si="245"/>
        <v>0</v>
      </c>
      <c r="AO341" s="365">
        <f t="shared" si="246"/>
        <v>0</v>
      </c>
      <c r="AP341" s="365">
        <f t="shared" si="247"/>
        <v>0</v>
      </c>
      <c r="AQ341" s="365">
        <f t="shared" si="248"/>
        <v>0</v>
      </c>
      <c r="AR341" s="365">
        <f t="shared" si="249"/>
        <v>0</v>
      </c>
      <c r="AS341" s="365">
        <f t="shared" si="250"/>
        <v>0</v>
      </c>
      <c r="AT341" s="363"/>
      <c r="AU341">
        <v>8.755</v>
      </c>
    </row>
    <row r="342" ht="36" spans="1:47">
      <c r="A342" s="284" t="s">
        <v>290</v>
      </c>
      <c r="B342" s="284" t="s">
        <v>199</v>
      </c>
      <c r="C342" s="284" t="s">
        <v>636</v>
      </c>
      <c r="D342" s="284" t="s">
        <v>635</v>
      </c>
      <c r="E342" s="365">
        <f t="shared" si="233"/>
        <v>0</v>
      </c>
      <c r="F342" s="365">
        <f t="shared" si="234"/>
        <v>0</v>
      </c>
      <c r="G342" s="365"/>
      <c r="H342" s="365"/>
      <c r="I342" s="365"/>
      <c r="J342" s="365"/>
      <c r="K342" s="365"/>
      <c r="L342" s="365">
        <f t="shared" si="235"/>
        <v>0</v>
      </c>
      <c r="M342" s="365"/>
      <c r="N342" s="365"/>
      <c r="O342" s="365"/>
      <c r="P342" s="365">
        <f t="shared" si="229"/>
        <v>0</v>
      </c>
      <c r="Q342" s="365">
        <f t="shared" si="251"/>
        <v>0</v>
      </c>
      <c r="R342" s="365"/>
      <c r="S342" s="365"/>
      <c r="T342" s="365"/>
      <c r="U342" s="365"/>
      <c r="V342" s="365"/>
      <c r="W342" s="365">
        <f t="shared" si="252"/>
        <v>0</v>
      </c>
      <c r="X342" s="365"/>
      <c r="Y342" s="365"/>
      <c r="Z342" s="365"/>
      <c r="AA342" s="365"/>
      <c r="AB342" s="365"/>
      <c r="AC342" s="365"/>
      <c r="AD342" s="366">
        <v>0</v>
      </c>
      <c r="AE342" s="365">
        <f t="shared" si="228"/>
        <v>0</v>
      </c>
      <c r="AF342" s="365">
        <f t="shared" si="237"/>
        <v>0</v>
      </c>
      <c r="AG342" s="365">
        <f t="shared" si="238"/>
        <v>0</v>
      </c>
      <c r="AH342" s="365">
        <f t="shared" si="239"/>
        <v>0</v>
      </c>
      <c r="AI342" s="365">
        <f t="shared" si="240"/>
        <v>0</v>
      </c>
      <c r="AJ342" s="365">
        <f t="shared" si="241"/>
        <v>0</v>
      </c>
      <c r="AK342" s="365">
        <f t="shared" si="242"/>
        <v>0</v>
      </c>
      <c r="AL342" s="365">
        <f t="shared" si="243"/>
        <v>0</v>
      </c>
      <c r="AM342" s="365">
        <f t="shared" si="244"/>
        <v>0</v>
      </c>
      <c r="AN342" s="365">
        <f t="shared" si="245"/>
        <v>0</v>
      </c>
      <c r="AO342" s="365">
        <f t="shared" si="246"/>
        <v>0</v>
      </c>
      <c r="AP342" s="365">
        <f t="shared" si="247"/>
        <v>0</v>
      </c>
      <c r="AQ342" s="365">
        <f t="shared" si="248"/>
        <v>0</v>
      </c>
      <c r="AR342" s="365">
        <f t="shared" si="249"/>
        <v>0</v>
      </c>
      <c r="AS342" s="365">
        <f t="shared" si="250"/>
        <v>0</v>
      </c>
      <c r="AT342" s="363"/>
      <c r="AU342">
        <v>3.68</v>
      </c>
    </row>
    <row r="343" ht="36" spans="1:47">
      <c r="A343" s="284" t="s">
        <v>290</v>
      </c>
      <c r="B343" s="284" t="s">
        <v>199</v>
      </c>
      <c r="C343" s="284" t="s">
        <v>637</v>
      </c>
      <c r="D343" s="284" t="s">
        <v>638</v>
      </c>
      <c r="E343" s="365">
        <f t="shared" si="233"/>
        <v>0</v>
      </c>
      <c r="F343" s="365">
        <f t="shared" si="234"/>
        <v>0</v>
      </c>
      <c r="G343" s="365"/>
      <c r="H343" s="365"/>
      <c r="I343" s="365"/>
      <c r="J343" s="365"/>
      <c r="K343" s="365"/>
      <c r="L343" s="365">
        <f t="shared" si="235"/>
        <v>0</v>
      </c>
      <c r="M343" s="365"/>
      <c r="N343" s="365"/>
      <c r="O343" s="365"/>
      <c r="P343" s="365">
        <f t="shared" si="229"/>
        <v>0</v>
      </c>
      <c r="Q343" s="365">
        <f t="shared" si="251"/>
        <v>0</v>
      </c>
      <c r="R343" s="365"/>
      <c r="S343" s="365"/>
      <c r="T343" s="365"/>
      <c r="U343" s="365"/>
      <c r="V343" s="365"/>
      <c r="W343" s="365">
        <f t="shared" si="252"/>
        <v>0</v>
      </c>
      <c r="X343" s="365"/>
      <c r="Y343" s="365"/>
      <c r="Z343" s="365"/>
      <c r="AA343" s="365"/>
      <c r="AB343" s="365"/>
      <c r="AC343" s="365"/>
      <c r="AD343" s="366">
        <v>0</v>
      </c>
      <c r="AE343" s="365">
        <f t="shared" si="228"/>
        <v>0</v>
      </c>
      <c r="AF343" s="365">
        <f t="shared" si="237"/>
        <v>0</v>
      </c>
      <c r="AG343" s="365">
        <f t="shared" si="238"/>
        <v>0</v>
      </c>
      <c r="AH343" s="365">
        <f t="shared" si="239"/>
        <v>0</v>
      </c>
      <c r="AI343" s="365">
        <f t="shared" si="240"/>
        <v>0</v>
      </c>
      <c r="AJ343" s="365">
        <f t="shared" si="241"/>
        <v>0</v>
      </c>
      <c r="AK343" s="365">
        <f t="shared" si="242"/>
        <v>0</v>
      </c>
      <c r="AL343" s="365">
        <f t="shared" si="243"/>
        <v>0</v>
      </c>
      <c r="AM343" s="365">
        <f t="shared" si="244"/>
        <v>0</v>
      </c>
      <c r="AN343" s="365">
        <f t="shared" si="245"/>
        <v>0</v>
      </c>
      <c r="AO343" s="365">
        <f t="shared" si="246"/>
        <v>0</v>
      </c>
      <c r="AP343" s="365">
        <f t="shared" si="247"/>
        <v>0</v>
      </c>
      <c r="AQ343" s="365">
        <f t="shared" si="248"/>
        <v>0</v>
      </c>
      <c r="AR343" s="365">
        <f t="shared" si="249"/>
        <v>0</v>
      </c>
      <c r="AS343" s="365">
        <f t="shared" si="250"/>
        <v>0</v>
      </c>
      <c r="AT343" s="363"/>
      <c r="AU343">
        <v>1.5</v>
      </c>
    </row>
    <row r="344" ht="36" spans="1:47">
      <c r="A344" s="284" t="s">
        <v>290</v>
      </c>
      <c r="B344" s="284" t="s">
        <v>199</v>
      </c>
      <c r="C344" s="284" t="s">
        <v>639</v>
      </c>
      <c r="D344" s="284" t="s">
        <v>638</v>
      </c>
      <c r="E344" s="365">
        <f t="shared" si="233"/>
        <v>0</v>
      </c>
      <c r="F344" s="365">
        <f t="shared" si="234"/>
        <v>0</v>
      </c>
      <c r="G344" s="365"/>
      <c r="H344" s="365"/>
      <c r="I344" s="365"/>
      <c r="J344" s="365"/>
      <c r="K344" s="365"/>
      <c r="L344" s="365">
        <f t="shared" si="235"/>
        <v>0</v>
      </c>
      <c r="M344" s="365"/>
      <c r="N344" s="365"/>
      <c r="O344" s="365"/>
      <c r="P344" s="365">
        <f t="shared" si="229"/>
        <v>0</v>
      </c>
      <c r="Q344" s="365">
        <f t="shared" si="251"/>
        <v>0</v>
      </c>
      <c r="R344" s="365"/>
      <c r="S344" s="365"/>
      <c r="T344" s="365"/>
      <c r="U344" s="365"/>
      <c r="V344" s="365"/>
      <c r="W344" s="365">
        <f t="shared" si="252"/>
        <v>0</v>
      </c>
      <c r="X344" s="365"/>
      <c r="Y344" s="365"/>
      <c r="Z344" s="365"/>
      <c r="AA344" s="365"/>
      <c r="AB344" s="365"/>
      <c r="AC344" s="365"/>
      <c r="AD344" s="366">
        <v>0</v>
      </c>
      <c r="AE344" s="365">
        <f t="shared" si="228"/>
        <v>0</v>
      </c>
      <c r="AF344" s="365">
        <f t="shared" si="237"/>
        <v>0</v>
      </c>
      <c r="AG344" s="365">
        <f t="shared" si="238"/>
        <v>0</v>
      </c>
      <c r="AH344" s="365">
        <f t="shared" si="239"/>
        <v>0</v>
      </c>
      <c r="AI344" s="365">
        <f t="shared" si="240"/>
        <v>0</v>
      </c>
      <c r="AJ344" s="365">
        <f t="shared" si="241"/>
        <v>0</v>
      </c>
      <c r="AK344" s="365">
        <f t="shared" si="242"/>
        <v>0</v>
      </c>
      <c r="AL344" s="365">
        <f t="shared" si="243"/>
        <v>0</v>
      </c>
      <c r="AM344" s="365">
        <f t="shared" si="244"/>
        <v>0</v>
      </c>
      <c r="AN344" s="365">
        <f t="shared" si="245"/>
        <v>0</v>
      </c>
      <c r="AO344" s="365">
        <f t="shared" si="246"/>
        <v>0</v>
      </c>
      <c r="AP344" s="365">
        <f t="shared" si="247"/>
        <v>0</v>
      </c>
      <c r="AQ344" s="365">
        <f t="shared" si="248"/>
        <v>0</v>
      </c>
      <c r="AR344" s="365">
        <f t="shared" si="249"/>
        <v>0</v>
      </c>
      <c r="AS344" s="365">
        <f t="shared" si="250"/>
        <v>0</v>
      </c>
      <c r="AT344" s="363"/>
      <c r="AU344">
        <v>4.36</v>
      </c>
    </row>
    <row r="345" s="311" customFormat="1" ht="21" customHeight="1" spans="1:47">
      <c r="A345" s="329"/>
      <c r="B345" s="329" t="s">
        <v>752</v>
      </c>
      <c r="C345" s="329" t="s">
        <v>141</v>
      </c>
      <c r="D345" s="329">
        <v>213</v>
      </c>
      <c r="E345" s="364">
        <f t="shared" ref="E345:O345" si="253">SUM(E346:E389)</f>
        <v>1096.27</v>
      </c>
      <c r="F345" s="364">
        <f t="shared" si="253"/>
        <v>689.73</v>
      </c>
      <c r="G345" s="364">
        <f t="shared" si="253"/>
        <v>389.13</v>
      </c>
      <c r="H345" s="364">
        <f t="shared" si="253"/>
        <v>266.9</v>
      </c>
      <c r="I345" s="364">
        <f t="shared" si="253"/>
        <v>32.91</v>
      </c>
      <c r="J345" s="364">
        <f t="shared" si="253"/>
        <v>0</v>
      </c>
      <c r="K345" s="364">
        <f t="shared" si="253"/>
        <v>0.79</v>
      </c>
      <c r="L345" s="364">
        <f t="shared" si="253"/>
        <v>406.54</v>
      </c>
      <c r="M345" s="364">
        <f t="shared" si="253"/>
        <v>49.54</v>
      </c>
      <c r="N345" s="364">
        <f t="shared" si="253"/>
        <v>0</v>
      </c>
      <c r="O345" s="364">
        <f t="shared" si="253"/>
        <v>357</v>
      </c>
      <c r="P345" s="364">
        <f t="shared" si="229"/>
        <v>132.53432</v>
      </c>
      <c r="Q345" s="364">
        <f t="shared" ref="Q345:AD345" si="254">SUM(Q346:Q389)</f>
        <v>44.2249</v>
      </c>
      <c r="R345" s="364">
        <f t="shared" si="254"/>
        <v>54.8547</v>
      </c>
      <c r="S345" s="364">
        <f t="shared" si="254"/>
        <v>-11.5386</v>
      </c>
      <c r="T345" s="364">
        <f t="shared" si="254"/>
        <v>2.0088</v>
      </c>
      <c r="U345" s="364">
        <f t="shared" si="254"/>
        <v>-0.51</v>
      </c>
      <c r="V345" s="364">
        <f t="shared" si="254"/>
        <v>-0.59</v>
      </c>
      <c r="W345" s="364">
        <f t="shared" si="254"/>
        <v>88.30942</v>
      </c>
      <c r="X345" s="364">
        <f t="shared" si="254"/>
        <v>0</v>
      </c>
      <c r="Y345" s="364">
        <f t="shared" si="254"/>
        <v>255.16692</v>
      </c>
      <c r="Z345" s="364">
        <f t="shared" si="254"/>
        <v>82</v>
      </c>
      <c r="AA345" s="364">
        <f t="shared" si="254"/>
        <v>0</v>
      </c>
      <c r="AB345" s="364">
        <f t="shared" si="254"/>
        <v>100.8425</v>
      </c>
      <c r="AC345" s="364">
        <f t="shared" si="254"/>
        <v>7.3</v>
      </c>
      <c r="AD345" s="364">
        <f t="shared" si="254"/>
        <v>-357</v>
      </c>
      <c r="AE345" s="364">
        <f t="shared" si="228"/>
        <v>1228.80432</v>
      </c>
      <c r="AF345" s="364">
        <f t="shared" ref="AF345:AS345" si="255">SUM(AF346:AF389)</f>
        <v>733.9549</v>
      </c>
      <c r="AG345" s="364">
        <f t="shared" si="255"/>
        <v>443.9847</v>
      </c>
      <c r="AH345" s="364">
        <f t="shared" si="255"/>
        <v>255.3614</v>
      </c>
      <c r="AI345" s="364">
        <f t="shared" si="255"/>
        <v>34.9188</v>
      </c>
      <c r="AJ345" s="364">
        <f t="shared" si="255"/>
        <v>-0.51</v>
      </c>
      <c r="AK345" s="364">
        <f t="shared" si="255"/>
        <v>0.2</v>
      </c>
      <c r="AL345" s="364">
        <f t="shared" si="255"/>
        <v>494.84942</v>
      </c>
      <c r="AM345" s="364">
        <f t="shared" si="255"/>
        <v>49.54</v>
      </c>
      <c r="AN345" s="364">
        <f t="shared" si="255"/>
        <v>255.16692</v>
      </c>
      <c r="AO345" s="364">
        <f t="shared" si="255"/>
        <v>82</v>
      </c>
      <c r="AP345" s="364">
        <f t="shared" si="255"/>
        <v>0</v>
      </c>
      <c r="AQ345" s="364">
        <f t="shared" si="255"/>
        <v>100.8425</v>
      </c>
      <c r="AR345" s="364">
        <f t="shared" si="255"/>
        <v>7.3</v>
      </c>
      <c r="AS345" s="364">
        <f t="shared" si="255"/>
        <v>0</v>
      </c>
      <c r="AT345" s="372"/>
      <c r="AU345" s="373"/>
    </row>
    <row r="346" ht="36" spans="1:47">
      <c r="A346" s="284" t="s">
        <v>640</v>
      </c>
      <c r="B346" s="284" t="s">
        <v>196</v>
      </c>
      <c r="C346" s="284" t="s">
        <v>641</v>
      </c>
      <c r="D346" s="284" t="s">
        <v>642</v>
      </c>
      <c r="E346" s="365">
        <f t="shared" ref="E346:E389" si="256">F346+L346</f>
        <v>302.44</v>
      </c>
      <c r="F346" s="365">
        <f t="shared" ref="F346:F389" si="257">SUM(G346:K346)</f>
        <v>198.53</v>
      </c>
      <c r="G346" s="365">
        <v>113.23</v>
      </c>
      <c r="H346" s="365">
        <v>74.66</v>
      </c>
      <c r="I346" s="365">
        <v>9.85</v>
      </c>
      <c r="J346" s="365"/>
      <c r="K346" s="365">
        <v>0.79</v>
      </c>
      <c r="L346" s="365">
        <f t="shared" ref="L346:L389" si="258">SUM(M346:O346)</f>
        <v>103.91</v>
      </c>
      <c r="M346" s="365">
        <v>9.91</v>
      </c>
      <c r="N346" s="365"/>
      <c r="O346" s="366">
        <v>94</v>
      </c>
      <c r="P346" s="365">
        <f t="shared" si="229"/>
        <v>-8.62649999999999</v>
      </c>
      <c r="Q346" s="365">
        <f t="shared" ref="Q346:Q389" si="259">SUM(R346:V346)</f>
        <v>-27.59</v>
      </c>
      <c r="R346" s="365">
        <v>-10.4</v>
      </c>
      <c r="S346" s="365">
        <v>-15.74</v>
      </c>
      <c r="T346" s="365">
        <v>-0.86</v>
      </c>
      <c r="U346" s="365"/>
      <c r="V346" s="365">
        <v>-0.59</v>
      </c>
      <c r="W346" s="365">
        <f t="shared" ref="W346:W389" si="260">SUM(X346:AD346)</f>
        <v>18.9635</v>
      </c>
      <c r="X346" s="365"/>
      <c r="Y346" s="365">
        <v>58.3943</v>
      </c>
      <c r="Z346" s="365">
        <v>24</v>
      </c>
      <c r="AA346" s="365"/>
      <c r="AB346" s="365">
        <v>24.9192</v>
      </c>
      <c r="AC346" s="365">
        <f>1.6+4.05</f>
        <v>5.65</v>
      </c>
      <c r="AD346" s="366">
        <v>-94</v>
      </c>
      <c r="AE346" s="365">
        <f t="shared" si="228"/>
        <v>293.8135</v>
      </c>
      <c r="AF346" s="365">
        <f t="shared" ref="AF346:AF389" si="261">SUM(AG346:AK346)</f>
        <v>170.94</v>
      </c>
      <c r="AG346" s="365">
        <f t="shared" ref="AG346:AG389" si="262">G346+R346</f>
        <v>102.83</v>
      </c>
      <c r="AH346" s="365">
        <f t="shared" ref="AH346:AH389" si="263">H346+S346</f>
        <v>58.92</v>
      </c>
      <c r="AI346" s="365">
        <f t="shared" ref="AI346:AI389" si="264">I346+T346</f>
        <v>8.99</v>
      </c>
      <c r="AJ346" s="365">
        <f t="shared" ref="AJ346:AJ389" si="265">J346+U346</f>
        <v>0</v>
      </c>
      <c r="AK346" s="365">
        <f t="shared" ref="AK346:AK389" si="266">K346+V346</f>
        <v>0.2</v>
      </c>
      <c r="AL346" s="365">
        <f t="shared" ref="AL346:AL389" si="267">SUM(AM346:AS346)</f>
        <v>122.8735</v>
      </c>
      <c r="AM346" s="365">
        <f t="shared" ref="AM346:AM389" si="268">M346+X346</f>
        <v>9.91</v>
      </c>
      <c r="AN346" s="365">
        <f t="shared" ref="AN346:AN389" si="269">Y346</f>
        <v>58.3943</v>
      </c>
      <c r="AO346" s="365">
        <f t="shared" ref="AO346:AO389" si="270">Z346</f>
        <v>24</v>
      </c>
      <c r="AP346" s="365">
        <f t="shared" ref="AP346:AP389" si="271">AA346</f>
        <v>0</v>
      </c>
      <c r="AQ346" s="365">
        <f t="shared" ref="AQ346:AQ389" si="272">AB346</f>
        <v>24.9192</v>
      </c>
      <c r="AR346" s="365">
        <f t="shared" ref="AR346:AR389" si="273">N346+AC346</f>
        <v>5.65</v>
      </c>
      <c r="AS346" s="365">
        <f t="shared" ref="AS346:AS389" si="274">O346+AD346</f>
        <v>0</v>
      </c>
      <c r="AT346" s="363" t="s">
        <v>799</v>
      </c>
      <c r="AU346">
        <v>24.9192</v>
      </c>
    </row>
    <row r="347" ht="24" spans="1:47">
      <c r="A347" s="284" t="s">
        <v>640</v>
      </c>
      <c r="B347" s="284" t="s">
        <v>196</v>
      </c>
      <c r="C347" s="284" t="s">
        <v>643</v>
      </c>
      <c r="D347" s="284" t="s">
        <v>642</v>
      </c>
      <c r="E347" s="365">
        <f t="shared" si="256"/>
        <v>151.67</v>
      </c>
      <c r="F347" s="365">
        <f t="shared" si="257"/>
        <v>85.19</v>
      </c>
      <c r="G347" s="365">
        <v>47.96</v>
      </c>
      <c r="H347" s="365">
        <v>33.23</v>
      </c>
      <c r="I347" s="365">
        <v>4</v>
      </c>
      <c r="J347" s="365"/>
      <c r="K347" s="365"/>
      <c r="L347" s="365">
        <f t="shared" si="258"/>
        <v>66.48</v>
      </c>
      <c r="M347" s="365">
        <v>2.48</v>
      </c>
      <c r="N347" s="365"/>
      <c r="O347" s="365">
        <v>64</v>
      </c>
      <c r="P347" s="365">
        <f t="shared" si="229"/>
        <v>2.78912</v>
      </c>
      <c r="Q347" s="365">
        <f t="shared" si="259"/>
        <v>8.3531</v>
      </c>
      <c r="R347" s="365">
        <v>7.25</v>
      </c>
      <c r="S347" s="365">
        <v>0.77</v>
      </c>
      <c r="T347" s="365">
        <v>0.3331</v>
      </c>
      <c r="U347" s="365"/>
      <c r="V347" s="365"/>
      <c r="W347" s="365">
        <f t="shared" si="260"/>
        <v>-5.56398</v>
      </c>
      <c r="X347" s="365"/>
      <c r="Y347" s="365">
        <v>34.92822</v>
      </c>
      <c r="Z347" s="365">
        <v>11</v>
      </c>
      <c r="AA347" s="365"/>
      <c r="AB347" s="365">
        <v>12.2078</v>
      </c>
      <c r="AC347" s="365">
        <v>0.3</v>
      </c>
      <c r="AD347" s="366">
        <v>-64</v>
      </c>
      <c r="AE347" s="365">
        <f t="shared" si="228"/>
        <v>154.45912</v>
      </c>
      <c r="AF347" s="365">
        <f t="shared" si="261"/>
        <v>93.5431</v>
      </c>
      <c r="AG347" s="365">
        <f t="shared" si="262"/>
        <v>55.21</v>
      </c>
      <c r="AH347" s="365">
        <f t="shared" si="263"/>
        <v>34</v>
      </c>
      <c r="AI347" s="365">
        <f t="shared" si="264"/>
        <v>4.3331</v>
      </c>
      <c r="AJ347" s="365">
        <f t="shared" si="265"/>
        <v>0</v>
      </c>
      <c r="AK347" s="365">
        <f t="shared" si="266"/>
        <v>0</v>
      </c>
      <c r="AL347" s="365">
        <f t="shared" si="267"/>
        <v>60.91602</v>
      </c>
      <c r="AM347" s="365">
        <f t="shared" si="268"/>
        <v>2.48</v>
      </c>
      <c r="AN347" s="365">
        <f t="shared" si="269"/>
        <v>34.92822</v>
      </c>
      <c r="AO347" s="365">
        <f t="shared" si="270"/>
        <v>11</v>
      </c>
      <c r="AP347" s="365">
        <f t="shared" si="271"/>
        <v>0</v>
      </c>
      <c r="AQ347" s="365">
        <f t="shared" si="272"/>
        <v>12.2078</v>
      </c>
      <c r="AR347" s="365">
        <f t="shared" si="273"/>
        <v>0.3</v>
      </c>
      <c r="AS347" s="365">
        <f t="shared" si="274"/>
        <v>0</v>
      </c>
      <c r="AT347" s="363" t="s">
        <v>800</v>
      </c>
      <c r="AU347">
        <v>12.2078</v>
      </c>
    </row>
    <row r="348" ht="24" spans="1:47">
      <c r="A348" s="284" t="s">
        <v>640</v>
      </c>
      <c r="B348" s="284" t="s">
        <v>196</v>
      </c>
      <c r="C348" s="284" t="s">
        <v>644</v>
      </c>
      <c r="D348" s="284" t="s">
        <v>642</v>
      </c>
      <c r="E348" s="365">
        <f t="shared" si="256"/>
        <v>20.1</v>
      </c>
      <c r="F348" s="365">
        <f t="shared" si="257"/>
        <v>10.1</v>
      </c>
      <c r="G348" s="365">
        <v>5.26</v>
      </c>
      <c r="H348" s="365">
        <v>4.41</v>
      </c>
      <c r="I348" s="365">
        <v>0.43</v>
      </c>
      <c r="J348" s="365"/>
      <c r="K348" s="365"/>
      <c r="L348" s="365">
        <f t="shared" si="258"/>
        <v>10</v>
      </c>
      <c r="M348" s="365"/>
      <c r="N348" s="365"/>
      <c r="O348" s="365">
        <v>10</v>
      </c>
      <c r="P348" s="365">
        <f t="shared" si="229"/>
        <v>-1.3245</v>
      </c>
      <c r="Q348" s="365">
        <f t="shared" si="259"/>
        <v>0.8315</v>
      </c>
      <c r="R348" s="365">
        <v>0.7815</v>
      </c>
      <c r="S348" s="365"/>
      <c r="T348" s="365">
        <v>0.05</v>
      </c>
      <c r="U348" s="365"/>
      <c r="V348" s="365"/>
      <c r="W348" s="365">
        <f t="shared" si="260"/>
        <v>-2.156</v>
      </c>
      <c r="X348" s="365"/>
      <c r="Y348" s="365">
        <v>4.9436</v>
      </c>
      <c r="Z348" s="365">
        <v>2</v>
      </c>
      <c r="AA348" s="365"/>
      <c r="AB348" s="365">
        <v>0.9004</v>
      </c>
      <c r="AC348" s="365"/>
      <c r="AD348" s="366">
        <v>-10</v>
      </c>
      <c r="AE348" s="365">
        <f t="shared" si="228"/>
        <v>18.7755</v>
      </c>
      <c r="AF348" s="365">
        <f t="shared" si="261"/>
        <v>10.9315</v>
      </c>
      <c r="AG348" s="365">
        <f t="shared" si="262"/>
        <v>6.0415</v>
      </c>
      <c r="AH348" s="365">
        <f t="shared" si="263"/>
        <v>4.41</v>
      </c>
      <c r="AI348" s="365">
        <f t="shared" si="264"/>
        <v>0.48</v>
      </c>
      <c r="AJ348" s="365">
        <f t="shared" si="265"/>
        <v>0</v>
      </c>
      <c r="AK348" s="365">
        <f t="shared" si="266"/>
        <v>0</v>
      </c>
      <c r="AL348" s="365">
        <f t="shared" si="267"/>
        <v>7.844</v>
      </c>
      <c r="AM348" s="365">
        <f t="shared" si="268"/>
        <v>0</v>
      </c>
      <c r="AN348" s="365">
        <f t="shared" si="269"/>
        <v>4.9436</v>
      </c>
      <c r="AO348" s="365">
        <f t="shared" si="270"/>
        <v>2</v>
      </c>
      <c r="AP348" s="365">
        <f t="shared" si="271"/>
        <v>0</v>
      </c>
      <c r="AQ348" s="365">
        <f t="shared" si="272"/>
        <v>0.9004</v>
      </c>
      <c r="AR348" s="365">
        <f t="shared" si="273"/>
        <v>0</v>
      </c>
      <c r="AS348" s="365">
        <f t="shared" si="274"/>
        <v>0</v>
      </c>
      <c r="AT348" s="363"/>
      <c r="AU348">
        <v>0.9004</v>
      </c>
    </row>
    <row r="349" ht="24" spans="1:47">
      <c r="A349" s="284" t="s">
        <v>640</v>
      </c>
      <c r="B349" s="284" t="s">
        <v>196</v>
      </c>
      <c r="C349" s="284" t="s">
        <v>645</v>
      </c>
      <c r="D349" s="284" t="s">
        <v>642</v>
      </c>
      <c r="E349" s="365">
        <f t="shared" si="256"/>
        <v>36.06</v>
      </c>
      <c r="F349" s="365">
        <f t="shared" si="257"/>
        <v>21.06</v>
      </c>
      <c r="G349" s="365">
        <v>11.85</v>
      </c>
      <c r="H349" s="365">
        <v>8.22</v>
      </c>
      <c r="I349" s="365">
        <v>0.99</v>
      </c>
      <c r="J349" s="365"/>
      <c r="K349" s="365"/>
      <c r="L349" s="365">
        <f t="shared" si="258"/>
        <v>15</v>
      </c>
      <c r="M349" s="365"/>
      <c r="N349" s="365"/>
      <c r="O349" s="365">
        <v>15</v>
      </c>
      <c r="P349" s="365">
        <f t="shared" si="229"/>
        <v>-1.2876</v>
      </c>
      <c r="Q349" s="365">
        <f t="shared" si="259"/>
        <v>1.8025</v>
      </c>
      <c r="R349" s="365">
        <v>1.72</v>
      </c>
      <c r="S349" s="365"/>
      <c r="T349" s="365">
        <v>0.0825</v>
      </c>
      <c r="U349" s="365"/>
      <c r="V349" s="365"/>
      <c r="W349" s="365">
        <f t="shared" si="260"/>
        <v>-3.0901</v>
      </c>
      <c r="X349" s="365"/>
      <c r="Y349" s="365">
        <v>8.2485</v>
      </c>
      <c r="Z349" s="365">
        <v>2</v>
      </c>
      <c r="AA349" s="365"/>
      <c r="AB349" s="365">
        <v>1.6614</v>
      </c>
      <c r="AC349" s="365"/>
      <c r="AD349" s="366">
        <v>-15</v>
      </c>
      <c r="AE349" s="365">
        <f t="shared" si="228"/>
        <v>34.7724</v>
      </c>
      <c r="AF349" s="365">
        <f t="shared" si="261"/>
        <v>22.8625</v>
      </c>
      <c r="AG349" s="365">
        <f t="shared" si="262"/>
        <v>13.57</v>
      </c>
      <c r="AH349" s="365">
        <f t="shared" si="263"/>
        <v>8.22</v>
      </c>
      <c r="AI349" s="365">
        <f t="shared" si="264"/>
        <v>1.0725</v>
      </c>
      <c r="AJ349" s="365">
        <f t="shared" si="265"/>
        <v>0</v>
      </c>
      <c r="AK349" s="365">
        <f t="shared" si="266"/>
        <v>0</v>
      </c>
      <c r="AL349" s="365">
        <f t="shared" si="267"/>
        <v>11.9099</v>
      </c>
      <c r="AM349" s="365">
        <f t="shared" si="268"/>
        <v>0</v>
      </c>
      <c r="AN349" s="365">
        <f t="shared" si="269"/>
        <v>8.2485</v>
      </c>
      <c r="AO349" s="365">
        <f t="shared" si="270"/>
        <v>2</v>
      </c>
      <c r="AP349" s="365">
        <f t="shared" si="271"/>
        <v>0</v>
      </c>
      <c r="AQ349" s="365">
        <f t="shared" si="272"/>
        <v>1.6614</v>
      </c>
      <c r="AR349" s="365">
        <f t="shared" si="273"/>
        <v>0</v>
      </c>
      <c r="AS349" s="365">
        <f t="shared" si="274"/>
        <v>0</v>
      </c>
      <c r="AT349" s="363"/>
      <c r="AU349">
        <v>1.6614</v>
      </c>
    </row>
    <row r="350" ht="24" spans="1:47">
      <c r="A350" s="284" t="s">
        <v>640</v>
      </c>
      <c r="B350" s="284" t="s">
        <v>199</v>
      </c>
      <c r="C350" s="284" t="s">
        <v>646</v>
      </c>
      <c r="D350" s="284" t="s">
        <v>647</v>
      </c>
      <c r="E350" s="365">
        <f t="shared" si="256"/>
        <v>0</v>
      </c>
      <c r="F350" s="365">
        <f t="shared" si="257"/>
        <v>0</v>
      </c>
      <c r="G350" s="365"/>
      <c r="H350" s="365"/>
      <c r="I350" s="365"/>
      <c r="J350" s="365"/>
      <c r="K350" s="365"/>
      <c r="L350" s="365">
        <f t="shared" si="258"/>
        <v>0</v>
      </c>
      <c r="M350" s="365"/>
      <c r="N350" s="365"/>
      <c r="O350" s="365"/>
      <c r="P350" s="365">
        <f t="shared" si="229"/>
        <v>0</v>
      </c>
      <c r="Q350" s="365">
        <f t="shared" si="259"/>
        <v>0</v>
      </c>
      <c r="R350" s="365"/>
      <c r="S350" s="365"/>
      <c r="T350" s="365"/>
      <c r="U350" s="365"/>
      <c r="V350" s="365"/>
      <c r="W350" s="365">
        <f t="shared" si="260"/>
        <v>0</v>
      </c>
      <c r="X350" s="365"/>
      <c r="Y350" s="365"/>
      <c r="Z350" s="365"/>
      <c r="AA350" s="365"/>
      <c r="AB350" s="365"/>
      <c r="AC350" s="365"/>
      <c r="AD350" s="366">
        <v>0</v>
      </c>
      <c r="AE350" s="365">
        <f t="shared" si="228"/>
        <v>0</v>
      </c>
      <c r="AF350" s="365">
        <f t="shared" si="261"/>
        <v>0</v>
      </c>
      <c r="AG350" s="365">
        <f t="shared" si="262"/>
        <v>0</v>
      </c>
      <c r="AH350" s="365">
        <f t="shared" si="263"/>
        <v>0</v>
      </c>
      <c r="AI350" s="365">
        <f t="shared" si="264"/>
        <v>0</v>
      </c>
      <c r="AJ350" s="365">
        <f t="shared" si="265"/>
        <v>0</v>
      </c>
      <c r="AK350" s="365">
        <f t="shared" si="266"/>
        <v>0</v>
      </c>
      <c r="AL350" s="365">
        <f t="shared" si="267"/>
        <v>0</v>
      </c>
      <c r="AM350" s="365">
        <f t="shared" si="268"/>
        <v>0</v>
      </c>
      <c r="AN350" s="365">
        <f t="shared" si="269"/>
        <v>0</v>
      </c>
      <c r="AO350" s="365">
        <f t="shared" si="270"/>
        <v>0</v>
      </c>
      <c r="AP350" s="365">
        <f t="shared" si="271"/>
        <v>0</v>
      </c>
      <c r="AQ350" s="365">
        <f t="shared" si="272"/>
        <v>0</v>
      </c>
      <c r="AR350" s="365">
        <f t="shared" si="273"/>
        <v>0</v>
      </c>
      <c r="AS350" s="365">
        <f t="shared" si="274"/>
        <v>0</v>
      </c>
      <c r="AT350" s="363"/>
      <c r="AU350">
        <v>20.85</v>
      </c>
    </row>
    <row r="351" ht="24" spans="1:47">
      <c r="A351" s="284" t="s">
        <v>640</v>
      </c>
      <c r="B351" s="284" t="s">
        <v>199</v>
      </c>
      <c r="C351" s="284" t="s">
        <v>648</v>
      </c>
      <c r="D351" s="284" t="s">
        <v>647</v>
      </c>
      <c r="E351" s="365">
        <f t="shared" si="256"/>
        <v>0</v>
      </c>
      <c r="F351" s="365">
        <f t="shared" si="257"/>
        <v>0</v>
      </c>
      <c r="G351" s="365"/>
      <c r="H351" s="365"/>
      <c r="I351" s="365"/>
      <c r="J351" s="365"/>
      <c r="K351" s="365"/>
      <c r="L351" s="365">
        <f t="shared" si="258"/>
        <v>0</v>
      </c>
      <c r="M351" s="365"/>
      <c r="N351" s="365"/>
      <c r="O351" s="365"/>
      <c r="P351" s="365">
        <f t="shared" si="229"/>
        <v>0</v>
      </c>
      <c r="Q351" s="365">
        <f t="shared" si="259"/>
        <v>0</v>
      </c>
      <c r="R351" s="365"/>
      <c r="S351" s="365"/>
      <c r="T351" s="365"/>
      <c r="U351" s="365"/>
      <c r="V351" s="365"/>
      <c r="W351" s="365">
        <f t="shared" si="260"/>
        <v>0</v>
      </c>
      <c r="X351" s="365"/>
      <c r="Y351" s="365"/>
      <c r="Z351" s="365"/>
      <c r="AA351" s="365"/>
      <c r="AB351" s="365"/>
      <c r="AC351" s="365"/>
      <c r="AD351" s="366">
        <v>0</v>
      </c>
      <c r="AE351" s="365">
        <f t="shared" si="228"/>
        <v>0</v>
      </c>
      <c r="AF351" s="365">
        <f t="shared" si="261"/>
        <v>0</v>
      </c>
      <c r="AG351" s="365">
        <f t="shared" si="262"/>
        <v>0</v>
      </c>
      <c r="AH351" s="365">
        <f t="shared" si="263"/>
        <v>0</v>
      </c>
      <c r="AI351" s="365">
        <f t="shared" si="264"/>
        <v>0</v>
      </c>
      <c r="AJ351" s="365">
        <f t="shared" si="265"/>
        <v>0</v>
      </c>
      <c r="AK351" s="365">
        <f t="shared" si="266"/>
        <v>0</v>
      </c>
      <c r="AL351" s="365">
        <f t="shared" si="267"/>
        <v>0</v>
      </c>
      <c r="AM351" s="365">
        <f t="shared" si="268"/>
        <v>0</v>
      </c>
      <c r="AN351" s="365">
        <f t="shared" si="269"/>
        <v>0</v>
      </c>
      <c r="AO351" s="365">
        <f t="shared" si="270"/>
        <v>0</v>
      </c>
      <c r="AP351" s="365">
        <f t="shared" si="271"/>
        <v>0</v>
      </c>
      <c r="AQ351" s="365">
        <f t="shared" si="272"/>
        <v>0</v>
      </c>
      <c r="AR351" s="365">
        <f t="shared" si="273"/>
        <v>0</v>
      </c>
      <c r="AS351" s="365">
        <f t="shared" si="274"/>
        <v>0</v>
      </c>
      <c r="AT351" s="363"/>
      <c r="AU351">
        <v>7.2734</v>
      </c>
    </row>
    <row r="352" ht="24" spans="1:47">
      <c r="A352" s="284" t="s">
        <v>640</v>
      </c>
      <c r="B352" s="284" t="s">
        <v>199</v>
      </c>
      <c r="C352" s="284" t="s">
        <v>649</v>
      </c>
      <c r="D352" s="284" t="s">
        <v>647</v>
      </c>
      <c r="E352" s="365">
        <f t="shared" si="256"/>
        <v>0</v>
      </c>
      <c r="F352" s="365">
        <f t="shared" si="257"/>
        <v>0</v>
      </c>
      <c r="G352" s="365"/>
      <c r="H352" s="365"/>
      <c r="I352" s="365"/>
      <c r="J352" s="365"/>
      <c r="K352" s="365"/>
      <c r="L352" s="365">
        <f t="shared" si="258"/>
        <v>0</v>
      </c>
      <c r="M352" s="365"/>
      <c r="N352" s="365"/>
      <c r="O352" s="365"/>
      <c r="P352" s="365">
        <f t="shared" si="229"/>
        <v>0</v>
      </c>
      <c r="Q352" s="365">
        <f t="shared" si="259"/>
        <v>0</v>
      </c>
      <c r="R352" s="365"/>
      <c r="S352" s="365"/>
      <c r="T352" s="365"/>
      <c r="U352" s="365"/>
      <c r="V352" s="365"/>
      <c r="W352" s="365">
        <f t="shared" si="260"/>
        <v>0</v>
      </c>
      <c r="X352" s="365"/>
      <c r="Y352" s="365"/>
      <c r="Z352" s="365"/>
      <c r="AA352" s="365"/>
      <c r="AB352" s="365"/>
      <c r="AC352" s="365"/>
      <c r="AD352" s="366">
        <v>0</v>
      </c>
      <c r="AE352" s="365">
        <f t="shared" si="228"/>
        <v>0</v>
      </c>
      <c r="AF352" s="365">
        <f t="shared" si="261"/>
        <v>0</v>
      </c>
      <c r="AG352" s="365">
        <f t="shared" si="262"/>
        <v>0</v>
      </c>
      <c r="AH352" s="365">
        <f t="shared" si="263"/>
        <v>0</v>
      </c>
      <c r="AI352" s="365">
        <f t="shared" si="264"/>
        <v>0</v>
      </c>
      <c r="AJ352" s="365">
        <f t="shared" si="265"/>
        <v>0</v>
      </c>
      <c r="AK352" s="365">
        <f t="shared" si="266"/>
        <v>0</v>
      </c>
      <c r="AL352" s="365">
        <f t="shared" si="267"/>
        <v>0</v>
      </c>
      <c r="AM352" s="365">
        <f t="shared" si="268"/>
        <v>0</v>
      </c>
      <c r="AN352" s="365">
        <f t="shared" si="269"/>
        <v>0</v>
      </c>
      <c r="AO352" s="365">
        <f t="shared" si="270"/>
        <v>0</v>
      </c>
      <c r="AP352" s="365">
        <f t="shared" si="271"/>
        <v>0</v>
      </c>
      <c r="AQ352" s="365">
        <f t="shared" si="272"/>
        <v>0</v>
      </c>
      <c r="AR352" s="365">
        <f t="shared" si="273"/>
        <v>0</v>
      </c>
      <c r="AS352" s="365">
        <f t="shared" si="274"/>
        <v>0</v>
      </c>
      <c r="AT352" s="363"/>
      <c r="AU352">
        <v>2.84</v>
      </c>
    </row>
    <row r="353" ht="24" spans="1:47">
      <c r="A353" s="284" t="s">
        <v>640</v>
      </c>
      <c r="B353" s="284" t="s">
        <v>199</v>
      </c>
      <c r="C353" s="284" t="s">
        <v>650</v>
      </c>
      <c r="D353" s="284" t="s">
        <v>647</v>
      </c>
      <c r="E353" s="365">
        <f t="shared" si="256"/>
        <v>0</v>
      </c>
      <c r="F353" s="365">
        <f t="shared" si="257"/>
        <v>0</v>
      </c>
      <c r="G353" s="365"/>
      <c r="H353" s="365"/>
      <c r="I353" s="365"/>
      <c r="J353" s="365"/>
      <c r="K353" s="365"/>
      <c r="L353" s="365">
        <f t="shared" si="258"/>
        <v>0</v>
      </c>
      <c r="M353" s="365"/>
      <c r="N353" s="365"/>
      <c r="O353" s="365"/>
      <c r="P353" s="365">
        <f t="shared" si="229"/>
        <v>0</v>
      </c>
      <c r="Q353" s="365">
        <f t="shared" si="259"/>
        <v>0</v>
      </c>
      <c r="R353" s="365"/>
      <c r="S353" s="365"/>
      <c r="T353" s="365"/>
      <c r="U353" s="365"/>
      <c r="V353" s="365"/>
      <c r="W353" s="365">
        <f t="shared" si="260"/>
        <v>0</v>
      </c>
      <c r="X353" s="365"/>
      <c r="Y353" s="365"/>
      <c r="Z353" s="365"/>
      <c r="AA353" s="365"/>
      <c r="AB353" s="365"/>
      <c r="AC353" s="365"/>
      <c r="AD353" s="366">
        <v>0</v>
      </c>
      <c r="AE353" s="365">
        <f t="shared" si="228"/>
        <v>0</v>
      </c>
      <c r="AF353" s="365">
        <f t="shared" si="261"/>
        <v>0</v>
      </c>
      <c r="AG353" s="365">
        <f t="shared" si="262"/>
        <v>0</v>
      </c>
      <c r="AH353" s="365">
        <f t="shared" si="263"/>
        <v>0</v>
      </c>
      <c r="AI353" s="365">
        <f t="shared" si="264"/>
        <v>0</v>
      </c>
      <c r="AJ353" s="365">
        <f t="shared" si="265"/>
        <v>0</v>
      </c>
      <c r="AK353" s="365">
        <f t="shared" si="266"/>
        <v>0</v>
      </c>
      <c r="AL353" s="365">
        <f t="shared" si="267"/>
        <v>0</v>
      </c>
      <c r="AM353" s="365">
        <f t="shared" si="268"/>
        <v>0</v>
      </c>
      <c r="AN353" s="365">
        <f t="shared" si="269"/>
        <v>0</v>
      </c>
      <c r="AO353" s="365">
        <f t="shared" si="270"/>
        <v>0</v>
      </c>
      <c r="AP353" s="365">
        <f t="shared" si="271"/>
        <v>0</v>
      </c>
      <c r="AQ353" s="365">
        <f t="shared" si="272"/>
        <v>0</v>
      </c>
      <c r="AR353" s="365">
        <f t="shared" si="273"/>
        <v>0</v>
      </c>
      <c r="AS353" s="365">
        <f t="shared" si="274"/>
        <v>0</v>
      </c>
      <c r="AT353" s="363"/>
      <c r="AU353">
        <v>3.51</v>
      </c>
    </row>
    <row r="354" ht="24" spans="1:47">
      <c r="A354" s="284" t="s">
        <v>640</v>
      </c>
      <c r="B354" s="284" t="s">
        <v>199</v>
      </c>
      <c r="C354" s="284" t="s">
        <v>651</v>
      </c>
      <c r="D354" s="284" t="s">
        <v>647</v>
      </c>
      <c r="E354" s="365">
        <f t="shared" si="256"/>
        <v>0</v>
      </c>
      <c r="F354" s="365">
        <f t="shared" si="257"/>
        <v>0</v>
      </c>
      <c r="G354" s="365"/>
      <c r="H354" s="365"/>
      <c r="I354" s="365"/>
      <c r="J354" s="365"/>
      <c r="K354" s="365"/>
      <c r="L354" s="365">
        <f t="shared" si="258"/>
        <v>0</v>
      </c>
      <c r="M354" s="365"/>
      <c r="N354" s="365"/>
      <c r="O354" s="365"/>
      <c r="P354" s="365">
        <f t="shared" si="229"/>
        <v>0</v>
      </c>
      <c r="Q354" s="365">
        <f t="shared" si="259"/>
        <v>0</v>
      </c>
      <c r="R354" s="365"/>
      <c r="S354" s="365"/>
      <c r="T354" s="365"/>
      <c r="U354" s="365"/>
      <c r="V354" s="365"/>
      <c r="W354" s="365">
        <f t="shared" si="260"/>
        <v>0</v>
      </c>
      <c r="X354" s="365"/>
      <c r="Y354" s="365"/>
      <c r="Z354" s="365"/>
      <c r="AA354" s="365"/>
      <c r="AB354" s="365"/>
      <c r="AC354" s="365"/>
      <c r="AD354" s="366">
        <v>0</v>
      </c>
      <c r="AE354" s="365">
        <f t="shared" si="228"/>
        <v>0</v>
      </c>
      <c r="AF354" s="365">
        <f t="shared" si="261"/>
        <v>0</v>
      </c>
      <c r="AG354" s="365">
        <f t="shared" si="262"/>
        <v>0</v>
      </c>
      <c r="AH354" s="365">
        <f t="shared" si="263"/>
        <v>0</v>
      </c>
      <c r="AI354" s="365">
        <f t="shared" si="264"/>
        <v>0</v>
      </c>
      <c r="AJ354" s="365">
        <f t="shared" si="265"/>
        <v>0</v>
      </c>
      <c r="AK354" s="365">
        <f t="shared" si="266"/>
        <v>0</v>
      </c>
      <c r="AL354" s="365">
        <f t="shared" si="267"/>
        <v>0</v>
      </c>
      <c r="AM354" s="365">
        <f t="shared" si="268"/>
        <v>0</v>
      </c>
      <c r="AN354" s="365">
        <f t="shared" si="269"/>
        <v>0</v>
      </c>
      <c r="AO354" s="365">
        <f t="shared" si="270"/>
        <v>0</v>
      </c>
      <c r="AP354" s="365">
        <f t="shared" si="271"/>
        <v>0</v>
      </c>
      <c r="AQ354" s="365">
        <f t="shared" si="272"/>
        <v>0</v>
      </c>
      <c r="AR354" s="365">
        <f t="shared" si="273"/>
        <v>0</v>
      </c>
      <c r="AS354" s="365">
        <f t="shared" si="274"/>
        <v>0</v>
      </c>
      <c r="AT354" s="363"/>
      <c r="AU354">
        <v>6.69</v>
      </c>
    </row>
    <row r="355" ht="24" spans="1:47">
      <c r="A355" s="284" t="s">
        <v>640</v>
      </c>
      <c r="B355" s="284" t="s">
        <v>199</v>
      </c>
      <c r="C355" s="284" t="s">
        <v>652</v>
      </c>
      <c r="D355" s="284" t="s">
        <v>647</v>
      </c>
      <c r="E355" s="365">
        <f t="shared" si="256"/>
        <v>0</v>
      </c>
      <c r="F355" s="365">
        <f t="shared" si="257"/>
        <v>0</v>
      </c>
      <c r="G355" s="365"/>
      <c r="H355" s="365"/>
      <c r="I355" s="365"/>
      <c r="J355" s="365"/>
      <c r="K355" s="365"/>
      <c r="L355" s="365">
        <f t="shared" si="258"/>
        <v>0</v>
      </c>
      <c r="M355" s="365"/>
      <c r="N355" s="365"/>
      <c r="O355" s="365"/>
      <c r="P355" s="365">
        <f t="shared" si="229"/>
        <v>0</v>
      </c>
      <c r="Q355" s="365">
        <f t="shared" si="259"/>
        <v>0</v>
      </c>
      <c r="R355" s="365"/>
      <c r="S355" s="365"/>
      <c r="T355" s="365"/>
      <c r="U355" s="365"/>
      <c r="V355" s="365"/>
      <c r="W355" s="365">
        <f t="shared" si="260"/>
        <v>0</v>
      </c>
      <c r="X355" s="365"/>
      <c r="Y355" s="365"/>
      <c r="Z355" s="365"/>
      <c r="AA355" s="365"/>
      <c r="AB355" s="365"/>
      <c r="AC355" s="365"/>
      <c r="AD355" s="366">
        <v>0</v>
      </c>
      <c r="AE355" s="365">
        <f t="shared" si="228"/>
        <v>0</v>
      </c>
      <c r="AF355" s="365">
        <f t="shared" si="261"/>
        <v>0</v>
      </c>
      <c r="AG355" s="365">
        <f t="shared" si="262"/>
        <v>0</v>
      </c>
      <c r="AH355" s="365">
        <f t="shared" si="263"/>
        <v>0</v>
      </c>
      <c r="AI355" s="365">
        <f t="shared" si="264"/>
        <v>0</v>
      </c>
      <c r="AJ355" s="365">
        <f t="shared" si="265"/>
        <v>0</v>
      </c>
      <c r="AK355" s="365">
        <f t="shared" si="266"/>
        <v>0</v>
      </c>
      <c r="AL355" s="365">
        <f t="shared" si="267"/>
        <v>0</v>
      </c>
      <c r="AM355" s="365">
        <f t="shared" si="268"/>
        <v>0</v>
      </c>
      <c r="AN355" s="365">
        <f t="shared" si="269"/>
        <v>0</v>
      </c>
      <c r="AO355" s="365">
        <f t="shared" si="270"/>
        <v>0</v>
      </c>
      <c r="AP355" s="365">
        <f t="shared" si="271"/>
        <v>0</v>
      </c>
      <c r="AQ355" s="365">
        <f t="shared" si="272"/>
        <v>0</v>
      </c>
      <c r="AR355" s="365">
        <f t="shared" si="273"/>
        <v>0</v>
      </c>
      <c r="AS355" s="365">
        <f t="shared" si="274"/>
        <v>0</v>
      </c>
      <c r="AT355" s="363"/>
      <c r="AU355">
        <v>1.5</v>
      </c>
    </row>
    <row r="356" ht="24" spans="1:47">
      <c r="A356" s="284" t="s">
        <v>640</v>
      </c>
      <c r="B356" s="284" t="s">
        <v>199</v>
      </c>
      <c r="C356" s="284" t="s">
        <v>653</v>
      </c>
      <c r="D356" s="284" t="s">
        <v>647</v>
      </c>
      <c r="E356" s="365">
        <f t="shared" si="256"/>
        <v>0</v>
      </c>
      <c r="F356" s="365">
        <f t="shared" si="257"/>
        <v>0</v>
      </c>
      <c r="G356" s="365"/>
      <c r="H356" s="365"/>
      <c r="I356" s="365"/>
      <c r="J356" s="365"/>
      <c r="K356" s="365"/>
      <c r="L356" s="365">
        <f t="shared" si="258"/>
        <v>0</v>
      </c>
      <c r="M356" s="365"/>
      <c r="N356" s="365"/>
      <c r="O356" s="365"/>
      <c r="P356" s="365">
        <f t="shared" si="229"/>
        <v>0</v>
      </c>
      <c r="Q356" s="365">
        <f t="shared" si="259"/>
        <v>0</v>
      </c>
      <c r="R356" s="365"/>
      <c r="S356" s="365"/>
      <c r="T356" s="365"/>
      <c r="U356" s="365"/>
      <c r="V356" s="365"/>
      <c r="W356" s="365">
        <f t="shared" si="260"/>
        <v>0</v>
      </c>
      <c r="X356" s="365"/>
      <c r="Y356" s="365"/>
      <c r="Z356" s="365"/>
      <c r="AA356" s="365"/>
      <c r="AB356" s="365"/>
      <c r="AC356" s="365"/>
      <c r="AD356" s="366">
        <v>0</v>
      </c>
      <c r="AE356" s="365">
        <f t="shared" si="228"/>
        <v>0</v>
      </c>
      <c r="AF356" s="365">
        <f t="shared" si="261"/>
        <v>0</v>
      </c>
      <c r="AG356" s="365">
        <f t="shared" si="262"/>
        <v>0</v>
      </c>
      <c r="AH356" s="365">
        <f t="shared" si="263"/>
        <v>0</v>
      </c>
      <c r="AI356" s="365">
        <f t="shared" si="264"/>
        <v>0</v>
      </c>
      <c r="AJ356" s="365">
        <f t="shared" si="265"/>
        <v>0</v>
      </c>
      <c r="AK356" s="365">
        <f t="shared" si="266"/>
        <v>0</v>
      </c>
      <c r="AL356" s="365">
        <f t="shared" si="267"/>
        <v>0</v>
      </c>
      <c r="AM356" s="365">
        <f t="shared" si="268"/>
        <v>0</v>
      </c>
      <c r="AN356" s="365">
        <f t="shared" si="269"/>
        <v>0</v>
      </c>
      <c r="AO356" s="365">
        <f t="shared" si="270"/>
        <v>0</v>
      </c>
      <c r="AP356" s="365">
        <f t="shared" si="271"/>
        <v>0</v>
      </c>
      <c r="AQ356" s="365">
        <f t="shared" si="272"/>
        <v>0</v>
      </c>
      <c r="AR356" s="365">
        <f t="shared" si="273"/>
        <v>0</v>
      </c>
      <c r="AS356" s="365">
        <f t="shared" si="274"/>
        <v>0</v>
      </c>
      <c r="AT356" s="363"/>
      <c r="AU356">
        <v>3</v>
      </c>
    </row>
    <row r="357" ht="24" spans="1:47">
      <c r="A357" s="284" t="s">
        <v>640</v>
      </c>
      <c r="B357" s="284" t="s">
        <v>199</v>
      </c>
      <c r="C357" s="284" t="s">
        <v>654</v>
      </c>
      <c r="D357" s="284" t="s">
        <v>647</v>
      </c>
      <c r="E357" s="365">
        <f t="shared" si="256"/>
        <v>0</v>
      </c>
      <c r="F357" s="365">
        <f t="shared" si="257"/>
        <v>0</v>
      </c>
      <c r="G357" s="365"/>
      <c r="H357" s="365"/>
      <c r="I357" s="365"/>
      <c r="J357" s="365"/>
      <c r="K357" s="365"/>
      <c r="L357" s="365">
        <f t="shared" si="258"/>
        <v>0</v>
      </c>
      <c r="M357" s="365"/>
      <c r="N357" s="365"/>
      <c r="O357" s="365"/>
      <c r="P357" s="365">
        <f t="shared" si="229"/>
        <v>0</v>
      </c>
      <c r="Q357" s="365">
        <f t="shared" si="259"/>
        <v>0</v>
      </c>
      <c r="R357" s="365"/>
      <c r="S357" s="365"/>
      <c r="T357" s="365"/>
      <c r="U357" s="365"/>
      <c r="V357" s="365"/>
      <c r="W357" s="365">
        <f t="shared" si="260"/>
        <v>0</v>
      </c>
      <c r="X357" s="365"/>
      <c r="Y357" s="365"/>
      <c r="Z357" s="365"/>
      <c r="AA357" s="365"/>
      <c r="AB357" s="365"/>
      <c r="AC357" s="365"/>
      <c r="AD357" s="366">
        <v>0</v>
      </c>
      <c r="AE357" s="365">
        <f t="shared" si="228"/>
        <v>0</v>
      </c>
      <c r="AF357" s="365">
        <f t="shared" si="261"/>
        <v>0</v>
      </c>
      <c r="AG357" s="365">
        <f t="shared" si="262"/>
        <v>0</v>
      </c>
      <c r="AH357" s="365">
        <f t="shared" si="263"/>
        <v>0</v>
      </c>
      <c r="AI357" s="365">
        <f t="shared" si="264"/>
        <v>0</v>
      </c>
      <c r="AJ357" s="365">
        <f t="shared" si="265"/>
        <v>0</v>
      </c>
      <c r="AK357" s="365">
        <f t="shared" si="266"/>
        <v>0</v>
      </c>
      <c r="AL357" s="365">
        <f t="shared" si="267"/>
        <v>0</v>
      </c>
      <c r="AM357" s="365">
        <f t="shared" si="268"/>
        <v>0</v>
      </c>
      <c r="AN357" s="365">
        <f t="shared" si="269"/>
        <v>0</v>
      </c>
      <c r="AO357" s="365">
        <f t="shared" si="270"/>
        <v>0</v>
      </c>
      <c r="AP357" s="365">
        <f t="shared" si="271"/>
        <v>0</v>
      </c>
      <c r="AQ357" s="365">
        <f t="shared" si="272"/>
        <v>0</v>
      </c>
      <c r="AR357" s="365">
        <f t="shared" si="273"/>
        <v>0</v>
      </c>
      <c r="AS357" s="365">
        <f t="shared" si="274"/>
        <v>0</v>
      </c>
      <c r="AT357" s="363"/>
      <c r="AU357">
        <v>1.35</v>
      </c>
    </row>
    <row r="358" ht="24" spans="1:47">
      <c r="A358" s="284" t="s">
        <v>640</v>
      </c>
      <c r="B358" s="284" t="s">
        <v>199</v>
      </c>
      <c r="C358" s="284" t="s">
        <v>655</v>
      </c>
      <c r="D358" s="284" t="s">
        <v>647</v>
      </c>
      <c r="E358" s="365">
        <f t="shared" si="256"/>
        <v>0</v>
      </c>
      <c r="F358" s="365">
        <f t="shared" si="257"/>
        <v>0</v>
      </c>
      <c r="G358" s="365"/>
      <c r="H358" s="365"/>
      <c r="I358" s="365"/>
      <c r="J358" s="365"/>
      <c r="K358" s="365"/>
      <c r="L358" s="365">
        <f t="shared" si="258"/>
        <v>0</v>
      </c>
      <c r="M358" s="365"/>
      <c r="N358" s="365"/>
      <c r="O358" s="365"/>
      <c r="P358" s="365">
        <f t="shared" si="229"/>
        <v>0</v>
      </c>
      <c r="Q358" s="365">
        <f t="shared" si="259"/>
        <v>0</v>
      </c>
      <c r="R358" s="365"/>
      <c r="S358" s="365"/>
      <c r="T358" s="365"/>
      <c r="U358" s="365"/>
      <c r="V358" s="365"/>
      <c r="W358" s="365">
        <f t="shared" si="260"/>
        <v>0</v>
      </c>
      <c r="X358" s="365"/>
      <c r="Y358" s="365"/>
      <c r="Z358" s="365"/>
      <c r="AA358" s="365"/>
      <c r="AB358" s="365"/>
      <c r="AC358" s="365"/>
      <c r="AD358" s="366">
        <v>0</v>
      </c>
      <c r="AE358" s="365">
        <f t="shared" si="228"/>
        <v>0</v>
      </c>
      <c r="AF358" s="365">
        <f t="shared" si="261"/>
        <v>0</v>
      </c>
      <c r="AG358" s="365">
        <f t="shared" si="262"/>
        <v>0</v>
      </c>
      <c r="AH358" s="365">
        <f t="shared" si="263"/>
        <v>0</v>
      </c>
      <c r="AI358" s="365">
        <f t="shared" si="264"/>
        <v>0</v>
      </c>
      <c r="AJ358" s="365">
        <f t="shared" si="265"/>
        <v>0</v>
      </c>
      <c r="AK358" s="365">
        <f t="shared" si="266"/>
        <v>0</v>
      </c>
      <c r="AL358" s="365">
        <f t="shared" si="267"/>
        <v>0</v>
      </c>
      <c r="AM358" s="365">
        <f t="shared" si="268"/>
        <v>0</v>
      </c>
      <c r="AN358" s="365">
        <f t="shared" si="269"/>
        <v>0</v>
      </c>
      <c r="AO358" s="365">
        <f t="shared" si="270"/>
        <v>0</v>
      </c>
      <c r="AP358" s="365">
        <f t="shared" si="271"/>
        <v>0</v>
      </c>
      <c r="AQ358" s="365">
        <f t="shared" si="272"/>
        <v>0</v>
      </c>
      <c r="AR358" s="365">
        <f t="shared" si="273"/>
        <v>0</v>
      </c>
      <c r="AS358" s="365">
        <f t="shared" si="274"/>
        <v>0</v>
      </c>
      <c r="AT358" s="363"/>
      <c r="AU358">
        <v>1.5</v>
      </c>
    </row>
    <row r="359" ht="24" spans="1:47">
      <c r="A359" s="284" t="s">
        <v>640</v>
      </c>
      <c r="B359" s="284" t="s">
        <v>199</v>
      </c>
      <c r="C359" s="284" t="s">
        <v>656</v>
      </c>
      <c r="D359" s="284" t="s">
        <v>647</v>
      </c>
      <c r="E359" s="365">
        <f t="shared" si="256"/>
        <v>0</v>
      </c>
      <c r="F359" s="365">
        <f t="shared" si="257"/>
        <v>0</v>
      </c>
      <c r="G359" s="365"/>
      <c r="H359" s="365"/>
      <c r="I359" s="365"/>
      <c r="J359" s="365"/>
      <c r="K359" s="365"/>
      <c r="L359" s="365">
        <f t="shared" si="258"/>
        <v>0</v>
      </c>
      <c r="M359" s="365"/>
      <c r="N359" s="365"/>
      <c r="O359" s="365"/>
      <c r="P359" s="365">
        <f t="shared" si="229"/>
        <v>0</v>
      </c>
      <c r="Q359" s="365">
        <f t="shared" si="259"/>
        <v>0</v>
      </c>
      <c r="R359" s="365"/>
      <c r="S359" s="365"/>
      <c r="T359" s="365"/>
      <c r="U359" s="365"/>
      <c r="V359" s="365"/>
      <c r="W359" s="365">
        <f t="shared" si="260"/>
        <v>0</v>
      </c>
      <c r="X359" s="365"/>
      <c r="Y359" s="365"/>
      <c r="Z359" s="365"/>
      <c r="AA359" s="365"/>
      <c r="AB359" s="365"/>
      <c r="AC359" s="365"/>
      <c r="AD359" s="366">
        <v>0</v>
      </c>
      <c r="AE359" s="365">
        <f t="shared" si="228"/>
        <v>0</v>
      </c>
      <c r="AF359" s="365">
        <f t="shared" si="261"/>
        <v>0</v>
      </c>
      <c r="AG359" s="365">
        <f t="shared" si="262"/>
        <v>0</v>
      </c>
      <c r="AH359" s="365">
        <f t="shared" si="263"/>
        <v>0</v>
      </c>
      <c r="AI359" s="365">
        <f t="shared" si="264"/>
        <v>0</v>
      </c>
      <c r="AJ359" s="365">
        <f t="shared" si="265"/>
        <v>0</v>
      </c>
      <c r="AK359" s="365">
        <f t="shared" si="266"/>
        <v>0</v>
      </c>
      <c r="AL359" s="365">
        <f t="shared" si="267"/>
        <v>0</v>
      </c>
      <c r="AM359" s="365">
        <f t="shared" si="268"/>
        <v>0</v>
      </c>
      <c r="AN359" s="365">
        <f t="shared" si="269"/>
        <v>0</v>
      </c>
      <c r="AO359" s="365">
        <f t="shared" si="270"/>
        <v>0</v>
      </c>
      <c r="AP359" s="365">
        <f t="shared" si="271"/>
        <v>0</v>
      </c>
      <c r="AQ359" s="365">
        <f t="shared" si="272"/>
        <v>0</v>
      </c>
      <c r="AR359" s="365">
        <f t="shared" si="273"/>
        <v>0</v>
      </c>
      <c r="AS359" s="365">
        <f t="shared" si="274"/>
        <v>0</v>
      </c>
      <c r="AT359" s="363"/>
      <c r="AU359">
        <v>2.86</v>
      </c>
    </row>
    <row r="360" ht="24" spans="1:47">
      <c r="A360" s="284" t="s">
        <v>640</v>
      </c>
      <c r="B360" s="284" t="s">
        <v>199</v>
      </c>
      <c r="C360" s="284" t="s">
        <v>657</v>
      </c>
      <c r="D360" s="284" t="s">
        <v>647</v>
      </c>
      <c r="E360" s="365">
        <f t="shared" si="256"/>
        <v>0</v>
      </c>
      <c r="F360" s="365">
        <f t="shared" si="257"/>
        <v>0</v>
      </c>
      <c r="G360" s="365"/>
      <c r="H360" s="365"/>
      <c r="I360" s="365"/>
      <c r="J360" s="365"/>
      <c r="K360" s="365"/>
      <c r="L360" s="365">
        <f t="shared" si="258"/>
        <v>0</v>
      </c>
      <c r="M360" s="365"/>
      <c r="N360" s="365"/>
      <c r="O360" s="365"/>
      <c r="P360" s="365">
        <f t="shared" si="229"/>
        <v>0</v>
      </c>
      <c r="Q360" s="365">
        <f t="shared" si="259"/>
        <v>0</v>
      </c>
      <c r="R360" s="365"/>
      <c r="S360" s="365"/>
      <c r="T360" s="365"/>
      <c r="U360" s="365"/>
      <c r="V360" s="365"/>
      <c r="W360" s="365">
        <f t="shared" si="260"/>
        <v>0</v>
      </c>
      <c r="X360" s="365"/>
      <c r="Y360" s="365"/>
      <c r="Z360" s="365"/>
      <c r="AA360" s="365"/>
      <c r="AB360" s="365"/>
      <c r="AC360" s="365"/>
      <c r="AD360" s="366">
        <v>0</v>
      </c>
      <c r="AE360" s="365">
        <f t="shared" si="228"/>
        <v>0</v>
      </c>
      <c r="AF360" s="365">
        <f t="shared" si="261"/>
        <v>0</v>
      </c>
      <c r="AG360" s="365">
        <f t="shared" si="262"/>
        <v>0</v>
      </c>
      <c r="AH360" s="365">
        <f t="shared" si="263"/>
        <v>0</v>
      </c>
      <c r="AI360" s="365">
        <f t="shared" si="264"/>
        <v>0</v>
      </c>
      <c r="AJ360" s="365">
        <f t="shared" si="265"/>
        <v>0</v>
      </c>
      <c r="AK360" s="365">
        <f t="shared" si="266"/>
        <v>0</v>
      </c>
      <c r="AL360" s="365">
        <f t="shared" si="267"/>
        <v>0</v>
      </c>
      <c r="AM360" s="365">
        <f t="shared" si="268"/>
        <v>0</v>
      </c>
      <c r="AN360" s="365">
        <f t="shared" si="269"/>
        <v>0</v>
      </c>
      <c r="AO360" s="365">
        <f t="shared" si="270"/>
        <v>0</v>
      </c>
      <c r="AP360" s="365">
        <f t="shared" si="271"/>
        <v>0</v>
      </c>
      <c r="AQ360" s="365">
        <f t="shared" si="272"/>
        <v>0</v>
      </c>
      <c r="AR360" s="365">
        <f t="shared" si="273"/>
        <v>0</v>
      </c>
      <c r="AS360" s="365">
        <f t="shared" si="274"/>
        <v>0</v>
      </c>
      <c r="AT360" s="363"/>
      <c r="AU360">
        <v>2</v>
      </c>
    </row>
    <row r="361" ht="24" spans="1:47">
      <c r="A361" s="284" t="s">
        <v>640</v>
      </c>
      <c r="B361" s="284" t="s">
        <v>199</v>
      </c>
      <c r="C361" s="284" t="s">
        <v>658</v>
      </c>
      <c r="D361" s="284" t="s">
        <v>647</v>
      </c>
      <c r="E361" s="365">
        <f t="shared" si="256"/>
        <v>0</v>
      </c>
      <c r="F361" s="365">
        <f t="shared" si="257"/>
        <v>0</v>
      </c>
      <c r="G361" s="365"/>
      <c r="H361" s="365"/>
      <c r="I361" s="365"/>
      <c r="J361" s="365"/>
      <c r="K361" s="365"/>
      <c r="L361" s="365">
        <f t="shared" si="258"/>
        <v>0</v>
      </c>
      <c r="M361" s="365"/>
      <c r="N361" s="365"/>
      <c r="O361" s="365"/>
      <c r="P361" s="365">
        <f t="shared" si="229"/>
        <v>0</v>
      </c>
      <c r="Q361" s="365">
        <f t="shared" si="259"/>
        <v>0</v>
      </c>
      <c r="R361" s="365"/>
      <c r="S361" s="365"/>
      <c r="T361" s="365"/>
      <c r="U361" s="365"/>
      <c r="V361" s="365"/>
      <c r="W361" s="365">
        <f t="shared" si="260"/>
        <v>0</v>
      </c>
      <c r="X361" s="365"/>
      <c r="Y361" s="365"/>
      <c r="Z361" s="365"/>
      <c r="AA361" s="365"/>
      <c r="AB361" s="365"/>
      <c r="AC361" s="365"/>
      <c r="AD361" s="366">
        <v>0</v>
      </c>
      <c r="AE361" s="365">
        <f t="shared" si="228"/>
        <v>0</v>
      </c>
      <c r="AF361" s="365">
        <f t="shared" si="261"/>
        <v>0</v>
      </c>
      <c r="AG361" s="365">
        <f t="shared" si="262"/>
        <v>0</v>
      </c>
      <c r="AH361" s="365">
        <f t="shared" si="263"/>
        <v>0</v>
      </c>
      <c r="AI361" s="365">
        <f t="shared" si="264"/>
        <v>0</v>
      </c>
      <c r="AJ361" s="365">
        <f t="shared" si="265"/>
        <v>0</v>
      </c>
      <c r="AK361" s="365">
        <f t="shared" si="266"/>
        <v>0</v>
      </c>
      <c r="AL361" s="365">
        <f t="shared" si="267"/>
        <v>0</v>
      </c>
      <c r="AM361" s="365">
        <f t="shared" si="268"/>
        <v>0</v>
      </c>
      <c r="AN361" s="365">
        <f t="shared" si="269"/>
        <v>0</v>
      </c>
      <c r="AO361" s="365">
        <f t="shared" si="270"/>
        <v>0</v>
      </c>
      <c r="AP361" s="365">
        <f t="shared" si="271"/>
        <v>0</v>
      </c>
      <c r="AQ361" s="365">
        <f t="shared" si="272"/>
        <v>0</v>
      </c>
      <c r="AR361" s="365">
        <f t="shared" si="273"/>
        <v>0</v>
      </c>
      <c r="AS361" s="365">
        <f t="shared" si="274"/>
        <v>0</v>
      </c>
      <c r="AT361" s="363"/>
      <c r="AU361">
        <v>2.34</v>
      </c>
    </row>
    <row r="362" ht="24" spans="1:47">
      <c r="A362" s="284" t="s">
        <v>640</v>
      </c>
      <c r="B362" s="284" t="s">
        <v>199</v>
      </c>
      <c r="C362" s="284" t="s">
        <v>659</v>
      </c>
      <c r="D362" s="284" t="s">
        <v>647</v>
      </c>
      <c r="E362" s="365">
        <f t="shared" si="256"/>
        <v>0</v>
      </c>
      <c r="F362" s="365">
        <f t="shared" si="257"/>
        <v>0</v>
      </c>
      <c r="G362" s="365"/>
      <c r="H362" s="365"/>
      <c r="I362" s="365"/>
      <c r="J362" s="365"/>
      <c r="K362" s="365"/>
      <c r="L362" s="365">
        <f t="shared" si="258"/>
        <v>0</v>
      </c>
      <c r="M362" s="365"/>
      <c r="N362" s="365"/>
      <c r="O362" s="365"/>
      <c r="P362" s="365">
        <f t="shared" si="229"/>
        <v>0</v>
      </c>
      <c r="Q362" s="365">
        <f t="shared" si="259"/>
        <v>0</v>
      </c>
      <c r="R362" s="365"/>
      <c r="S362" s="365"/>
      <c r="T362" s="365"/>
      <c r="U362" s="365"/>
      <c r="V362" s="365"/>
      <c r="W362" s="365">
        <f t="shared" si="260"/>
        <v>0</v>
      </c>
      <c r="X362" s="365"/>
      <c r="Y362" s="365"/>
      <c r="Z362" s="365"/>
      <c r="AA362" s="365"/>
      <c r="AB362" s="365"/>
      <c r="AC362" s="365"/>
      <c r="AD362" s="366">
        <v>0</v>
      </c>
      <c r="AE362" s="365">
        <f t="shared" si="228"/>
        <v>0</v>
      </c>
      <c r="AF362" s="365">
        <f t="shared" si="261"/>
        <v>0</v>
      </c>
      <c r="AG362" s="365">
        <f t="shared" si="262"/>
        <v>0</v>
      </c>
      <c r="AH362" s="365">
        <f t="shared" si="263"/>
        <v>0</v>
      </c>
      <c r="AI362" s="365">
        <f t="shared" si="264"/>
        <v>0</v>
      </c>
      <c r="AJ362" s="365">
        <f t="shared" si="265"/>
        <v>0</v>
      </c>
      <c r="AK362" s="365">
        <f t="shared" si="266"/>
        <v>0</v>
      </c>
      <c r="AL362" s="365">
        <f t="shared" si="267"/>
        <v>0</v>
      </c>
      <c r="AM362" s="365">
        <f t="shared" si="268"/>
        <v>0</v>
      </c>
      <c r="AN362" s="365">
        <f t="shared" si="269"/>
        <v>0</v>
      </c>
      <c r="AO362" s="365">
        <f t="shared" si="270"/>
        <v>0</v>
      </c>
      <c r="AP362" s="365">
        <f t="shared" si="271"/>
        <v>0</v>
      </c>
      <c r="AQ362" s="365">
        <f t="shared" si="272"/>
        <v>0</v>
      </c>
      <c r="AR362" s="365">
        <f t="shared" si="273"/>
        <v>0</v>
      </c>
      <c r="AS362" s="365">
        <f t="shared" si="274"/>
        <v>0</v>
      </c>
      <c r="AT362" s="363"/>
      <c r="AU362">
        <v>3.17</v>
      </c>
    </row>
    <row r="363" ht="24" spans="1:47">
      <c r="A363" s="284" t="s">
        <v>640</v>
      </c>
      <c r="B363" s="284" t="s">
        <v>199</v>
      </c>
      <c r="C363" s="284" t="s">
        <v>660</v>
      </c>
      <c r="D363" s="284" t="s">
        <v>647</v>
      </c>
      <c r="E363" s="365">
        <f t="shared" si="256"/>
        <v>0</v>
      </c>
      <c r="F363" s="365">
        <f t="shared" si="257"/>
        <v>0</v>
      </c>
      <c r="G363" s="365"/>
      <c r="H363" s="365"/>
      <c r="I363" s="365"/>
      <c r="J363" s="365"/>
      <c r="K363" s="365"/>
      <c r="L363" s="365">
        <f t="shared" si="258"/>
        <v>0</v>
      </c>
      <c r="M363" s="365"/>
      <c r="N363" s="365"/>
      <c r="O363" s="365"/>
      <c r="P363" s="365">
        <f t="shared" si="229"/>
        <v>0</v>
      </c>
      <c r="Q363" s="365">
        <f t="shared" si="259"/>
        <v>0</v>
      </c>
      <c r="R363" s="365"/>
      <c r="S363" s="365"/>
      <c r="T363" s="365"/>
      <c r="U363" s="365"/>
      <c r="V363" s="365"/>
      <c r="W363" s="365">
        <f t="shared" si="260"/>
        <v>0</v>
      </c>
      <c r="X363" s="365"/>
      <c r="Y363" s="365"/>
      <c r="Z363" s="365"/>
      <c r="AA363" s="365"/>
      <c r="AB363" s="365"/>
      <c r="AC363" s="365"/>
      <c r="AD363" s="366">
        <v>0</v>
      </c>
      <c r="AE363" s="365">
        <f t="shared" si="228"/>
        <v>0</v>
      </c>
      <c r="AF363" s="365">
        <f t="shared" si="261"/>
        <v>0</v>
      </c>
      <c r="AG363" s="365">
        <f t="shared" si="262"/>
        <v>0</v>
      </c>
      <c r="AH363" s="365">
        <f t="shared" si="263"/>
        <v>0</v>
      </c>
      <c r="AI363" s="365">
        <f t="shared" si="264"/>
        <v>0</v>
      </c>
      <c r="AJ363" s="365">
        <f t="shared" si="265"/>
        <v>0</v>
      </c>
      <c r="AK363" s="365">
        <f t="shared" si="266"/>
        <v>0</v>
      </c>
      <c r="AL363" s="365">
        <f t="shared" si="267"/>
        <v>0</v>
      </c>
      <c r="AM363" s="365">
        <f t="shared" si="268"/>
        <v>0</v>
      </c>
      <c r="AN363" s="365">
        <f t="shared" si="269"/>
        <v>0</v>
      </c>
      <c r="AO363" s="365">
        <f t="shared" si="270"/>
        <v>0</v>
      </c>
      <c r="AP363" s="365">
        <f t="shared" si="271"/>
        <v>0</v>
      </c>
      <c r="AQ363" s="365">
        <f t="shared" si="272"/>
        <v>0</v>
      </c>
      <c r="AR363" s="365">
        <f t="shared" si="273"/>
        <v>0</v>
      </c>
      <c r="AS363" s="365">
        <f t="shared" si="274"/>
        <v>0</v>
      </c>
      <c r="AT363" s="363"/>
      <c r="AU363">
        <v>5.51</v>
      </c>
    </row>
    <row r="364" ht="24" spans="1:47">
      <c r="A364" s="284" t="s">
        <v>640</v>
      </c>
      <c r="B364" s="284" t="s">
        <v>199</v>
      </c>
      <c r="C364" s="284" t="s">
        <v>661</v>
      </c>
      <c r="D364" s="284" t="s">
        <v>647</v>
      </c>
      <c r="E364" s="365">
        <f t="shared" si="256"/>
        <v>0</v>
      </c>
      <c r="F364" s="365">
        <f t="shared" si="257"/>
        <v>0</v>
      </c>
      <c r="G364" s="365"/>
      <c r="H364" s="365"/>
      <c r="I364" s="365"/>
      <c r="J364" s="365"/>
      <c r="K364" s="365"/>
      <c r="L364" s="365">
        <f t="shared" si="258"/>
        <v>0</v>
      </c>
      <c r="M364" s="365"/>
      <c r="N364" s="365"/>
      <c r="O364" s="365"/>
      <c r="P364" s="365">
        <f t="shared" si="229"/>
        <v>0</v>
      </c>
      <c r="Q364" s="365">
        <f t="shared" si="259"/>
        <v>0</v>
      </c>
      <c r="R364" s="365"/>
      <c r="S364" s="365"/>
      <c r="T364" s="365"/>
      <c r="U364" s="365"/>
      <c r="V364" s="365"/>
      <c r="W364" s="365">
        <f t="shared" si="260"/>
        <v>0</v>
      </c>
      <c r="X364" s="365"/>
      <c r="Y364" s="365"/>
      <c r="Z364" s="365"/>
      <c r="AA364" s="365"/>
      <c r="AB364" s="365"/>
      <c r="AC364" s="365"/>
      <c r="AD364" s="366">
        <v>0</v>
      </c>
      <c r="AE364" s="365">
        <f t="shared" si="228"/>
        <v>0</v>
      </c>
      <c r="AF364" s="365">
        <f t="shared" si="261"/>
        <v>0</v>
      </c>
      <c r="AG364" s="365">
        <f t="shared" si="262"/>
        <v>0</v>
      </c>
      <c r="AH364" s="365">
        <f t="shared" si="263"/>
        <v>0</v>
      </c>
      <c r="AI364" s="365">
        <f t="shared" si="264"/>
        <v>0</v>
      </c>
      <c r="AJ364" s="365">
        <f t="shared" si="265"/>
        <v>0</v>
      </c>
      <c r="AK364" s="365">
        <f t="shared" si="266"/>
        <v>0</v>
      </c>
      <c r="AL364" s="365">
        <f t="shared" si="267"/>
        <v>0</v>
      </c>
      <c r="AM364" s="365">
        <f t="shared" si="268"/>
        <v>0</v>
      </c>
      <c r="AN364" s="365">
        <f t="shared" si="269"/>
        <v>0</v>
      </c>
      <c r="AO364" s="365">
        <f t="shared" si="270"/>
        <v>0</v>
      </c>
      <c r="AP364" s="365">
        <f t="shared" si="271"/>
        <v>0</v>
      </c>
      <c r="AQ364" s="365">
        <f t="shared" si="272"/>
        <v>0</v>
      </c>
      <c r="AR364" s="365">
        <f t="shared" si="273"/>
        <v>0</v>
      </c>
      <c r="AS364" s="365">
        <f t="shared" si="274"/>
        <v>0</v>
      </c>
      <c r="AT364" s="363"/>
      <c r="AU364">
        <v>6.06</v>
      </c>
    </row>
    <row r="365" ht="24" spans="1:47">
      <c r="A365" s="284" t="s">
        <v>640</v>
      </c>
      <c r="B365" s="284" t="s">
        <v>199</v>
      </c>
      <c r="C365" s="284" t="s">
        <v>662</v>
      </c>
      <c r="D365" s="284" t="s">
        <v>647</v>
      </c>
      <c r="E365" s="365">
        <f t="shared" si="256"/>
        <v>0</v>
      </c>
      <c r="F365" s="365">
        <f t="shared" si="257"/>
        <v>0</v>
      </c>
      <c r="G365" s="365"/>
      <c r="H365" s="365"/>
      <c r="I365" s="365"/>
      <c r="J365" s="365"/>
      <c r="K365" s="365"/>
      <c r="L365" s="365">
        <f t="shared" si="258"/>
        <v>0</v>
      </c>
      <c r="M365" s="365"/>
      <c r="N365" s="365"/>
      <c r="O365" s="365"/>
      <c r="P365" s="365">
        <f t="shared" si="229"/>
        <v>0</v>
      </c>
      <c r="Q365" s="365">
        <f t="shared" si="259"/>
        <v>0</v>
      </c>
      <c r="R365" s="365"/>
      <c r="S365" s="365"/>
      <c r="T365" s="365"/>
      <c r="U365" s="365"/>
      <c r="V365" s="365"/>
      <c r="W365" s="365">
        <f t="shared" si="260"/>
        <v>0</v>
      </c>
      <c r="X365" s="365"/>
      <c r="Y365" s="365"/>
      <c r="Z365" s="365"/>
      <c r="AA365" s="365"/>
      <c r="AB365" s="365"/>
      <c r="AC365" s="365"/>
      <c r="AD365" s="366">
        <v>0</v>
      </c>
      <c r="AE365" s="365">
        <f t="shared" si="228"/>
        <v>0</v>
      </c>
      <c r="AF365" s="365">
        <f t="shared" si="261"/>
        <v>0</v>
      </c>
      <c r="AG365" s="365">
        <f t="shared" si="262"/>
        <v>0</v>
      </c>
      <c r="AH365" s="365">
        <f t="shared" si="263"/>
        <v>0</v>
      </c>
      <c r="AI365" s="365">
        <f t="shared" si="264"/>
        <v>0</v>
      </c>
      <c r="AJ365" s="365">
        <f t="shared" si="265"/>
        <v>0</v>
      </c>
      <c r="AK365" s="365">
        <f t="shared" si="266"/>
        <v>0</v>
      </c>
      <c r="AL365" s="365">
        <f t="shared" si="267"/>
        <v>0</v>
      </c>
      <c r="AM365" s="365">
        <f t="shared" si="268"/>
        <v>0</v>
      </c>
      <c r="AN365" s="365">
        <f t="shared" si="269"/>
        <v>0</v>
      </c>
      <c r="AO365" s="365">
        <f t="shared" si="270"/>
        <v>0</v>
      </c>
      <c r="AP365" s="365">
        <f t="shared" si="271"/>
        <v>0</v>
      </c>
      <c r="AQ365" s="365">
        <f t="shared" si="272"/>
        <v>0</v>
      </c>
      <c r="AR365" s="365">
        <f t="shared" si="273"/>
        <v>0</v>
      </c>
      <c r="AS365" s="365">
        <f t="shared" si="274"/>
        <v>0</v>
      </c>
      <c r="AT365" s="363"/>
      <c r="AU365">
        <v>4</v>
      </c>
    </row>
    <row r="366" ht="24" spans="1:47">
      <c r="A366" s="284" t="s">
        <v>640</v>
      </c>
      <c r="B366" s="284" t="s">
        <v>199</v>
      </c>
      <c r="C366" s="284" t="s">
        <v>663</v>
      </c>
      <c r="D366" s="284" t="s">
        <v>647</v>
      </c>
      <c r="E366" s="365">
        <f t="shared" si="256"/>
        <v>0</v>
      </c>
      <c r="F366" s="365">
        <f t="shared" si="257"/>
        <v>0</v>
      </c>
      <c r="G366" s="365"/>
      <c r="H366" s="365"/>
      <c r="I366" s="365"/>
      <c r="J366" s="365"/>
      <c r="K366" s="365"/>
      <c r="L366" s="365">
        <f t="shared" si="258"/>
        <v>0</v>
      </c>
      <c r="M366" s="365"/>
      <c r="N366" s="365"/>
      <c r="O366" s="365"/>
      <c r="P366" s="365">
        <f t="shared" si="229"/>
        <v>0</v>
      </c>
      <c r="Q366" s="365">
        <f t="shared" si="259"/>
        <v>0</v>
      </c>
      <c r="R366" s="365"/>
      <c r="S366" s="365"/>
      <c r="T366" s="365"/>
      <c r="U366" s="365"/>
      <c r="V366" s="365"/>
      <c r="W366" s="365">
        <f t="shared" si="260"/>
        <v>0</v>
      </c>
      <c r="X366" s="365"/>
      <c r="Y366" s="365"/>
      <c r="Z366" s="365"/>
      <c r="AA366" s="365"/>
      <c r="AB366" s="365"/>
      <c r="AC366" s="365"/>
      <c r="AD366" s="366">
        <v>0</v>
      </c>
      <c r="AE366" s="365">
        <f t="shared" si="228"/>
        <v>0</v>
      </c>
      <c r="AF366" s="365">
        <f t="shared" si="261"/>
        <v>0</v>
      </c>
      <c r="AG366" s="365">
        <f t="shared" si="262"/>
        <v>0</v>
      </c>
      <c r="AH366" s="365">
        <f t="shared" si="263"/>
        <v>0</v>
      </c>
      <c r="AI366" s="365">
        <f t="shared" si="264"/>
        <v>0</v>
      </c>
      <c r="AJ366" s="365">
        <f t="shared" si="265"/>
        <v>0</v>
      </c>
      <c r="AK366" s="365">
        <f t="shared" si="266"/>
        <v>0</v>
      </c>
      <c r="AL366" s="365">
        <f t="shared" si="267"/>
        <v>0</v>
      </c>
      <c r="AM366" s="365">
        <f t="shared" si="268"/>
        <v>0</v>
      </c>
      <c r="AN366" s="365">
        <f t="shared" si="269"/>
        <v>0</v>
      </c>
      <c r="AO366" s="365">
        <f t="shared" si="270"/>
        <v>0</v>
      </c>
      <c r="AP366" s="365">
        <f t="shared" si="271"/>
        <v>0</v>
      </c>
      <c r="AQ366" s="365">
        <f t="shared" si="272"/>
        <v>0</v>
      </c>
      <c r="AR366" s="365">
        <f t="shared" si="273"/>
        <v>0</v>
      </c>
      <c r="AS366" s="365">
        <f t="shared" si="274"/>
        <v>0</v>
      </c>
      <c r="AT366" s="363"/>
      <c r="AU366">
        <v>2.5</v>
      </c>
    </row>
    <row r="367" ht="24" spans="1:47">
      <c r="A367" s="284" t="s">
        <v>640</v>
      </c>
      <c r="B367" s="284" t="s">
        <v>199</v>
      </c>
      <c r="C367" s="284" t="s">
        <v>664</v>
      </c>
      <c r="D367" s="284" t="s">
        <v>647</v>
      </c>
      <c r="E367" s="365">
        <f t="shared" si="256"/>
        <v>0</v>
      </c>
      <c r="F367" s="365">
        <f t="shared" si="257"/>
        <v>0</v>
      </c>
      <c r="G367" s="365"/>
      <c r="H367" s="365"/>
      <c r="I367" s="365"/>
      <c r="J367" s="365"/>
      <c r="K367" s="365"/>
      <c r="L367" s="365">
        <f t="shared" si="258"/>
        <v>0</v>
      </c>
      <c r="M367" s="365"/>
      <c r="N367" s="365"/>
      <c r="O367" s="365"/>
      <c r="P367" s="365">
        <f t="shared" si="229"/>
        <v>0</v>
      </c>
      <c r="Q367" s="365">
        <f t="shared" si="259"/>
        <v>0</v>
      </c>
      <c r="R367" s="365"/>
      <c r="S367" s="365"/>
      <c r="T367" s="365"/>
      <c r="U367" s="365"/>
      <c r="V367" s="365"/>
      <c r="W367" s="365">
        <f t="shared" si="260"/>
        <v>0</v>
      </c>
      <c r="X367" s="365"/>
      <c r="Y367" s="365"/>
      <c r="Z367" s="365"/>
      <c r="AA367" s="365"/>
      <c r="AB367" s="365"/>
      <c r="AC367" s="365"/>
      <c r="AD367" s="366">
        <v>0</v>
      </c>
      <c r="AE367" s="365">
        <f t="shared" si="228"/>
        <v>0</v>
      </c>
      <c r="AF367" s="365">
        <f t="shared" si="261"/>
        <v>0</v>
      </c>
      <c r="AG367" s="365">
        <f t="shared" si="262"/>
        <v>0</v>
      </c>
      <c r="AH367" s="365">
        <f t="shared" si="263"/>
        <v>0</v>
      </c>
      <c r="AI367" s="365">
        <f t="shared" si="264"/>
        <v>0</v>
      </c>
      <c r="AJ367" s="365">
        <f t="shared" si="265"/>
        <v>0</v>
      </c>
      <c r="AK367" s="365">
        <f t="shared" si="266"/>
        <v>0</v>
      </c>
      <c r="AL367" s="365">
        <f t="shared" si="267"/>
        <v>0</v>
      </c>
      <c r="AM367" s="365">
        <f t="shared" si="268"/>
        <v>0</v>
      </c>
      <c r="AN367" s="365">
        <f t="shared" si="269"/>
        <v>0</v>
      </c>
      <c r="AO367" s="365">
        <f t="shared" si="270"/>
        <v>0</v>
      </c>
      <c r="AP367" s="365">
        <f t="shared" si="271"/>
        <v>0</v>
      </c>
      <c r="AQ367" s="365">
        <f t="shared" si="272"/>
        <v>0</v>
      </c>
      <c r="AR367" s="365">
        <f t="shared" si="273"/>
        <v>0</v>
      </c>
      <c r="AS367" s="365">
        <f t="shared" si="274"/>
        <v>0</v>
      </c>
      <c r="AT367" s="363"/>
      <c r="AU367">
        <v>2.625</v>
      </c>
    </row>
    <row r="368" ht="24" spans="1:47">
      <c r="A368" s="284" t="s">
        <v>665</v>
      </c>
      <c r="B368" s="284" t="s">
        <v>196</v>
      </c>
      <c r="C368" s="284" t="s">
        <v>666</v>
      </c>
      <c r="D368" s="284" t="s">
        <v>667</v>
      </c>
      <c r="E368" s="365">
        <f t="shared" si="256"/>
        <v>256.38</v>
      </c>
      <c r="F368" s="365">
        <f t="shared" si="257"/>
        <v>157.38</v>
      </c>
      <c r="G368" s="365">
        <v>91.57</v>
      </c>
      <c r="H368" s="365">
        <v>58.18</v>
      </c>
      <c r="I368" s="365">
        <v>7.63</v>
      </c>
      <c r="J368" s="365"/>
      <c r="K368" s="365"/>
      <c r="L368" s="365">
        <f t="shared" si="258"/>
        <v>99</v>
      </c>
      <c r="M368" s="365"/>
      <c r="N368" s="365"/>
      <c r="O368" s="366">
        <v>99</v>
      </c>
      <c r="P368" s="365">
        <f t="shared" si="229"/>
        <v>-9.7584</v>
      </c>
      <c r="Q368" s="365">
        <f t="shared" si="259"/>
        <v>9.01</v>
      </c>
      <c r="R368" s="365">
        <v>7.84</v>
      </c>
      <c r="S368" s="365">
        <v>0.46</v>
      </c>
      <c r="T368" s="365">
        <v>0.71</v>
      </c>
      <c r="U368" s="365"/>
      <c r="V368" s="365"/>
      <c r="W368" s="365">
        <f t="shared" si="260"/>
        <v>-18.7684</v>
      </c>
      <c r="X368" s="365"/>
      <c r="Y368" s="365">
        <v>43.49</v>
      </c>
      <c r="Z368" s="365">
        <v>6</v>
      </c>
      <c r="AA368" s="365"/>
      <c r="AB368" s="365">
        <v>30.1416</v>
      </c>
      <c r="AC368" s="365">
        <v>0.6</v>
      </c>
      <c r="AD368" s="366">
        <v>-99</v>
      </c>
      <c r="AE368" s="365">
        <f t="shared" si="228"/>
        <v>246.6216</v>
      </c>
      <c r="AF368" s="365">
        <f t="shared" si="261"/>
        <v>166.39</v>
      </c>
      <c r="AG368" s="365">
        <f t="shared" si="262"/>
        <v>99.41</v>
      </c>
      <c r="AH368" s="365">
        <f t="shared" si="263"/>
        <v>58.64</v>
      </c>
      <c r="AI368" s="365">
        <f t="shared" si="264"/>
        <v>8.34</v>
      </c>
      <c r="AJ368" s="365">
        <f t="shared" si="265"/>
        <v>0</v>
      </c>
      <c r="AK368" s="365">
        <f t="shared" si="266"/>
        <v>0</v>
      </c>
      <c r="AL368" s="365">
        <f t="shared" si="267"/>
        <v>80.2316</v>
      </c>
      <c r="AM368" s="365">
        <f t="shared" si="268"/>
        <v>0</v>
      </c>
      <c r="AN368" s="365">
        <f t="shared" si="269"/>
        <v>43.49</v>
      </c>
      <c r="AO368" s="365">
        <f t="shared" si="270"/>
        <v>6</v>
      </c>
      <c r="AP368" s="365">
        <f t="shared" si="271"/>
        <v>0</v>
      </c>
      <c r="AQ368" s="365">
        <f t="shared" si="272"/>
        <v>30.1416</v>
      </c>
      <c r="AR368" s="365">
        <f t="shared" si="273"/>
        <v>0.6</v>
      </c>
      <c r="AS368" s="365">
        <f t="shared" si="274"/>
        <v>0</v>
      </c>
      <c r="AT368" s="363" t="s">
        <v>801</v>
      </c>
      <c r="AU368">
        <v>30.1416</v>
      </c>
    </row>
    <row r="369" ht="24" spans="1:46">
      <c r="A369" s="284" t="s">
        <v>665</v>
      </c>
      <c r="B369" s="284" t="s">
        <v>199</v>
      </c>
      <c r="C369" s="284" t="s">
        <v>680</v>
      </c>
      <c r="D369" s="284" t="s">
        <v>681</v>
      </c>
      <c r="E369" s="365">
        <f t="shared" si="256"/>
        <v>0</v>
      </c>
      <c r="F369" s="365">
        <f t="shared" si="257"/>
        <v>0</v>
      </c>
      <c r="G369" s="365"/>
      <c r="H369" s="365"/>
      <c r="I369" s="365"/>
      <c r="J369" s="365"/>
      <c r="K369" s="365"/>
      <c r="L369" s="365">
        <f t="shared" si="258"/>
        <v>0</v>
      </c>
      <c r="M369" s="365"/>
      <c r="N369" s="365"/>
      <c r="O369" s="366"/>
      <c r="P369" s="365">
        <f t="shared" si="229"/>
        <v>0</v>
      </c>
      <c r="Q369" s="365">
        <f t="shared" si="259"/>
        <v>0</v>
      </c>
      <c r="R369" s="365"/>
      <c r="S369" s="365"/>
      <c r="T369" s="365"/>
      <c r="U369" s="365"/>
      <c r="V369" s="365"/>
      <c r="W369" s="365">
        <f t="shared" si="260"/>
        <v>0</v>
      </c>
      <c r="X369" s="365"/>
      <c r="Y369" s="365"/>
      <c r="Z369" s="365"/>
      <c r="AA369" s="365"/>
      <c r="AB369" s="365"/>
      <c r="AC369" s="365"/>
      <c r="AD369" s="366"/>
      <c r="AE369" s="365">
        <f t="shared" si="228"/>
        <v>0</v>
      </c>
      <c r="AF369" s="365">
        <f t="shared" si="261"/>
        <v>0</v>
      </c>
      <c r="AG369" s="365">
        <f t="shared" si="262"/>
        <v>0</v>
      </c>
      <c r="AH369" s="365">
        <f t="shared" si="263"/>
        <v>0</v>
      </c>
      <c r="AI369" s="365">
        <f t="shared" si="264"/>
        <v>0</v>
      </c>
      <c r="AJ369" s="365">
        <f t="shared" si="265"/>
        <v>0</v>
      </c>
      <c r="AK369" s="365">
        <f t="shared" si="266"/>
        <v>0</v>
      </c>
      <c r="AL369" s="365">
        <f t="shared" si="267"/>
        <v>0</v>
      </c>
      <c r="AM369" s="365">
        <f t="shared" si="268"/>
        <v>0</v>
      </c>
      <c r="AN369" s="365">
        <f t="shared" si="269"/>
        <v>0</v>
      </c>
      <c r="AO369" s="365">
        <f t="shared" si="270"/>
        <v>0</v>
      </c>
      <c r="AP369" s="365">
        <f t="shared" si="271"/>
        <v>0</v>
      </c>
      <c r="AQ369" s="365">
        <f t="shared" si="272"/>
        <v>0</v>
      </c>
      <c r="AR369" s="365">
        <f t="shared" si="273"/>
        <v>0</v>
      </c>
      <c r="AS369" s="365">
        <f t="shared" si="274"/>
        <v>0</v>
      </c>
      <c r="AT369" s="363"/>
    </row>
    <row r="370" ht="24" spans="1:47">
      <c r="A370" s="284" t="s">
        <v>665</v>
      </c>
      <c r="B370" s="284" t="s">
        <v>196</v>
      </c>
      <c r="C370" s="284" t="s">
        <v>668</v>
      </c>
      <c r="D370" s="284" t="s">
        <v>667</v>
      </c>
      <c r="E370" s="365">
        <f t="shared" si="256"/>
        <v>247.44</v>
      </c>
      <c r="F370" s="365">
        <f t="shared" si="257"/>
        <v>165.29</v>
      </c>
      <c r="G370" s="365">
        <v>89</v>
      </c>
      <c r="H370" s="365">
        <v>68.8</v>
      </c>
      <c r="I370" s="365">
        <v>7.49</v>
      </c>
      <c r="J370" s="365"/>
      <c r="K370" s="365"/>
      <c r="L370" s="365">
        <f t="shared" si="258"/>
        <v>82.15</v>
      </c>
      <c r="M370" s="365">
        <v>37.15</v>
      </c>
      <c r="N370" s="365"/>
      <c r="O370" s="366">
        <v>45</v>
      </c>
      <c r="P370" s="365">
        <f t="shared" si="229"/>
        <v>134.2671</v>
      </c>
      <c r="Q370" s="365">
        <f t="shared" si="259"/>
        <v>39.07</v>
      </c>
      <c r="R370" s="365">
        <v>38.54</v>
      </c>
      <c r="S370" s="365"/>
      <c r="T370" s="365">
        <v>1.04</v>
      </c>
      <c r="U370" s="365">
        <v>-0.51</v>
      </c>
      <c r="V370" s="365"/>
      <c r="W370" s="365">
        <f t="shared" si="260"/>
        <v>95.1971</v>
      </c>
      <c r="X370" s="365"/>
      <c r="Y370" s="365">
        <v>83.95</v>
      </c>
      <c r="Z370" s="365">
        <v>35</v>
      </c>
      <c r="AA370" s="365"/>
      <c r="AB370" s="365">
        <v>20.6471</v>
      </c>
      <c r="AC370" s="365">
        <v>0.6</v>
      </c>
      <c r="AD370" s="366">
        <v>-45</v>
      </c>
      <c r="AE370" s="365">
        <f t="shared" si="228"/>
        <v>381.7071</v>
      </c>
      <c r="AF370" s="365">
        <f t="shared" si="261"/>
        <v>204.36</v>
      </c>
      <c r="AG370" s="365">
        <f t="shared" si="262"/>
        <v>127.54</v>
      </c>
      <c r="AH370" s="365">
        <f t="shared" si="263"/>
        <v>68.8</v>
      </c>
      <c r="AI370" s="365">
        <f t="shared" si="264"/>
        <v>8.53</v>
      </c>
      <c r="AJ370" s="365">
        <f t="shared" si="265"/>
        <v>-0.51</v>
      </c>
      <c r="AK370" s="365">
        <f t="shared" si="266"/>
        <v>0</v>
      </c>
      <c r="AL370" s="365">
        <f t="shared" si="267"/>
        <v>177.3471</v>
      </c>
      <c r="AM370" s="365">
        <f t="shared" si="268"/>
        <v>37.15</v>
      </c>
      <c r="AN370" s="365">
        <f t="shared" si="269"/>
        <v>83.95</v>
      </c>
      <c r="AO370" s="365">
        <f t="shared" si="270"/>
        <v>35</v>
      </c>
      <c r="AP370" s="365">
        <f t="shared" si="271"/>
        <v>0</v>
      </c>
      <c r="AQ370" s="365">
        <f t="shared" si="272"/>
        <v>20.6471</v>
      </c>
      <c r="AR370" s="365">
        <f t="shared" si="273"/>
        <v>0.6</v>
      </c>
      <c r="AS370" s="365">
        <f t="shared" si="274"/>
        <v>0</v>
      </c>
      <c r="AT370" s="363"/>
      <c r="AU370">
        <v>20.6471</v>
      </c>
    </row>
    <row r="371" ht="24" spans="1:47">
      <c r="A371" s="284" t="s">
        <v>665</v>
      </c>
      <c r="B371" s="284" t="s">
        <v>199</v>
      </c>
      <c r="C371" s="284" t="s">
        <v>669</v>
      </c>
      <c r="D371" s="284" t="s">
        <v>670</v>
      </c>
      <c r="E371" s="365">
        <f t="shared" si="256"/>
        <v>0</v>
      </c>
      <c r="F371" s="365">
        <f t="shared" si="257"/>
        <v>0</v>
      </c>
      <c r="G371" s="365"/>
      <c r="H371" s="365"/>
      <c r="I371" s="365"/>
      <c r="J371" s="365"/>
      <c r="K371" s="365"/>
      <c r="L371" s="365">
        <f t="shared" si="258"/>
        <v>0</v>
      </c>
      <c r="M371" s="365"/>
      <c r="N371" s="365"/>
      <c r="O371" s="365"/>
      <c r="P371" s="365">
        <f t="shared" si="229"/>
        <v>0</v>
      </c>
      <c r="Q371" s="365">
        <f t="shared" si="259"/>
        <v>0</v>
      </c>
      <c r="R371" s="365"/>
      <c r="S371" s="365"/>
      <c r="T371" s="365"/>
      <c r="U371" s="365"/>
      <c r="V371" s="365"/>
      <c r="W371" s="365">
        <f t="shared" si="260"/>
        <v>0</v>
      </c>
      <c r="X371" s="365"/>
      <c r="Y371" s="365"/>
      <c r="Z371" s="365"/>
      <c r="AA371" s="365"/>
      <c r="AB371" s="365"/>
      <c r="AC371" s="365"/>
      <c r="AD371" s="366">
        <v>0</v>
      </c>
      <c r="AE371" s="365">
        <f t="shared" si="228"/>
        <v>0</v>
      </c>
      <c r="AF371" s="365">
        <f t="shared" si="261"/>
        <v>0</v>
      </c>
      <c r="AG371" s="365">
        <f t="shared" si="262"/>
        <v>0</v>
      </c>
      <c r="AH371" s="365">
        <f t="shared" si="263"/>
        <v>0</v>
      </c>
      <c r="AI371" s="365">
        <f t="shared" si="264"/>
        <v>0</v>
      </c>
      <c r="AJ371" s="365">
        <f t="shared" si="265"/>
        <v>0</v>
      </c>
      <c r="AK371" s="365">
        <f t="shared" si="266"/>
        <v>0</v>
      </c>
      <c r="AL371" s="365">
        <f t="shared" si="267"/>
        <v>0</v>
      </c>
      <c r="AM371" s="365">
        <f t="shared" si="268"/>
        <v>0</v>
      </c>
      <c r="AN371" s="365">
        <f t="shared" si="269"/>
        <v>0</v>
      </c>
      <c r="AO371" s="365">
        <f t="shared" si="270"/>
        <v>0</v>
      </c>
      <c r="AP371" s="365">
        <f t="shared" si="271"/>
        <v>0</v>
      </c>
      <c r="AQ371" s="365">
        <f t="shared" si="272"/>
        <v>0</v>
      </c>
      <c r="AR371" s="365">
        <f t="shared" si="273"/>
        <v>0</v>
      </c>
      <c r="AS371" s="365">
        <f t="shared" si="274"/>
        <v>0</v>
      </c>
      <c r="AT371" s="363"/>
      <c r="AU371">
        <v>2</v>
      </c>
    </row>
    <row r="372" ht="24" spans="1:46">
      <c r="A372" s="284" t="s">
        <v>665</v>
      </c>
      <c r="B372" s="284" t="s">
        <v>199</v>
      </c>
      <c r="C372" s="284" t="s">
        <v>671</v>
      </c>
      <c r="D372" s="284" t="s">
        <v>670</v>
      </c>
      <c r="E372" s="365">
        <f t="shared" si="256"/>
        <v>0</v>
      </c>
      <c r="F372" s="365">
        <f t="shared" si="257"/>
        <v>0</v>
      </c>
      <c r="G372" s="365"/>
      <c r="H372" s="365"/>
      <c r="I372" s="365"/>
      <c r="J372" s="365"/>
      <c r="K372" s="365"/>
      <c r="L372" s="365">
        <f t="shared" si="258"/>
        <v>0</v>
      </c>
      <c r="M372" s="365"/>
      <c r="N372" s="365"/>
      <c r="O372" s="365"/>
      <c r="P372" s="365">
        <f t="shared" si="229"/>
        <v>0</v>
      </c>
      <c r="Q372" s="365">
        <f t="shared" si="259"/>
        <v>0</v>
      </c>
      <c r="R372" s="365"/>
      <c r="S372" s="365"/>
      <c r="T372" s="365"/>
      <c r="U372" s="365"/>
      <c r="V372" s="365"/>
      <c r="W372" s="365">
        <f t="shared" si="260"/>
        <v>0</v>
      </c>
      <c r="X372" s="365"/>
      <c r="Y372" s="365"/>
      <c r="Z372" s="365"/>
      <c r="AA372" s="365"/>
      <c r="AB372" s="365"/>
      <c r="AC372" s="365"/>
      <c r="AD372" s="366">
        <v>0</v>
      </c>
      <c r="AE372" s="365">
        <f t="shared" si="228"/>
        <v>0</v>
      </c>
      <c r="AF372" s="365">
        <f t="shared" si="261"/>
        <v>0</v>
      </c>
      <c r="AG372" s="365">
        <f t="shared" si="262"/>
        <v>0</v>
      </c>
      <c r="AH372" s="365">
        <f t="shared" si="263"/>
        <v>0</v>
      </c>
      <c r="AI372" s="365">
        <f t="shared" si="264"/>
        <v>0</v>
      </c>
      <c r="AJ372" s="365">
        <f t="shared" si="265"/>
        <v>0</v>
      </c>
      <c r="AK372" s="365">
        <f t="shared" si="266"/>
        <v>0</v>
      </c>
      <c r="AL372" s="365">
        <f t="shared" si="267"/>
        <v>0</v>
      </c>
      <c r="AM372" s="365">
        <f t="shared" si="268"/>
        <v>0</v>
      </c>
      <c r="AN372" s="365">
        <f t="shared" si="269"/>
        <v>0</v>
      </c>
      <c r="AO372" s="365">
        <f t="shared" si="270"/>
        <v>0</v>
      </c>
      <c r="AP372" s="365">
        <f t="shared" si="271"/>
        <v>0</v>
      </c>
      <c r="AQ372" s="365">
        <f t="shared" si="272"/>
        <v>0</v>
      </c>
      <c r="AR372" s="365">
        <f t="shared" si="273"/>
        <v>0</v>
      </c>
      <c r="AS372" s="365">
        <f t="shared" si="274"/>
        <v>0</v>
      </c>
      <c r="AT372" s="363"/>
    </row>
    <row r="373" ht="24" spans="1:47">
      <c r="A373" s="284" t="s">
        <v>665</v>
      </c>
      <c r="B373" s="284" t="s">
        <v>199</v>
      </c>
      <c r="C373" s="284" t="s">
        <v>672</v>
      </c>
      <c r="D373" s="284" t="s">
        <v>670</v>
      </c>
      <c r="E373" s="365">
        <f t="shared" si="256"/>
        <v>0</v>
      </c>
      <c r="F373" s="365">
        <f t="shared" si="257"/>
        <v>0</v>
      </c>
      <c r="G373" s="365"/>
      <c r="H373" s="365"/>
      <c r="I373" s="365"/>
      <c r="J373" s="365"/>
      <c r="K373" s="365"/>
      <c r="L373" s="365">
        <f t="shared" si="258"/>
        <v>0</v>
      </c>
      <c r="M373" s="365"/>
      <c r="N373" s="365"/>
      <c r="O373" s="365"/>
      <c r="P373" s="365">
        <f t="shared" si="229"/>
        <v>0</v>
      </c>
      <c r="Q373" s="365">
        <f t="shared" si="259"/>
        <v>0</v>
      </c>
      <c r="R373" s="365"/>
      <c r="S373" s="365"/>
      <c r="T373" s="365"/>
      <c r="U373" s="365"/>
      <c r="V373" s="365"/>
      <c r="W373" s="365">
        <f t="shared" si="260"/>
        <v>0</v>
      </c>
      <c r="X373" s="365"/>
      <c r="Y373" s="365"/>
      <c r="Z373" s="365"/>
      <c r="AA373" s="365"/>
      <c r="AB373" s="365"/>
      <c r="AC373" s="365"/>
      <c r="AD373" s="366">
        <v>0</v>
      </c>
      <c r="AE373" s="365">
        <f t="shared" si="228"/>
        <v>0</v>
      </c>
      <c r="AF373" s="365">
        <f t="shared" si="261"/>
        <v>0</v>
      </c>
      <c r="AG373" s="365">
        <f t="shared" si="262"/>
        <v>0</v>
      </c>
      <c r="AH373" s="365">
        <f t="shared" si="263"/>
        <v>0</v>
      </c>
      <c r="AI373" s="365">
        <f t="shared" si="264"/>
        <v>0</v>
      </c>
      <c r="AJ373" s="365">
        <f t="shared" si="265"/>
        <v>0</v>
      </c>
      <c r="AK373" s="365">
        <f t="shared" si="266"/>
        <v>0</v>
      </c>
      <c r="AL373" s="365">
        <f t="shared" si="267"/>
        <v>0</v>
      </c>
      <c r="AM373" s="365">
        <f t="shared" si="268"/>
        <v>0</v>
      </c>
      <c r="AN373" s="365">
        <f t="shared" si="269"/>
        <v>0</v>
      </c>
      <c r="AO373" s="365">
        <f t="shared" si="270"/>
        <v>0</v>
      </c>
      <c r="AP373" s="365">
        <f t="shared" si="271"/>
        <v>0</v>
      </c>
      <c r="AQ373" s="365">
        <f t="shared" si="272"/>
        <v>0</v>
      </c>
      <c r="AR373" s="365">
        <f t="shared" si="273"/>
        <v>0</v>
      </c>
      <c r="AS373" s="365">
        <f t="shared" si="274"/>
        <v>0</v>
      </c>
      <c r="AT373" s="363"/>
      <c r="AU373">
        <v>12</v>
      </c>
    </row>
    <row r="374" ht="24" spans="1:47">
      <c r="A374" s="284" t="s">
        <v>665</v>
      </c>
      <c r="B374" s="284" t="s">
        <v>199</v>
      </c>
      <c r="C374" s="284" t="s">
        <v>673</v>
      </c>
      <c r="D374" s="284" t="s">
        <v>670</v>
      </c>
      <c r="E374" s="365">
        <f t="shared" si="256"/>
        <v>0</v>
      </c>
      <c r="F374" s="365">
        <f t="shared" si="257"/>
        <v>0</v>
      </c>
      <c r="G374" s="365"/>
      <c r="H374" s="365"/>
      <c r="I374" s="365"/>
      <c r="J374" s="365"/>
      <c r="K374" s="365"/>
      <c r="L374" s="365">
        <f t="shared" si="258"/>
        <v>0</v>
      </c>
      <c r="M374" s="365"/>
      <c r="N374" s="365"/>
      <c r="O374" s="365"/>
      <c r="P374" s="365">
        <f t="shared" si="229"/>
        <v>0</v>
      </c>
      <c r="Q374" s="365">
        <f t="shared" si="259"/>
        <v>0</v>
      </c>
      <c r="R374" s="365"/>
      <c r="S374" s="365"/>
      <c r="T374" s="365"/>
      <c r="U374" s="365"/>
      <c r="V374" s="365"/>
      <c r="W374" s="365">
        <f t="shared" si="260"/>
        <v>0</v>
      </c>
      <c r="X374" s="365"/>
      <c r="Y374" s="365"/>
      <c r="Z374" s="365"/>
      <c r="AA374" s="365"/>
      <c r="AB374" s="365"/>
      <c r="AC374" s="365"/>
      <c r="AD374" s="366">
        <v>0</v>
      </c>
      <c r="AE374" s="365">
        <f t="shared" si="228"/>
        <v>0</v>
      </c>
      <c r="AF374" s="365">
        <f t="shared" si="261"/>
        <v>0</v>
      </c>
      <c r="AG374" s="365">
        <f t="shared" si="262"/>
        <v>0</v>
      </c>
      <c r="AH374" s="365">
        <f t="shared" si="263"/>
        <v>0</v>
      </c>
      <c r="AI374" s="365">
        <f t="shared" si="264"/>
        <v>0</v>
      </c>
      <c r="AJ374" s="365">
        <f t="shared" si="265"/>
        <v>0</v>
      </c>
      <c r="AK374" s="365">
        <f t="shared" si="266"/>
        <v>0</v>
      </c>
      <c r="AL374" s="365">
        <f t="shared" si="267"/>
        <v>0</v>
      </c>
      <c r="AM374" s="365">
        <f t="shared" si="268"/>
        <v>0</v>
      </c>
      <c r="AN374" s="365">
        <f t="shared" si="269"/>
        <v>0</v>
      </c>
      <c r="AO374" s="365">
        <f t="shared" si="270"/>
        <v>0</v>
      </c>
      <c r="AP374" s="365">
        <f t="shared" si="271"/>
        <v>0</v>
      </c>
      <c r="AQ374" s="365">
        <f t="shared" si="272"/>
        <v>0</v>
      </c>
      <c r="AR374" s="365">
        <f t="shared" si="273"/>
        <v>0</v>
      </c>
      <c r="AS374" s="365">
        <f t="shared" si="274"/>
        <v>0</v>
      </c>
      <c r="AT374" s="363"/>
      <c r="AU374">
        <v>3</v>
      </c>
    </row>
    <row r="375" ht="24" spans="1:47">
      <c r="A375" s="284" t="s">
        <v>665</v>
      </c>
      <c r="B375" s="284" t="s">
        <v>199</v>
      </c>
      <c r="C375" s="284" t="s">
        <v>674</v>
      </c>
      <c r="D375" s="284" t="s">
        <v>670</v>
      </c>
      <c r="E375" s="365">
        <f t="shared" si="256"/>
        <v>0</v>
      </c>
      <c r="F375" s="365">
        <f t="shared" si="257"/>
        <v>0</v>
      </c>
      <c r="G375" s="365"/>
      <c r="H375" s="365"/>
      <c r="I375" s="365"/>
      <c r="J375" s="365"/>
      <c r="K375" s="365"/>
      <c r="L375" s="365">
        <f t="shared" si="258"/>
        <v>0</v>
      </c>
      <c r="M375" s="365"/>
      <c r="N375" s="365"/>
      <c r="O375" s="365"/>
      <c r="P375" s="365">
        <f t="shared" si="229"/>
        <v>0</v>
      </c>
      <c r="Q375" s="365">
        <f t="shared" si="259"/>
        <v>0</v>
      </c>
      <c r="R375" s="365"/>
      <c r="S375" s="365"/>
      <c r="T375" s="365"/>
      <c r="U375" s="365"/>
      <c r="V375" s="365"/>
      <c r="W375" s="365">
        <f t="shared" si="260"/>
        <v>0</v>
      </c>
      <c r="X375" s="365"/>
      <c r="Y375" s="365"/>
      <c r="Z375" s="365"/>
      <c r="AA375" s="365"/>
      <c r="AB375" s="365"/>
      <c r="AC375" s="365"/>
      <c r="AD375" s="366">
        <v>0</v>
      </c>
      <c r="AE375" s="365">
        <f t="shared" si="228"/>
        <v>0</v>
      </c>
      <c r="AF375" s="365">
        <f t="shared" si="261"/>
        <v>0</v>
      </c>
      <c r="AG375" s="365">
        <f t="shared" si="262"/>
        <v>0</v>
      </c>
      <c r="AH375" s="365">
        <f t="shared" si="263"/>
        <v>0</v>
      </c>
      <c r="AI375" s="365">
        <f t="shared" si="264"/>
        <v>0</v>
      </c>
      <c r="AJ375" s="365">
        <f t="shared" si="265"/>
        <v>0</v>
      </c>
      <c r="AK375" s="365">
        <f t="shared" si="266"/>
        <v>0</v>
      </c>
      <c r="AL375" s="365">
        <f t="shared" si="267"/>
        <v>0</v>
      </c>
      <c r="AM375" s="365">
        <f t="shared" si="268"/>
        <v>0</v>
      </c>
      <c r="AN375" s="365">
        <f t="shared" si="269"/>
        <v>0</v>
      </c>
      <c r="AO375" s="365">
        <f t="shared" si="270"/>
        <v>0</v>
      </c>
      <c r="AP375" s="365">
        <f t="shared" si="271"/>
        <v>0</v>
      </c>
      <c r="AQ375" s="365">
        <f t="shared" si="272"/>
        <v>0</v>
      </c>
      <c r="AR375" s="365">
        <f t="shared" si="273"/>
        <v>0</v>
      </c>
      <c r="AS375" s="365">
        <f t="shared" si="274"/>
        <v>0</v>
      </c>
      <c r="AT375" s="363"/>
      <c r="AU375">
        <v>3</v>
      </c>
    </row>
    <row r="376" ht="24" spans="1:47">
      <c r="A376" s="284" t="s">
        <v>665</v>
      </c>
      <c r="B376" s="284" t="s">
        <v>199</v>
      </c>
      <c r="C376" s="284" t="s">
        <v>675</v>
      </c>
      <c r="D376" s="284" t="s">
        <v>670</v>
      </c>
      <c r="E376" s="365">
        <f t="shared" si="256"/>
        <v>0</v>
      </c>
      <c r="F376" s="365">
        <f t="shared" si="257"/>
        <v>0</v>
      </c>
      <c r="G376" s="365"/>
      <c r="H376" s="365"/>
      <c r="I376" s="365"/>
      <c r="J376" s="365"/>
      <c r="K376" s="365"/>
      <c r="L376" s="365">
        <f t="shared" si="258"/>
        <v>0</v>
      </c>
      <c r="M376" s="365"/>
      <c r="N376" s="365"/>
      <c r="O376" s="365"/>
      <c r="P376" s="365">
        <f t="shared" si="229"/>
        <v>0</v>
      </c>
      <c r="Q376" s="365">
        <f t="shared" si="259"/>
        <v>0</v>
      </c>
      <c r="R376" s="365"/>
      <c r="S376" s="365"/>
      <c r="T376" s="365"/>
      <c r="U376" s="365"/>
      <c r="V376" s="365"/>
      <c r="W376" s="365">
        <f t="shared" si="260"/>
        <v>0</v>
      </c>
      <c r="X376" s="365"/>
      <c r="Y376" s="365"/>
      <c r="Z376" s="365"/>
      <c r="AA376" s="365"/>
      <c r="AB376" s="365"/>
      <c r="AC376" s="365"/>
      <c r="AD376" s="366">
        <v>0</v>
      </c>
      <c r="AE376" s="365">
        <f t="shared" si="228"/>
        <v>0</v>
      </c>
      <c r="AF376" s="365">
        <f t="shared" si="261"/>
        <v>0</v>
      </c>
      <c r="AG376" s="365">
        <f t="shared" si="262"/>
        <v>0</v>
      </c>
      <c r="AH376" s="365">
        <f t="shared" si="263"/>
        <v>0</v>
      </c>
      <c r="AI376" s="365">
        <f t="shared" si="264"/>
        <v>0</v>
      </c>
      <c r="AJ376" s="365">
        <f t="shared" si="265"/>
        <v>0</v>
      </c>
      <c r="AK376" s="365">
        <f t="shared" si="266"/>
        <v>0</v>
      </c>
      <c r="AL376" s="365">
        <f t="shared" si="267"/>
        <v>0</v>
      </c>
      <c r="AM376" s="365">
        <f t="shared" si="268"/>
        <v>0</v>
      </c>
      <c r="AN376" s="365">
        <f t="shared" si="269"/>
        <v>0</v>
      </c>
      <c r="AO376" s="365">
        <f t="shared" si="270"/>
        <v>0</v>
      </c>
      <c r="AP376" s="365">
        <f t="shared" si="271"/>
        <v>0</v>
      </c>
      <c r="AQ376" s="365">
        <f t="shared" si="272"/>
        <v>0</v>
      </c>
      <c r="AR376" s="365">
        <f t="shared" si="273"/>
        <v>0</v>
      </c>
      <c r="AS376" s="365">
        <f t="shared" si="274"/>
        <v>0</v>
      </c>
      <c r="AT376" s="363"/>
      <c r="AU376">
        <v>1.5</v>
      </c>
    </row>
    <row r="377" ht="24" spans="1:47">
      <c r="A377" s="284" t="s">
        <v>665</v>
      </c>
      <c r="B377" s="284" t="s">
        <v>199</v>
      </c>
      <c r="C377" s="284" t="s">
        <v>676</v>
      </c>
      <c r="D377" s="284" t="s">
        <v>670</v>
      </c>
      <c r="E377" s="365">
        <f t="shared" si="256"/>
        <v>0</v>
      </c>
      <c r="F377" s="365">
        <f t="shared" si="257"/>
        <v>0</v>
      </c>
      <c r="G377" s="365"/>
      <c r="H377" s="365"/>
      <c r="I377" s="365"/>
      <c r="J377" s="365"/>
      <c r="K377" s="365"/>
      <c r="L377" s="365">
        <f t="shared" si="258"/>
        <v>0</v>
      </c>
      <c r="M377" s="365"/>
      <c r="N377" s="365"/>
      <c r="O377" s="365"/>
      <c r="P377" s="365">
        <f t="shared" si="229"/>
        <v>0</v>
      </c>
      <c r="Q377" s="365">
        <f t="shared" si="259"/>
        <v>0</v>
      </c>
      <c r="R377" s="365"/>
      <c r="S377" s="365"/>
      <c r="T377" s="365"/>
      <c r="U377" s="365"/>
      <c r="V377" s="365"/>
      <c r="W377" s="365">
        <f t="shared" si="260"/>
        <v>0</v>
      </c>
      <c r="X377" s="365"/>
      <c r="Y377" s="365"/>
      <c r="Z377" s="365"/>
      <c r="AA377" s="365"/>
      <c r="AB377" s="365"/>
      <c r="AC377" s="365"/>
      <c r="AD377" s="366">
        <v>0</v>
      </c>
      <c r="AE377" s="365">
        <f t="shared" si="228"/>
        <v>0</v>
      </c>
      <c r="AF377" s="365">
        <f t="shared" si="261"/>
        <v>0</v>
      </c>
      <c r="AG377" s="365">
        <f t="shared" si="262"/>
        <v>0</v>
      </c>
      <c r="AH377" s="365">
        <f t="shared" si="263"/>
        <v>0</v>
      </c>
      <c r="AI377" s="365">
        <f t="shared" si="264"/>
        <v>0</v>
      </c>
      <c r="AJ377" s="365">
        <f t="shared" si="265"/>
        <v>0</v>
      </c>
      <c r="AK377" s="365">
        <f t="shared" si="266"/>
        <v>0</v>
      </c>
      <c r="AL377" s="365">
        <f t="shared" si="267"/>
        <v>0</v>
      </c>
      <c r="AM377" s="365">
        <f t="shared" si="268"/>
        <v>0</v>
      </c>
      <c r="AN377" s="365">
        <f t="shared" si="269"/>
        <v>0</v>
      </c>
      <c r="AO377" s="365">
        <f t="shared" si="270"/>
        <v>0</v>
      </c>
      <c r="AP377" s="365">
        <f t="shared" si="271"/>
        <v>0</v>
      </c>
      <c r="AQ377" s="365">
        <f t="shared" si="272"/>
        <v>0</v>
      </c>
      <c r="AR377" s="365">
        <f t="shared" si="273"/>
        <v>0</v>
      </c>
      <c r="AS377" s="365">
        <f t="shared" si="274"/>
        <v>0</v>
      </c>
      <c r="AT377" s="363"/>
      <c r="AU377">
        <v>2.5</v>
      </c>
    </row>
    <row r="378" ht="24" spans="1:46">
      <c r="A378" s="284" t="s">
        <v>665</v>
      </c>
      <c r="B378" s="284" t="s">
        <v>199</v>
      </c>
      <c r="C378" s="284" t="s">
        <v>677</v>
      </c>
      <c r="D378" s="284" t="s">
        <v>670</v>
      </c>
      <c r="E378" s="365">
        <f t="shared" si="256"/>
        <v>0</v>
      </c>
      <c r="F378" s="365">
        <f t="shared" si="257"/>
        <v>0</v>
      </c>
      <c r="G378" s="365"/>
      <c r="H378" s="365"/>
      <c r="I378" s="365"/>
      <c r="J378" s="365"/>
      <c r="K378" s="365"/>
      <c r="L378" s="365">
        <f t="shared" si="258"/>
        <v>0</v>
      </c>
      <c r="M378" s="365"/>
      <c r="N378" s="365"/>
      <c r="O378" s="365"/>
      <c r="P378" s="365">
        <f t="shared" si="229"/>
        <v>0</v>
      </c>
      <c r="Q378" s="365">
        <f t="shared" si="259"/>
        <v>0</v>
      </c>
      <c r="R378" s="365"/>
      <c r="S378" s="365"/>
      <c r="T378" s="365"/>
      <c r="U378" s="365"/>
      <c r="V378" s="365"/>
      <c r="W378" s="365">
        <f t="shared" si="260"/>
        <v>0</v>
      </c>
      <c r="X378" s="365"/>
      <c r="Y378" s="365"/>
      <c r="Z378" s="365"/>
      <c r="AA378" s="365"/>
      <c r="AB378" s="365"/>
      <c r="AC378" s="365"/>
      <c r="AD378" s="366">
        <v>0</v>
      </c>
      <c r="AE378" s="365">
        <f t="shared" si="228"/>
        <v>0</v>
      </c>
      <c r="AF378" s="365">
        <f t="shared" si="261"/>
        <v>0</v>
      </c>
      <c r="AG378" s="365">
        <f t="shared" si="262"/>
        <v>0</v>
      </c>
      <c r="AH378" s="365">
        <f t="shared" si="263"/>
        <v>0</v>
      </c>
      <c r="AI378" s="365">
        <f t="shared" si="264"/>
        <v>0</v>
      </c>
      <c r="AJ378" s="365">
        <f t="shared" si="265"/>
        <v>0</v>
      </c>
      <c r="AK378" s="365">
        <f t="shared" si="266"/>
        <v>0</v>
      </c>
      <c r="AL378" s="365">
        <f t="shared" si="267"/>
        <v>0</v>
      </c>
      <c r="AM378" s="365">
        <f t="shared" si="268"/>
        <v>0</v>
      </c>
      <c r="AN378" s="365">
        <f t="shared" si="269"/>
        <v>0</v>
      </c>
      <c r="AO378" s="365">
        <f t="shared" si="270"/>
        <v>0</v>
      </c>
      <c r="AP378" s="365">
        <f t="shared" si="271"/>
        <v>0</v>
      </c>
      <c r="AQ378" s="365">
        <f t="shared" si="272"/>
        <v>0</v>
      </c>
      <c r="AR378" s="365">
        <f t="shared" si="273"/>
        <v>0</v>
      </c>
      <c r="AS378" s="365">
        <f t="shared" si="274"/>
        <v>0</v>
      </c>
      <c r="AT378" s="363"/>
    </row>
    <row r="379" ht="24" spans="1:47">
      <c r="A379" s="284" t="s">
        <v>665</v>
      </c>
      <c r="B379" s="284" t="s">
        <v>199</v>
      </c>
      <c r="C379" s="284" t="s">
        <v>678</v>
      </c>
      <c r="D379" s="284" t="s">
        <v>670</v>
      </c>
      <c r="E379" s="365">
        <f t="shared" si="256"/>
        <v>0</v>
      </c>
      <c r="F379" s="365">
        <f t="shared" si="257"/>
        <v>0</v>
      </c>
      <c r="G379" s="365"/>
      <c r="H379" s="365"/>
      <c r="I379" s="365"/>
      <c r="J379" s="365"/>
      <c r="K379" s="365"/>
      <c r="L379" s="365">
        <f t="shared" si="258"/>
        <v>0</v>
      </c>
      <c r="M379" s="365"/>
      <c r="N379" s="365"/>
      <c r="O379" s="365"/>
      <c r="P379" s="365">
        <f t="shared" si="229"/>
        <v>0</v>
      </c>
      <c r="Q379" s="365">
        <f t="shared" si="259"/>
        <v>0</v>
      </c>
      <c r="R379" s="365"/>
      <c r="S379" s="365"/>
      <c r="T379" s="365"/>
      <c r="U379" s="365"/>
      <c r="V379" s="365"/>
      <c r="W379" s="365">
        <f t="shared" si="260"/>
        <v>0</v>
      </c>
      <c r="X379" s="365"/>
      <c r="Y379" s="365"/>
      <c r="Z379" s="365"/>
      <c r="AA379" s="365"/>
      <c r="AB379" s="365"/>
      <c r="AC379" s="365"/>
      <c r="AD379" s="366">
        <v>0</v>
      </c>
      <c r="AE379" s="365">
        <f t="shared" si="228"/>
        <v>0</v>
      </c>
      <c r="AF379" s="365">
        <f t="shared" si="261"/>
        <v>0</v>
      </c>
      <c r="AG379" s="365">
        <f t="shared" si="262"/>
        <v>0</v>
      </c>
      <c r="AH379" s="365">
        <f t="shared" si="263"/>
        <v>0</v>
      </c>
      <c r="AI379" s="365">
        <f t="shared" si="264"/>
        <v>0</v>
      </c>
      <c r="AJ379" s="365">
        <f t="shared" si="265"/>
        <v>0</v>
      </c>
      <c r="AK379" s="365">
        <f t="shared" si="266"/>
        <v>0</v>
      </c>
      <c r="AL379" s="365">
        <f t="shared" si="267"/>
        <v>0</v>
      </c>
      <c r="AM379" s="365">
        <f t="shared" si="268"/>
        <v>0</v>
      </c>
      <c r="AN379" s="365">
        <f t="shared" si="269"/>
        <v>0</v>
      </c>
      <c r="AO379" s="365">
        <f t="shared" si="270"/>
        <v>0</v>
      </c>
      <c r="AP379" s="365">
        <f t="shared" si="271"/>
        <v>0</v>
      </c>
      <c r="AQ379" s="365">
        <f t="shared" si="272"/>
        <v>0</v>
      </c>
      <c r="AR379" s="365">
        <f t="shared" si="273"/>
        <v>0</v>
      </c>
      <c r="AS379" s="365">
        <f t="shared" si="274"/>
        <v>0</v>
      </c>
      <c r="AT379" s="363"/>
      <c r="AU379">
        <v>1.5</v>
      </c>
    </row>
    <row r="380" ht="24" spans="1:47">
      <c r="A380" s="284" t="s">
        <v>665</v>
      </c>
      <c r="B380" s="284" t="s">
        <v>199</v>
      </c>
      <c r="C380" s="284" t="s">
        <v>679</v>
      </c>
      <c r="D380" s="284" t="s">
        <v>670</v>
      </c>
      <c r="E380" s="365">
        <f t="shared" si="256"/>
        <v>0</v>
      </c>
      <c r="F380" s="365">
        <f t="shared" si="257"/>
        <v>0</v>
      </c>
      <c r="G380" s="365"/>
      <c r="H380" s="365"/>
      <c r="I380" s="365"/>
      <c r="J380" s="365"/>
      <c r="K380" s="365"/>
      <c r="L380" s="365">
        <f t="shared" si="258"/>
        <v>0</v>
      </c>
      <c r="M380" s="365"/>
      <c r="N380" s="365"/>
      <c r="O380" s="365"/>
      <c r="P380" s="365">
        <f t="shared" si="229"/>
        <v>0</v>
      </c>
      <c r="Q380" s="365">
        <f t="shared" si="259"/>
        <v>0</v>
      </c>
      <c r="R380" s="365"/>
      <c r="S380" s="365"/>
      <c r="T380" s="365"/>
      <c r="U380" s="365"/>
      <c r="V380" s="365"/>
      <c r="W380" s="365">
        <f t="shared" si="260"/>
        <v>0</v>
      </c>
      <c r="X380" s="365"/>
      <c r="Y380" s="365"/>
      <c r="Z380" s="365"/>
      <c r="AA380" s="365"/>
      <c r="AB380" s="365"/>
      <c r="AC380" s="365"/>
      <c r="AD380" s="366">
        <v>0</v>
      </c>
      <c r="AE380" s="365">
        <f t="shared" si="228"/>
        <v>0</v>
      </c>
      <c r="AF380" s="365">
        <f t="shared" si="261"/>
        <v>0</v>
      </c>
      <c r="AG380" s="365">
        <f t="shared" si="262"/>
        <v>0</v>
      </c>
      <c r="AH380" s="365">
        <f t="shared" si="263"/>
        <v>0</v>
      </c>
      <c r="AI380" s="365">
        <f t="shared" si="264"/>
        <v>0</v>
      </c>
      <c r="AJ380" s="365">
        <f t="shared" si="265"/>
        <v>0</v>
      </c>
      <c r="AK380" s="365">
        <f t="shared" si="266"/>
        <v>0</v>
      </c>
      <c r="AL380" s="365">
        <f t="shared" si="267"/>
        <v>0</v>
      </c>
      <c r="AM380" s="365">
        <f t="shared" si="268"/>
        <v>0</v>
      </c>
      <c r="AN380" s="365">
        <f t="shared" si="269"/>
        <v>0</v>
      </c>
      <c r="AO380" s="365">
        <f t="shared" si="270"/>
        <v>0</v>
      </c>
      <c r="AP380" s="365">
        <f t="shared" si="271"/>
        <v>0</v>
      </c>
      <c r="AQ380" s="365">
        <f t="shared" si="272"/>
        <v>0</v>
      </c>
      <c r="AR380" s="365">
        <f t="shared" si="273"/>
        <v>0</v>
      </c>
      <c r="AS380" s="365">
        <f t="shared" si="274"/>
        <v>0</v>
      </c>
      <c r="AT380" s="363"/>
      <c r="AU380">
        <v>37.29</v>
      </c>
    </row>
    <row r="381" ht="24" spans="1:46">
      <c r="A381" s="284" t="s">
        <v>665</v>
      </c>
      <c r="B381" s="284" t="s">
        <v>199</v>
      </c>
      <c r="C381" s="284" t="s">
        <v>802</v>
      </c>
      <c r="D381" s="284" t="s">
        <v>670</v>
      </c>
      <c r="E381" s="365">
        <f t="shared" si="256"/>
        <v>0</v>
      </c>
      <c r="F381" s="365">
        <f t="shared" si="257"/>
        <v>0</v>
      </c>
      <c r="G381" s="365"/>
      <c r="H381" s="365"/>
      <c r="I381" s="365"/>
      <c r="J381" s="365"/>
      <c r="K381" s="365"/>
      <c r="L381" s="365">
        <f t="shared" si="258"/>
        <v>0</v>
      </c>
      <c r="M381" s="365"/>
      <c r="N381" s="365"/>
      <c r="O381" s="365"/>
      <c r="P381" s="365">
        <f t="shared" si="229"/>
        <v>0</v>
      </c>
      <c r="Q381" s="365">
        <f t="shared" si="259"/>
        <v>0</v>
      </c>
      <c r="R381" s="365"/>
      <c r="S381" s="365"/>
      <c r="T381" s="365"/>
      <c r="U381" s="365"/>
      <c r="V381" s="365"/>
      <c r="W381" s="365">
        <f t="shared" si="260"/>
        <v>0</v>
      </c>
      <c r="X381" s="365"/>
      <c r="Y381" s="365"/>
      <c r="Z381" s="365"/>
      <c r="AA381" s="365"/>
      <c r="AB381" s="365"/>
      <c r="AC381" s="365"/>
      <c r="AD381" s="366">
        <v>0</v>
      </c>
      <c r="AE381" s="365">
        <f t="shared" si="228"/>
        <v>0</v>
      </c>
      <c r="AF381" s="365">
        <f t="shared" si="261"/>
        <v>0</v>
      </c>
      <c r="AG381" s="365">
        <f t="shared" si="262"/>
        <v>0</v>
      </c>
      <c r="AH381" s="365">
        <f t="shared" si="263"/>
        <v>0</v>
      </c>
      <c r="AI381" s="365">
        <f t="shared" si="264"/>
        <v>0</v>
      </c>
      <c r="AJ381" s="365">
        <f t="shared" si="265"/>
        <v>0</v>
      </c>
      <c r="AK381" s="365">
        <f t="shared" si="266"/>
        <v>0</v>
      </c>
      <c r="AL381" s="365">
        <f t="shared" si="267"/>
        <v>0</v>
      </c>
      <c r="AM381" s="365">
        <f t="shared" si="268"/>
        <v>0</v>
      </c>
      <c r="AN381" s="365">
        <f t="shared" si="269"/>
        <v>0</v>
      </c>
      <c r="AO381" s="365">
        <f t="shared" si="270"/>
        <v>0</v>
      </c>
      <c r="AP381" s="365">
        <f t="shared" si="271"/>
        <v>0</v>
      </c>
      <c r="AQ381" s="365">
        <f t="shared" si="272"/>
        <v>0</v>
      </c>
      <c r="AR381" s="365">
        <f t="shared" si="273"/>
        <v>0</v>
      </c>
      <c r="AS381" s="365">
        <f t="shared" si="274"/>
        <v>0</v>
      </c>
      <c r="AT381" s="363"/>
    </row>
    <row r="382" ht="24" spans="1:47">
      <c r="A382" s="284" t="s">
        <v>640</v>
      </c>
      <c r="B382" s="284" t="s">
        <v>196</v>
      </c>
      <c r="C382" s="284" t="s">
        <v>682</v>
      </c>
      <c r="D382" s="284" t="s">
        <v>683</v>
      </c>
      <c r="E382" s="365">
        <f t="shared" si="256"/>
        <v>82.18</v>
      </c>
      <c r="F382" s="365">
        <f t="shared" si="257"/>
        <v>52.18</v>
      </c>
      <c r="G382" s="365">
        <v>30.26</v>
      </c>
      <c r="H382" s="365">
        <v>19.4</v>
      </c>
      <c r="I382" s="365">
        <v>2.52</v>
      </c>
      <c r="J382" s="365"/>
      <c r="K382" s="365"/>
      <c r="L382" s="365">
        <f t="shared" si="258"/>
        <v>30</v>
      </c>
      <c r="M382" s="365"/>
      <c r="N382" s="365"/>
      <c r="O382" s="365">
        <v>30</v>
      </c>
      <c r="P382" s="365">
        <f t="shared" si="229"/>
        <v>16.4751</v>
      </c>
      <c r="Q382" s="365">
        <f t="shared" si="259"/>
        <v>12.7478</v>
      </c>
      <c r="R382" s="365">
        <v>9.1232</v>
      </c>
      <c r="S382" s="365">
        <v>2.9714</v>
      </c>
      <c r="T382" s="365">
        <v>0.6532</v>
      </c>
      <c r="U382" s="365"/>
      <c r="V382" s="365"/>
      <c r="W382" s="365">
        <f t="shared" si="260"/>
        <v>3.7273</v>
      </c>
      <c r="X382" s="365"/>
      <c r="Y382" s="365">
        <v>21.2123</v>
      </c>
      <c r="Z382" s="365">
        <v>2</v>
      </c>
      <c r="AA382" s="365"/>
      <c r="AB382" s="365">
        <v>10.365</v>
      </c>
      <c r="AC382" s="365">
        <v>0.15</v>
      </c>
      <c r="AD382" s="366">
        <v>-30</v>
      </c>
      <c r="AE382" s="365">
        <f t="shared" si="228"/>
        <v>98.6551</v>
      </c>
      <c r="AF382" s="365">
        <f t="shared" si="261"/>
        <v>64.9278</v>
      </c>
      <c r="AG382" s="365">
        <f t="shared" si="262"/>
        <v>39.3832</v>
      </c>
      <c r="AH382" s="365">
        <f t="shared" si="263"/>
        <v>22.3714</v>
      </c>
      <c r="AI382" s="365">
        <f t="shared" si="264"/>
        <v>3.1732</v>
      </c>
      <c r="AJ382" s="365">
        <f t="shared" si="265"/>
        <v>0</v>
      </c>
      <c r="AK382" s="365">
        <f t="shared" si="266"/>
        <v>0</v>
      </c>
      <c r="AL382" s="365">
        <f t="shared" si="267"/>
        <v>33.7273</v>
      </c>
      <c r="AM382" s="365">
        <f t="shared" si="268"/>
        <v>0</v>
      </c>
      <c r="AN382" s="365">
        <f t="shared" si="269"/>
        <v>21.2123</v>
      </c>
      <c r="AO382" s="365">
        <f t="shared" si="270"/>
        <v>2</v>
      </c>
      <c r="AP382" s="365">
        <f t="shared" si="271"/>
        <v>0</v>
      </c>
      <c r="AQ382" s="365">
        <f t="shared" si="272"/>
        <v>10.365</v>
      </c>
      <c r="AR382" s="365">
        <f t="shared" si="273"/>
        <v>0.15</v>
      </c>
      <c r="AS382" s="365">
        <f t="shared" si="274"/>
        <v>0</v>
      </c>
      <c r="AT382" s="363" t="s">
        <v>803</v>
      </c>
      <c r="AU382">
        <v>10.365</v>
      </c>
    </row>
    <row r="383" ht="24" spans="1:47">
      <c r="A383" s="284" t="s">
        <v>640</v>
      </c>
      <c r="B383" s="284" t="s">
        <v>199</v>
      </c>
      <c r="C383" s="284" t="s">
        <v>684</v>
      </c>
      <c r="D383" s="284" t="s">
        <v>685</v>
      </c>
      <c r="E383" s="365">
        <f t="shared" si="256"/>
        <v>0</v>
      </c>
      <c r="F383" s="365">
        <f t="shared" si="257"/>
        <v>0</v>
      </c>
      <c r="G383" s="365"/>
      <c r="H383" s="365"/>
      <c r="I383" s="365"/>
      <c r="J383" s="365"/>
      <c r="K383" s="365"/>
      <c r="L383" s="365">
        <f t="shared" si="258"/>
        <v>0</v>
      </c>
      <c r="M383" s="365"/>
      <c r="N383" s="365"/>
      <c r="O383" s="365"/>
      <c r="P383" s="365">
        <f t="shared" si="229"/>
        <v>0</v>
      </c>
      <c r="Q383" s="365">
        <f t="shared" si="259"/>
        <v>0</v>
      </c>
      <c r="R383" s="365"/>
      <c r="S383" s="365"/>
      <c r="T383" s="365"/>
      <c r="U383" s="365"/>
      <c r="V383" s="365"/>
      <c r="W383" s="365">
        <f t="shared" si="260"/>
        <v>0</v>
      </c>
      <c r="X383" s="365"/>
      <c r="Y383" s="365"/>
      <c r="Z383" s="365"/>
      <c r="AA383" s="365"/>
      <c r="AB383" s="365"/>
      <c r="AC383" s="365"/>
      <c r="AD383" s="366">
        <v>0</v>
      </c>
      <c r="AE383" s="365">
        <f t="shared" si="228"/>
        <v>0</v>
      </c>
      <c r="AF383" s="365">
        <f t="shared" si="261"/>
        <v>0</v>
      </c>
      <c r="AG383" s="365">
        <f t="shared" si="262"/>
        <v>0</v>
      </c>
      <c r="AH383" s="365">
        <f t="shared" si="263"/>
        <v>0</v>
      </c>
      <c r="AI383" s="365">
        <f t="shared" si="264"/>
        <v>0</v>
      </c>
      <c r="AJ383" s="365">
        <f t="shared" si="265"/>
        <v>0</v>
      </c>
      <c r="AK383" s="365">
        <f t="shared" si="266"/>
        <v>0</v>
      </c>
      <c r="AL383" s="365">
        <f t="shared" si="267"/>
        <v>0</v>
      </c>
      <c r="AM383" s="365">
        <f t="shared" si="268"/>
        <v>0</v>
      </c>
      <c r="AN383" s="365">
        <f t="shared" si="269"/>
        <v>0</v>
      </c>
      <c r="AO383" s="365">
        <f t="shared" si="270"/>
        <v>0</v>
      </c>
      <c r="AP383" s="365">
        <f t="shared" si="271"/>
        <v>0</v>
      </c>
      <c r="AQ383" s="365">
        <f t="shared" si="272"/>
        <v>0</v>
      </c>
      <c r="AR383" s="365">
        <f t="shared" si="273"/>
        <v>0</v>
      </c>
      <c r="AS383" s="365">
        <f t="shared" si="274"/>
        <v>0</v>
      </c>
      <c r="AT383" s="363"/>
      <c r="AU383">
        <v>4.67</v>
      </c>
    </row>
    <row r="384" ht="24" spans="1:47">
      <c r="A384" s="284" t="s">
        <v>640</v>
      </c>
      <c r="B384" s="284" t="s">
        <v>199</v>
      </c>
      <c r="C384" s="284" t="s">
        <v>804</v>
      </c>
      <c r="D384" s="284" t="s">
        <v>685</v>
      </c>
      <c r="E384" s="365">
        <f t="shared" si="256"/>
        <v>0</v>
      </c>
      <c r="F384" s="365">
        <f t="shared" si="257"/>
        <v>0</v>
      </c>
      <c r="G384" s="365"/>
      <c r="H384" s="365"/>
      <c r="I384" s="365"/>
      <c r="J384" s="365"/>
      <c r="K384" s="365"/>
      <c r="L384" s="365">
        <f t="shared" si="258"/>
        <v>0</v>
      </c>
      <c r="M384" s="365"/>
      <c r="N384" s="365"/>
      <c r="O384" s="365"/>
      <c r="P384" s="365">
        <f t="shared" si="229"/>
        <v>0</v>
      </c>
      <c r="Q384" s="365">
        <f t="shared" si="259"/>
        <v>0</v>
      </c>
      <c r="R384" s="365"/>
      <c r="S384" s="365"/>
      <c r="T384" s="365"/>
      <c r="U384" s="365"/>
      <c r="V384" s="365"/>
      <c r="W384" s="365">
        <f t="shared" si="260"/>
        <v>0</v>
      </c>
      <c r="X384" s="365"/>
      <c r="Y384" s="365"/>
      <c r="Z384" s="365"/>
      <c r="AA384" s="365"/>
      <c r="AB384" s="365"/>
      <c r="AC384" s="365"/>
      <c r="AD384" s="366">
        <v>0</v>
      </c>
      <c r="AE384" s="365">
        <f t="shared" si="228"/>
        <v>0</v>
      </c>
      <c r="AF384" s="365">
        <f t="shared" si="261"/>
        <v>0</v>
      </c>
      <c r="AG384" s="365">
        <f t="shared" si="262"/>
        <v>0</v>
      </c>
      <c r="AH384" s="365">
        <f t="shared" si="263"/>
        <v>0</v>
      </c>
      <c r="AI384" s="365">
        <f t="shared" si="264"/>
        <v>0</v>
      </c>
      <c r="AJ384" s="365">
        <f t="shared" si="265"/>
        <v>0</v>
      </c>
      <c r="AK384" s="365">
        <f t="shared" si="266"/>
        <v>0</v>
      </c>
      <c r="AL384" s="365">
        <f t="shared" si="267"/>
        <v>0</v>
      </c>
      <c r="AM384" s="365">
        <f t="shared" si="268"/>
        <v>0</v>
      </c>
      <c r="AN384" s="365">
        <f t="shared" si="269"/>
        <v>0</v>
      </c>
      <c r="AO384" s="365">
        <f t="shared" si="270"/>
        <v>0</v>
      </c>
      <c r="AP384" s="365">
        <f t="shared" si="271"/>
        <v>0</v>
      </c>
      <c r="AQ384" s="365">
        <f t="shared" si="272"/>
        <v>0</v>
      </c>
      <c r="AR384" s="365">
        <f t="shared" si="273"/>
        <v>0</v>
      </c>
      <c r="AS384" s="365">
        <f t="shared" si="274"/>
        <v>0</v>
      </c>
      <c r="AT384" s="363"/>
      <c r="AU384">
        <v>1.84</v>
      </c>
    </row>
    <row r="385" ht="24" spans="1:47">
      <c r="A385" s="284" t="s">
        <v>640</v>
      </c>
      <c r="B385" s="284" t="s">
        <v>199</v>
      </c>
      <c r="C385" s="284" t="s">
        <v>687</v>
      </c>
      <c r="D385" s="284" t="s">
        <v>685</v>
      </c>
      <c r="E385" s="365">
        <f t="shared" si="256"/>
        <v>0</v>
      </c>
      <c r="F385" s="365">
        <f t="shared" si="257"/>
        <v>0</v>
      </c>
      <c r="G385" s="365"/>
      <c r="H385" s="365"/>
      <c r="I385" s="365"/>
      <c r="J385" s="365"/>
      <c r="K385" s="365"/>
      <c r="L385" s="365">
        <f t="shared" si="258"/>
        <v>0</v>
      </c>
      <c r="M385" s="365"/>
      <c r="N385" s="365"/>
      <c r="O385" s="365"/>
      <c r="P385" s="365">
        <f t="shared" si="229"/>
        <v>0</v>
      </c>
      <c r="Q385" s="365">
        <f t="shared" si="259"/>
        <v>0</v>
      </c>
      <c r="R385" s="365"/>
      <c r="S385" s="365"/>
      <c r="T385" s="365"/>
      <c r="U385" s="365"/>
      <c r="V385" s="365"/>
      <c r="W385" s="365">
        <f t="shared" si="260"/>
        <v>0</v>
      </c>
      <c r="X385" s="365"/>
      <c r="Y385" s="365"/>
      <c r="Z385" s="365"/>
      <c r="AA385" s="365"/>
      <c r="AB385" s="365"/>
      <c r="AC385" s="365"/>
      <c r="AD385" s="366">
        <v>0</v>
      </c>
      <c r="AE385" s="365">
        <f t="shared" si="228"/>
        <v>0</v>
      </c>
      <c r="AF385" s="365">
        <f t="shared" si="261"/>
        <v>0</v>
      </c>
      <c r="AG385" s="365">
        <f t="shared" si="262"/>
        <v>0</v>
      </c>
      <c r="AH385" s="365">
        <f t="shared" si="263"/>
        <v>0</v>
      </c>
      <c r="AI385" s="365">
        <f t="shared" si="264"/>
        <v>0</v>
      </c>
      <c r="AJ385" s="365">
        <f t="shared" si="265"/>
        <v>0</v>
      </c>
      <c r="AK385" s="365">
        <f t="shared" si="266"/>
        <v>0</v>
      </c>
      <c r="AL385" s="365">
        <f t="shared" si="267"/>
        <v>0</v>
      </c>
      <c r="AM385" s="365">
        <f t="shared" si="268"/>
        <v>0</v>
      </c>
      <c r="AN385" s="365">
        <f t="shared" si="269"/>
        <v>0</v>
      </c>
      <c r="AO385" s="365">
        <f t="shared" si="270"/>
        <v>0</v>
      </c>
      <c r="AP385" s="365">
        <f t="shared" si="271"/>
        <v>0</v>
      </c>
      <c r="AQ385" s="365">
        <f t="shared" si="272"/>
        <v>0</v>
      </c>
      <c r="AR385" s="365">
        <f t="shared" si="273"/>
        <v>0</v>
      </c>
      <c r="AS385" s="365">
        <f t="shared" si="274"/>
        <v>0</v>
      </c>
      <c r="AT385" s="363"/>
      <c r="AU385">
        <v>13.21</v>
      </c>
    </row>
    <row r="386" ht="24" spans="1:47">
      <c r="A386" s="284" t="s">
        <v>640</v>
      </c>
      <c r="B386" s="284" t="s">
        <v>199</v>
      </c>
      <c r="C386" s="284" t="s">
        <v>688</v>
      </c>
      <c r="D386" s="284" t="s">
        <v>685</v>
      </c>
      <c r="E386" s="365">
        <f t="shared" si="256"/>
        <v>0</v>
      </c>
      <c r="F386" s="365">
        <f t="shared" si="257"/>
        <v>0</v>
      </c>
      <c r="G386" s="365"/>
      <c r="H386" s="365"/>
      <c r="I386" s="365"/>
      <c r="J386" s="365"/>
      <c r="K386" s="365"/>
      <c r="L386" s="365">
        <f t="shared" si="258"/>
        <v>0</v>
      </c>
      <c r="M386" s="365"/>
      <c r="N386" s="365"/>
      <c r="O386" s="365"/>
      <c r="P386" s="365">
        <f t="shared" si="229"/>
        <v>0</v>
      </c>
      <c r="Q386" s="365">
        <f t="shared" si="259"/>
        <v>0</v>
      </c>
      <c r="R386" s="365"/>
      <c r="S386" s="365"/>
      <c r="T386" s="365"/>
      <c r="U386" s="365"/>
      <c r="V386" s="365"/>
      <c r="W386" s="365">
        <f t="shared" si="260"/>
        <v>0</v>
      </c>
      <c r="X386" s="365"/>
      <c r="Y386" s="365"/>
      <c r="Z386" s="365"/>
      <c r="AA386" s="365"/>
      <c r="AB386" s="365"/>
      <c r="AC386" s="365"/>
      <c r="AD386" s="366">
        <v>0</v>
      </c>
      <c r="AE386" s="365">
        <f t="shared" si="228"/>
        <v>0</v>
      </c>
      <c r="AF386" s="365">
        <f t="shared" si="261"/>
        <v>0</v>
      </c>
      <c r="AG386" s="365">
        <f t="shared" si="262"/>
        <v>0</v>
      </c>
      <c r="AH386" s="365">
        <f t="shared" si="263"/>
        <v>0</v>
      </c>
      <c r="AI386" s="365">
        <f t="shared" si="264"/>
        <v>0</v>
      </c>
      <c r="AJ386" s="365">
        <f t="shared" si="265"/>
        <v>0</v>
      </c>
      <c r="AK386" s="365">
        <f t="shared" si="266"/>
        <v>0</v>
      </c>
      <c r="AL386" s="365">
        <f t="shared" si="267"/>
        <v>0</v>
      </c>
      <c r="AM386" s="365">
        <f t="shared" si="268"/>
        <v>0</v>
      </c>
      <c r="AN386" s="365">
        <f t="shared" si="269"/>
        <v>0</v>
      </c>
      <c r="AO386" s="365">
        <f t="shared" si="270"/>
        <v>0</v>
      </c>
      <c r="AP386" s="365">
        <f t="shared" si="271"/>
        <v>0</v>
      </c>
      <c r="AQ386" s="365">
        <f t="shared" si="272"/>
        <v>0</v>
      </c>
      <c r="AR386" s="365">
        <f t="shared" si="273"/>
        <v>0</v>
      </c>
      <c r="AS386" s="365">
        <f t="shared" si="274"/>
        <v>0</v>
      </c>
      <c r="AT386" s="363"/>
      <c r="AU386">
        <v>5.69</v>
      </c>
    </row>
    <row r="387" ht="24" spans="1:47">
      <c r="A387" s="284" t="s">
        <v>640</v>
      </c>
      <c r="B387" s="284" t="s">
        <v>199</v>
      </c>
      <c r="C387" s="284" t="s">
        <v>689</v>
      </c>
      <c r="D387" s="284" t="s">
        <v>685</v>
      </c>
      <c r="E387" s="365">
        <f t="shared" si="256"/>
        <v>0</v>
      </c>
      <c r="F387" s="365">
        <f t="shared" si="257"/>
        <v>0</v>
      </c>
      <c r="G387" s="365"/>
      <c r="H387" s="365"/>
      <c r="I387" s="365"/>
      <c r="J387" s="365"/>
      <c r="K387" s="365"/>
      <c r="L387" s="365">
        <f t="shared" si="258"/>
        <v>0</v>
      </c>
      <c r="M387" s="365"/>
      <c r="N387" s="365"/>
      <c r="O387" s="365"/>
      <c r="P387" s="365">
        <f t="shared" si="229"/>
        <v>0</v>
      </c>
      <c r="Q387" s="365">
        <f t="shared" si="259"/>
        <v>0</v>
      </c>
      <c r="R387" s="365"/>
      <c r="S387" s="365"/>
      <c r="T387" s="365"/>
      <c r="U387" s="365"/>
      <c r="V387" s="365"/>
      <c r="W387" s="365">
        <f t="shared" si="260"/>
        <v>0</v>
      </c>
      <c r="X387" s="365"/>
      <c r="Y387" s="365"/>
      <c r="Z387" s="365"/>
      <c r="AA387" s="365"/>
      <c r="AB387" s="365"/>
      <c r="AC387" s="365"/>
      <c r="AD387" s="366">
        <v>0</v>
      </c>
      <c r="AE387" s="365">
        <f t="shared" si="228"/>
        <v>0</v>
      </c>
      <c r="AF387" s="365">
        <f t="shared" si="261"/>
        <v>0</v>
      </c>
      <c r="AG387" s="365">
        <f t="shared" si="262"/>
        <v>0</v>
      </c>
      <c r="AH387" s="365">
        <f t="shared" si="263"/>
        <v>0</v>
      </c>
      <c r="AI387" s="365">
        <f t="shared" si="264"/>
        <v>0</v>
      </c>
      <c r="AJ387" s="365">
        <f t="shared" si="265"/>
        <v>0</v>
      </c>
      <c r="AK387" s="365">
        <f t="shared" si="266"/>
        <v>0</v>
      </c>
      <c r="AL387" s="365">
        <f t="shared" si="267"/>
        <v>0</v>
      </c>
      <c r="AM387" s="365">
        <f t="shared" si="268"/>
        <v>0</v>
      </c>
      <c r="AN387" s="365">
        <f t="shared" si="269"/>
        <v>0</v>
      </c>
      <c r="AO387" s="365">
        <f t="shared" si="270"/>
        <v>0</v>
      </c>
      <c r="AP387" s="365">
        <f t="shared" si="271"/>
        <v>0</v>
      </c>
      <c r="AQ387" s="365">
        <f t="shared" si="272"/>
        <v>0</v>
      </c>
      <c r="AR387" s="365">
        <f t="shared" si="273"/>
        <v>0</v>
      </c>
      <c r="AS387" s="365">
        <f t="shared" si="274"/>
        <v>0</v>
      </c>
      <c r="AT387" s="363"/>
      <c r="AU387">
        <v>3.5</v>
      </c>
    </row>
    <row r="388" ht="36" spans="1:47">
      <c r="A388" s="284" t="s">
        <v>640</v>
      </c>
      <c r="B388" s="284" t="s">
        <v>518</v>
      </c>
      <c r="C388" s="284" t="s">
        <v>690</v>
      </c>
      <c r="D388" s="284" t="s">
        <v>691</v>
      </c>
      <c r="E388" s="365">
        <f t="shared" si="256"/>
        <v>0</v>
      </c>
      <c r="F388" s="365">
        <f t="shared" si="257"/>
        <v>0</v>
      </c>
      <c r="G388" s="365"/>
      <c r="H388" s="365"/>
      <c r="I388" s="365"/>
      <c r="J388" s="365"/>
      <c r="K388" s="365"/>
      <c r="L388" s="365">
        <f t="shared" si="258"/>
        <v>0</v>
      </c>
      <c r="M388" s="365"/>
      <c r="N388" s="365"/>
      <c r="O388" s="365"/>
      <c r="P388" s="365">
        <f t="shared" si="229"/>
        <v>0</v>
      </c>
      <c r="Q388" s="365">
        <f t="shared" si="259"/>
        <v>0</v>
      </c>
      <c r="R388" s="365"/>
      <c r="S388" s="365"/>
      <c r="T388" s="365"/>
      <c r="U388" s="365"/>
      <c r="V388" s="365"/>
      <c r="W388" s="365">
        <f t="shared" si="260"/>
        <v>0</v>
      </c>
      <c r="X388" s="365"/>
      <c r="Y388" s="365"/>
      <c r="Z388" s="365"/>
      <c r="AA388" s="365"/>
      <c r="AB388" s="365"/>
      <c r="AC388" s="365"/>
      <c r="AD388" s="366">
        <v>0</v>
      </c>
      <c r="AE388" s="365">
        <f t="shared" si="228"/>
        <v>0</v>
      </c>
      <c r="AF388" s="365">
        <f t="shared" si="261"/>
        <v>0</v>
      </c>
      <c r="AG388" s="365">
        <f t="shared" si="262"/>
        <v>0</v>
      </c>
      <c r="AH388" s="365">
        <f t="shared" si="263"/>
        <v>0</v>
      </c>
      <c r="AI388" s="365">
        <f t="shared" si="264"/>
        <v>0</v>
      </c>
      <c r="AJ388" s="365">
        <f t="shared" si="265"/>
        <v>0</v>
      </c>
      <c r="AK388" s="365">
        <f t="shared" si="266"/>
        <v>0</v>
      </c>
      <c r="AL388" s="365">
        <f t="shared" si="267"/>
        <v>0</v>
      </c>
      <c r="AM388" s="365">
        <f t="shared" si="268"/>
        <v>0</v>
      </c>
      <c r="AN388" s="365">
        <f t="shared" si="269"/>
        <v>0</v>
      </c>
      <c r="AO388" s="365">
        <f t="shared" si="270"/>
        <v>0</v>
      </c>
      <c r="AP388" s="365">
        <f t="shared" si="271"/>
        <v>0</v>
      </c>
      <c r="AQ388" s="365">
        <f t="shared" si="272"/>
        <v>0</v>
      </c>
      <c r="AR388" s="365">
        <f t="shared" si="273"/>
        <v>0</v>
      </c>
      <c r="AS388" s="365">
        <f t="shared" si="274"/>
        <v>0</v>
      </c>
      <c r="AT388" s="363"/>
      <c r="AU388">
        <v>5.56</v>
      </c>
    </row>
    <row r="389" ht="36" spans="1:47">
      <c r="A389" s="284" t="s">
        <v>640</v>
      </c>
      <c r="B389" s="284" t="s">
        <v>518</v>
      </c>
      <c r="C389" s="284" t="s">
        <v>692</v>
      </c>
      <c r="D389" s="284" t="s">
        <v>691</v>
      </c>
      <c r="E389" s="365">
        <f t="shared" si="256"/>
        <v>0</v>
      </c>
      <c r="F389" s="365">
        <f t="shared" si="257"/>
        <v>0</v>
      </c>
      <c r="G389" s="365"/>
      <c r="H389" s="365"/>
      <c r="I389" s="365"/>
      <c r="J389" s="365"/>
      <c r="K389" s="365"/>
      <c r="L389" s="365">
        <f t="shared" si="258"/>
        <v>0</v>
      </c>
      <c r="M389" s="365"/>
      <c r="N389" s="365"/>
      <c r="O389" s="365"/>
      <c r="P389" s="365">
        <f t="shared" si="229"/>
        <v>0</v>
      </c>
      <c r="Q389" s="365">
        <f t="shared" si="259"/>
        <v>0</v>
      </c>
      <c r="R389" s="365"/>
      <c r="S389" s="365"/>
      <c r="T389" s="365"/>
      <c r="U389" s="365"/>
      <c r="V389" s="365"/>
      <c r="W389" s="365">
        <f t="shared" si="260"/>
        <v>0</v>
      </c>
      <c r="X389" s="365"/>
      <c r="Y389" s="365"/>
      <c r="Z389" s="365"/>
      <c r="AA389" s="365"/>
      <c r="AB389" s="365"/>
      <c r="AC389" s="365"/>
      <c r="AD389" s="366">
        <v>0</v>
      </c>
      <c r="AE389" s="365">
        <f t="shared" si="228"/>
        <v>0</v>
      </c>
      <c r="AF389" s="365">
        <f t="shared" si="261"/>
        <v>0</v>
      </c>
      <c r="AG389" s="365">
        <f t="shared" si="262"/>
        <v>0</v>
      </c>
      <c r="AH389" s="365">
        <f t="shared" si="263"/>
        <v>0</v>
      </c>
      <c r="AI389" s="365">
        <f t="shared" si="264"/>
        <v>0</v>
      </c>
      <c r="AJ389" s="365">
        <f t="shared" si="265"/>
        <v>0</v>
      </c>
      <c r="AK389" s="365">
        <f t="shared" si="266"/>
        <v>0</v>
      </c>
      <c r="AL389" s="365">
        <f t="shared" si="267"/>
        <v>0</v>
      </c>
      <c r="AM389" s="365">
        <f t="shared" si="268"/>
        <v>0</v>
      </c>
      <c r="AN389" s="365">
        <f t="shared" si="269"/>
        <v>0</v>
      </c>
      <c r="AO389" s="365">
        <f t="shared" si="270"/>
        <v>0</v>
      </c>
      <c r="AP389" s="365">
        <f t="shared" si="271"/>
        <v>0</v>
      </c>
      <c r="AQ389" s="365">
        <f t="shared" si="272"/>
        <v>0</v>
      </c>
      <c r="AR389" s="365">
        <f t="shared" si="273"/>
        <v>0</v>
      </c>
      <c r="AS389" s="365">
        <f t="shared" si="274"/>
        <v>0</v>
      </c>
      <c r="AT389" s="363"/>
      <c r="AU389">
        <v>0.9</v>
      </c>
    </row>
    <row r="390" s="311" customFormat="1" ht="21" customHeight="1" spans="1:47">
      <c r="A390" s="329"/>
      <c r="B390" s="329" t="s">
        <v>753</v>
      </c>
      <c r="C390" s="329" t="s">
        <v>142</v>
      </c>
      <c r="D390" s="329">
        <v>214</v>
      </c>
      <c r="E390" s="364">
        <f t="shared" ref="E390:O390" si="275">SUM(E391:E398)</f>
        <v>261.22</v>
      </c>
      <c r="F390" s="364">
        <f t="shared" si="275"/>
        <v>153.22</v>
      </c>
      <c r="G390" s="364">
        <f t="shared" si="275"/>
        <v>86.13</v>
      </c>
      <c r="H390" s="364">
        <f t="shared" si="275"/>
        <v>59.91</v>
      </c>
      <c r="I390" s="364">
        <f t="shared" si="275"/>
        <v>7.18</v>
      </c>
      <c r="J390" s="364">
        <f t="shared" si="275"/>
        <v>0</v>
      </c>
      <c r="K390" s="364">
        <f t="shared" si="275"/>
        <v>0</v>
      </c>
      <c r="L390" s="364">
        <f t="shared" si="275"/>
        <v>108</v>
      </c>
      <c r="M390" s="364">
        <f t="shared" si="275"/>
        <v>0</v>
      </c>
      <c r="N390" s="364">
        <f t="shared" si="275"/>
        <v>0</v>
      </c>
      <c r="O390" s="364">
        <f t="shared" si="275"/>
        <v>108</v>
      </c>
      <c r="P390" s="364">
        <f t="shared" si="229"/>
        <v>-12.2154</v>
      </c>
      <c r="Q390" s="364">
        <f t="shared" ref="Q390:AD390" si="276">SUM(Q391:Q398)</f>
        <v>1.76</v>
      </c>
      <c r="R390" s="364">
        <f t="shared" si="276"/>
        <v>1.76</v>
      </c>
      <c r="S390" s="364">
        <f t="shared" si="276"/>
        <v>0</v>
      </c>
      <c r="T390" s="364">
        <f t="shared" si="276"/>
        <v>0</v>
      </c>
      <c r="U390" s="364">
        <f t="shared" si="276"/>
        <v>0</v>
      </c>
      <c r="V390" s="364">
        <f t="shared" si="276"/>
        <v>0</v>
      </c>
      <c r="W390" s="364">
        <f t="shared" si="276"/>
        <v>-13.9754</v>
      </c>
      <c r="X390" s="364">
        <f t="shared" si="276"/>
        <v>0</v>
      </c>
      <c r="Y390" s="364">
        <f t="shared" si="276"/>
        <v>44.6174</v>
      </c>
      <c r="Z390" s="364">
        <f t="shared" si="276"/>
        <v>28</v>
      </c>
      <c r="AA390" s="364">
        <f t="shared" si="276"/>
        <v>0</v>
      </c>
      <c r="AB390" s="364">
        <f t="shared" si="276"/>
        <v>21.1072</v>
      </c>
      <c r="AC390" s="364">
        <f t="shared" si="276"/>
        <v>0.3</v>
      </c>
      <c r="AD390" s="364">
        <f t="shared" si="276"/>
        <v>-108</v>
      </c>
      <c r="AE390" s="364">
        <f t="shared" si="228"/>
        <v>249.0046</v>
      </c>
      <c r="AF390" s="364">
        <f t="shared" ref="AF390:AS390" si="277">SUM(AF391:AF398)</f>
        <v>154.98</v>
      </c>
      <c r="AG390" s="364">
        <f t="shared" si="277"/>
        <v>87.89</v>
      </c>
      <c r="AH390" s="364">
        <f t="shared" si="277"/>
        <v>59.91</v>
      </c>
      <c r="AI390" s="364">
        <f t="shared" si="277"/>
        <v>7.18</v>
      </c>
      <c r="AJ390" s="364">
        <f t="shared" si="277"/>
        <v>0</v>
      </c>
      <c r="AK390" s="364">
        <f t="shared" si="277"/>
        <v>0</v>
      </c>
      <c r="AL390" s="364">
        <f t="shared" si="277"/>
        <v>94.0246</v>
      </c>
      <c r="AM390" s="364">
        <f t="shared" si="277"/>
        <v>0</v>
      </c>
      <c r="AN390" s="364">
        <f t="shared" si="277"/>
        <v>44.6174</v>
      </c>
      <c r="AO390" s="364">
        <f t="shared" si="277"/>
        <v>28</v>
      </c>
      <c r="AP390" s="364">
        <f t="shared" si="277"/>
        <v>0</v>
      </c>
      <c r="AQ390" s="364">
        <f t="shared" si="277"/>
        <v>21.1072</v>
      </c>
      <c r="AR390" s="364">
        <f t="shared" si="277"/>
        <v>0.3</v>
      </c>
      <c r="AS390" s="364">
        <f t="shared" si="277"/>
        <v>0</v>
      </c>
      <c r="AT390" s="372"/>
      <c r="AU390" s="373"/>
    </row>
    <row r="391" ht="24" spans="1:47">
      <c r="A391" s="284" t="s">
        <v>290</v>
      </c>
      <c r="B391" s="284" t="s">
        <v>196</v>
      </c>
      <c r="C391" s="284" t="s">
        <v>693</v>
      </c>
      <c r="D391" s="284" t="s">
        <v>694</v>
      </c>
      <c r="E391" s="365">
        <f t="shared" ref="E391:E398" si="278">F391+L391</f>
        <v>135.11</v>
      </c>
      <c r="F391" s="365">
        <f t="shared" ref="F391:F398" si="279">SUM(G391:K391)</f>
        <v>81.11</v>
      </c>
      <c r="G391" s="365">
        <v>46.15</v>
      </c>
      <c r="H391" s="365">
        <v>31.11</v>
      </c>
      <c r="I391" s="365">
        <v>3.85</v>
      </c>
      <c r="J391" s="365"/>
      <c r="K391" s="365"/>
      <c r="L391" s="365">
        <f t="shared" ref="L391:L398" si="280">SUM(M391:O391)</f>
        <v>54</v>
      </c>
      <c r="M391" s="365"/>
      <c r="N391" s="365"/>
      <c r="O391" s="366">
        <v>54</v>
      </c>
      <c r="P391" s="365">
        <f t="shared" si="229"/>
        <v>-5.5766</v>
      </c>
      <c r="Q391" s="365">
        <f>SUM(R391:V391)</f>
        <v>-2.92</v>
      </c>
      <c r="R391" s="386">
        <v>-2.92</v>
      </c>
      <c r="S391" s="386"/>
      <c r="T391" s="386"/>
      <c r="U391" s="386"/>
      <c r="V391" s="386"/>
      <c r="W391" s="386">
        <f>SUM(X391:AD391)</f>
        <v>-2.6566</v>
      </c>
      <c r="X391" s="386"/>
      <c r="Y391" s="386">
        <v>22.0886</v>
      </c>
      <c r="Z391" s="386">
        <v>14</v>
      </c>
      <c r="AA391" s="386"/>
      <c r="AB391" s="386">
        <v>15.2548</v>
      </c>
      <c r="AC391" s="386"/>
      <c r="AD391" s="370">
        <v>-54</v>
      </c>
      <c r="AE391" s="365">
        <f t="shared" ref="AE391:AE424" si="281">AF391+AL391</f>
        <v>129.5334</v>
      </c>
      <c r="AF391" s="365">
        <f t="shared" ref="AF391:AF398" si="282">SUM(AG391:AK391)</f>
        <v>78.19</v>
      </c>
      <c r="AG391" s="365">
        <f t="shared" ref="AG391:AG398" si="283">G391+R391</f>
        <v>43.23</v>
      </c>
      <c r="AH391" s="365">
        <f t="shared" ref="AH391:AH398" si="284">H391+S391</f>
        <v>31.11</v>
      </c>
      <c r="AI391" s="365">
        <f t="shared" ref="AI391:AI398" si="285">I391+T391</f>
        <v>3.85</v>
      </c>
      <c r="AJ391" s="365">
        <f t="shared" ref="AJ391:AJ398" si="286">J391+U391</f>
        <v>0</v>
      </c>
      <c r="AK391" s="365">
        <f t="shared" ref="AK391:AK398" si="287">K391+V391</f>
        <v>0</v>
      </c>
      <c r="AL391" s="365">
        <f t="shared" ref="AL391:AL398" si="288">SUM(AM391:AS391)</f>
        <v>51.3434</v>
      </c>
      <c r="AM391" s="365">
        <f t="shared" ref="AM391:AM398" si="289">M391+X391</f>
        <v>0</v>
      </c>
      <c r="AN391" s="365">
        <f t="shared" ref="AN391:AN398" si="290">Y391</f>
        <v>22.0886</v>
      </c>
      <c r="AO391" s="365">
        <f t="shared" ref="AO391:AO398" si="291">Z391</f>
        <v>14</v>
      </c>
      <c r="AP391" s="365">
        <f t="shared" ref="AP391:AP398" si="292">AA391</f>
        <v>0</v>
      </c>
      <c r="AQ391" s="365">
        <f t="shared" ref="AQ391:AQ398" si="293">AB391</f>
        <v>15.2548</v>
      </c>
      <c r="AR391" s="365">
        <f t="shared" ref="AR391:AR398" si="294">N391+AC391</f>
        <v>0</v>
      </c>
      <c r="AS391" s="365">
        <f t="shared" ref="AS391:AS398" si="295">O391+AD391</f>
        <v>0</v>
      </c>
      <c r="AT391" s="351"/>
      <c r="AU391">
        <v>15.2548</v>
      </c>
    </row>
    <row r="392" ht="24" spans="1:47">
      <c r="A392" s="284" t="s">
        <v>290</v>
      </c>
      <c r="B392" s="284" t="s">
        <v>196</v>
      </c>
      <c r="C392" s="284" t="s">
        <v>695</v>
      </c>
      <c r="D392" s="284" t="s">
        <v>694</v>
      </c>
      <c r="E392" s="365">
        <f t="shared" si="278"/>
        <v>126.11</v>
      </c>
      <c r="F392" s="365">
        <f t="shared" si="279"/>
        <v>72.11</v>
      </c>
      <c r="G392" s="365">
        <v>39.98</v>
      </c>
      <c r="H392" s="365">
        <v>28.8</v>
      </c>
      <c r="I392" s="365">
        <v>3.33</v>
      </c>
      <c r="J392" s="365"/>
      <c r="K392" s="365"/>
      <c r="L392" s="365">
        <f t="shared" si="280"/>
        <v>54</v>
      </c>
      <c r="M392" s="365"/>
      <c r="N392" s="365"/>
      <c r="O392" s="365">
        <v>54</v>
      </c>
      <c r="P392" s="365">
        <f t="shared" ref="P392:P424" si="296">Q392+W392</f>
        <v>-6.6388</v>
      </c>
      <c r="Q392" s="365">
        <f>SUM(R392:V392)</f>
        <v>4.68</v>
      </c>
      <c r="R392" s="386">
        <v>4.68</v>
      </c>
      <c r="S392" s="386"/>
      <c r="T392" s="386"/>
      <c r="U392" s="386"/>
      <c r="V392" s="386"/>
      <c r="W392" s="386">
        <f>SUM(X392:AD392)</f>
        <v>-11.3188</v>
      </c>
      <c r="X392" s="386"/>
      <c r="Y392" s="386">
        <v>22.5288</v>
      </c>
      <c r="Z392" s="386">
        <v>14</v>
      </c>
      <c r="AA392" s="386"/>
      <c r="AB392" s="386">
        <v>5.8524</v>
      </c>
      <c r="AC392" s="386">
        <v>0.3</v>
      </c>
      <c r="AD392" s="370">
        <v>-54</v>
      </c>
      <c r="AE392" s="365">
        <f t="shared" si="281"/>
        <v>119.4712</v>
      </c>
      <c r="AF392" s="365">
        <f t="shared" si="282"/>
        <v>76.79</v>
      </c>
      <c r="AG392" s="365">
        <f t="shared" si="283"/>
        <v>44.66</v>
      </c>
      <c r="AH392" s="365">
        <f t="shared" si="284"/>
        <v>28.8</v>
      </c>
      <c r="AI392" s="365">
        <f t="shared" si="285"/>
        <v>3.33</v>
      </c>
      <c r="AJ392" s="365">
        <f t="shared" si="286"/>
        <v>0</v>
      </c>
      <c r="AK392" s="365">
        <f t="shared" si="287"/>
        <v>0</v>
      </c>
      <c r="AL392" s="365">
        <f t="shared" si="288"/>
        <v>42.6812</v>
      </c>
      <c r="AM392" s="365">
        <f t="shared" si="289"/>
        <v>0</v>
      </c>
      <c r="AN392" s="365">
        <f t="shared" si="290"/>
        <v>22.5288</v>
      </c>
      <c r="AO392" s="365">
        <f t="shared" si="291"/>
        <v>14</v>
      </c>
      <c r="AP392" s="365">
        <f t="shared" si="292"/>
        <v>0</v>
      </c>
      <c r="AQ392" s="365">
        <f t="shared" si="293"/>
        <v>5.8524</v>
      </c>
      <c r="AR392" s="365">
        <f t="shared" si="294"/>
        <v>0.3</v>
      </c>
      <c r="AS392" s="365">
        <f t="shared" si="295"/>
        <v>0</v>
      </c>
      <c r="AT392" s="351" t="s">
        <v>805</v>
      </c>
      <c r="AU392">
        <v>5.8524</v>
      </c>
    </row>
    <row r="393" ht="36" spans="1:47">
      <c r="A393" s="284" t="s">
        <v>290</v>
      </c>
      <c r="B393" s="284" t="s">
        <v>199</v>
      </c>
      <c r="C393" s="284" t="s">
        <v>696</v>
      </c>
      <c r="D393" s="284" t="s">
        <v>697</v>
      </c>
      <c r="E393" s="365">
        <f t="shared" si="278"/>
        <v>0</v>
      </c>
      <c r="F393" s="365">
        <f t="shared" si="279"/>
        <v>0</v>
      </c>
      <c r="G393" s="365"/>
      <c r="H393" s="365"/>
      <c r="I393" s="365"/>
      <c r="J393" s="365"/>
      <c r="K393" s="365"/>
      <c r="L393" s="365">
        <f t="shared" si="280"/>
        <v>0</v>
      </c>
      <c r="M393" s="365"/>
      <c r="N393" s="365"/>
      <c r="O393" s="365"/>
      <c r="P393" s="365">
        <f t="shared" si="296"/>
        <v>0</v>
      </c>
      <c r="Q393" s="365">
        <f t="shared" ref="Q393:Q398" si="297">SUM(R393:V393)</f>
        <v>0</v>
      </c>
      <c r="R393" s="365"/>
      <c r="S393" s="365"/>
      <c r="T393" s="365"/>
      <c r="U393" s="365"/>
      <c r="V393" s="365"/>
      <c r="W393" s="365">
        <f t="shared" ref="W393:W398" si="298">SUM(X393:AD393)</f>
        <v>0</v>
      </c>
      <c r="X393" s="365"/>
      <c r="Y393" s="365"/>
      <c r="Z393" s="365"/>
      <c r="AA393" s="365"/>
      <c r="AB393" s="365"/>
      <c r="AC393" s="365"/>
      <c r="AD393" s="366">
        <v>0</v>
      </c>
      <c r="AE393" s="365">
        <f t="shared" si="281"/>
        <v>0</v>
      </c>
      <c r="AF393" s="365">
        <f t="shared" si="282"/>
        <v>0</v>
      </c>
      <c r="AG393" s="365">
        <f t="shared" si="283"/>
        <v>0</v>
      </c>
      <c r="AH393" s="365">
        <f t="shared" si="284"/>
        <v>0</v>
      </c>
      <c r="AI393" s="365">
        <f t="shared" si="285"/>
        <v>0</v>
      </c>
      <c r="AJ393" s="365">
        <f t="shared" si="286"/>
        <v>0</v>
      </c>
      <c r="AK393" s="365">
        <f t="shared" si="287"/>
        <v>0</v>
      </c>
      <c r="AL393" s="365">
        <f t="shared" si="288"/>
        <v>0</v>
      </c>
      <c r="AM393" s="365">
        <f t="shared" si="289"/>
        <v>0</v>
      </c>
      <c r="AN393" s="365">
        <f t="shared" si="290"/>
        <v>0</v>
      </c>
      <c r="AO393" s="365">
        <f t="shared" si="291"/>
        <v>0</v>
      </c>
      <c r="AP393" s="365">
        <f t="shared" si="292"/>
        <v>0</v>
      </c>
      <c r="AQ393" s="365">
        <f t="shared" si="293"/>
        <v>0</v>
      </c>
      <c r="AR393" s="365">
        <f t="shared" si="294"/>
        <v>0</v>
      </c>
      <c r="AS393" s="365">
        <f t="shared" si="295"/>
        <v>0</v>
      </c>
      <c r="AT393" s="363"/>
      <c r="AU393">
        <v>8.9951</v>
      </c>
    </row>
    <row r="394" ht="36" spans="1:47">
      <c r="A394" s="284" t="s">
        <v>290</v>
      </c>
      <c r="B394" s="284" t="s">
        <v>199</v>
      </c>
      <c r="C394" s="284" t="s">
        <v>698</v>
      </c>
      <c r="D394" s="284" t="s">
        <v>697</v>
      </c>
      <c r="E394" s="365">
        <f t="shared" si="278"/>
        <v>0</v>
      </c>
      <c r="F394" s="365">
        <f t="shared" si="279"/>
        <v>0</v>
      </c>
      <c r="G394" s="365"/>
      <c r="H394" s="365"/>
      <c r="I394" s="365"/>
      <c r="J394" s="365"/>
      <c r="K394" s="365"/>
      <c r="L394" s="365">
        <f t="shared" si="280"/>
        <v>0</v>
      </c>
      <c r="M394" s="365"/>
      <c r="N394" s="365"/>
      <c r="O394" s="365"/>
      <c r="P394" s="365">
        <f t="shared" si="296"/>
        <v>0</v>
      </c>
      <c r="Q394" s="365">
        <f t="shared" si="297"/>
        <v>0</v>
      </c>
      <c r="R394" s="365"/>
      <c r="S394" s="365"/>
      <c r="T394" s="365"/>
      <c r="U394" s="365"/>
      <c r="V394" s="365"/>
      <c r="W394" s="365">
        <f t="shared" si="298"/>
        <v>0</v>
      </c>
      <c r="X394" s="365"/>
      <c r="Y394" s="365"/>
      <c r="Z394" s="365"/>
      <c r="AA394" s="365"/>
      <c r="AB394" s="365"/>
      <c r="AC394" s="365"/>
      <c r="AD394" s="366">
        <v>0</v>
      </c>
      <c r="AE394" s="365">
        <f t="shared" si="281"/>
        <v>0</v>
      </c>
      <c r="AF394" s="365">
        <f t="shared" si="282"/>
        <v>0</v>
      </c>
      <c r="AG394" s="365">
        <f t="shared" si="283"/>
        <v>0</v>
      </c>
      <c r="AH394" s="365">
        <f t="shared" si="284"/>
        <v>0</v>
      </c>
      <c r="AI394" s="365">
        <f t="shared" si="285"/>
        <v>0</v>
      </c>
      <c r="AJ394" s="365">
        <f t="shared" si="286"/>
        <v>0</v>
      </c>
      <c r="AK394" s="365">
        <f t="shared" si="287"/>
        <v>0</v>
      </c>
      <c r="AL394" s="365">
        <f t="shared" si="288"/>
        <v>0</v>
      </c>
      <c r="AM394" s="365">
        <f t="shared" si="289"/>
        <v>0</v>
      </c>
      <c r="AN394" s="365">
        <f t="shared" si="290"/>
        <v>0</v>
      </c>
      <c r="AO394" s="365">
        <f t="shared" si="291"/>
        <v>0</v>
      </c>
      <c r="AP394" s="365">
        <f t="shared" si="292"/>
        <v>0</v>
      </c>
      <c r="AQ394" s="365">
        <f t="shared" si="293"/>
        <v>0</v>
      </c>
      <c r="AR394" s="365">
        <f t="shared" si="294"/>
        <v>0</v>
      </c>
      <c r="AS394" s="365">
        <f t="shared" si="295"/>
        <v>0</v>
      </c>
      <c r="AT394" s="363"/>
      <c r="AU394">
        <v>4.5</v>
      </c>
    </row>
    <row r="395" ht="36" spans="1:47">
      <c r="A395" s="284" t="s">
        <v>290</v>
      </c>
      <c r="B395" s="284" t="s">
        <v>199</v>
      </c>
      <c r="C395" s="284" t="s">
        <v>699</v>
      </c>
      <c r="D395" s="284" t="s">
        <v>697</v>
      </c>
      <c r="E395" s="365">
        <f t="shared" si="278"/>
        <v>0</v>
      </c>
      <c r="F395" s="365">
        <f t="shared" si="279"/>
        <v>0</v>
      </c>
      <c r="G395" s="365"/>
      <c r="H395" s="365"/>
      <c r="I395" s="365"/>
      <c r="J395" s="365"/>
      <c r="K395" s="365"/>
      <c r="L395" s="365">
        <f t="shared" si="280"/>
        <v>0</v>
      </c>
      <c r="M395" s="365"/>
      <c r="N395" s="365"/>
      <c r="O395" s="365"/>
      <c r="P395" s="365">
        <f t="shared" si="296"/>
        <v>0</v>
      </c>
      <c r="Q395" s="365">
        <f t="shared" si="297"/>
        <v>0</v>
      </c>
      <c r="R395" s="365"/>
      <c r="S395" s="365"/>
      <c r="T395" s="365"/>
      <c r="U395" s="365"/>
      <c r="V395" s="365"/>
      <c r="W395" s="365">
        <f t="shared" si="298"/>
        <v>0</v>
      </c>
      <c r="X395" s="365"/>
      <c r="Y395" s="365"/>
      <c r="Z395" s="365"/>
      <c r="AA395" s="365"/>
      <c r="AB395" s="365"/>
      <c r="AC395" s="365"/>
      <c r="AD395" s="366">
        <v>0</v>
      </c>
      <c r="AE395" s="365">
        <f t="shared" si="281"/>
        <v>0</v>
      </c>
      <c r="AF395" s="365">
        <f t="shared" si="282"/>
        <v>0</v>
      </c>
      <c r="AG395" s="365">
        <f t="shared" si="283"/>
        <v>0</v>
      </c>
      <c r="AH395" s="365">
        <f t="shared" si="284"/>
        <v>0</v>
      </c>
      <c r="AI395" s="365">
        <f t="shared" si="285"/>
        <v>0</v>
      </c>
      <c r="AJ395" s="365">
        <f t="shared" si="286"/>
        <v>0</v>
      </c>
      <c r="AK395" s="365">
        <f t="shared" si="287"/>
        <v>0</v>
      </c>
      <c r="AL395" s="365">
        <f t="shared" si="288"/>
        <v>0</v>
      </c>
      <c r="AM395" s="365">
        <f t="shared" si="289"/>
        <v>0</v>
      </c>
      <c r="AN395" s="365">
        <f t="shared" si="290"/>
        <v>0</v>
      </c>
      <c r="AO395" s="365">
        <f t="shared" si="291"/>
        <v>0</v>
      </c>
      <c r="AP395" s="365">
        <f t="shared" si="292"/>
        <v>0</v>
      </c>
      <c r="AQ395" s="365">
        <f t="shared" si="293"/>
        <v>0</v>
      </c>
      <c r="AR395" s="365">
        <f t="shared" si="294"/>
        <v>0</v>
      </c>
      <c r="AS395" s="365">
        <f t="shared" si="295"/>
        <v>0</v>
      </c>
      <c r="AT395" s="363"/>
      <c r="AU395">
        <v>1.5</v>
      </c>
    </row>
    <row r="396" ht="36" spans="1:47">
      <c r="A396" s="284" t="s">
        <v>290</v>
      </c>
      <c r="B396" s="284" t="s">
        <v>199</v>
      </c>
      <c r="C396" s="284" t="s">
        <v>700</v>
      </c>
      <c r="D396" s="284" t="s">
        <v>701</v>
      </c>
      <c r="E396" s="365">
        <f t="shared" si="278"/>
        <v>0</v>
      </c>
      <c r="F396" s="365">
        <f t="shared" si="279"/>
        <v>0</v>
      </c>
      <c r="G396" s="365"/>
      <c r="H396" s="365"/>
      <c r="I396" s="365"/>
      <c r="J396" s="365"/>
      <c r="K396" s="365"/>
      <c r="L396" s="365">
        <f t="shared" si="280"/>
        <v>0</v>
      </c>
      <c r="M396" s="365"/>
      <c r="N396" s="365"/>
      <c r="O396" s="365"/>
      <c r="P396" s="365">
        <f t="shared" si="296"/>
        <v>0</v>
      </c>
      <c r="Q396" s="365">
        <f t="shared" si="297"/>
        <v>0</v>
      </c>
      <c r="R396" s="365"/>
      <c r="S396" s="365"/>
      <c r="T396" s="365"/>
      <c r="U396" s="365"/>
      <c r="V396" s="365"/>
      <c r="W396" s="365">
        <f t="shared" si="298"/>
        <v>0</v>
      </c>
      <c r="X396" s="365"/>
      <c r="Y396" s="365"/>
      <c r="Z396" s="365"/>
      <c r="AA396" s="365"/>
      <c r="AB396" s="365"/>
      <c r="AC396" s="365"/>
      <c r="AD396" s="366">
        <v>0</v>
      </c>
      <c r="AE396" s="365">
        <f t="shared" si="281"/>
        <v>0</v>
      </c>
      <c r="AF396" s="365">
        <f t="shared" si="282"/>
        <v>0</v>
      </c>
      <c r="AG396" s="365">
        <f t="shared" si="283"/>
        <v>0</v>
      </c>
      <c r="AH396" s="365">
        <f t="shared" si="284"/>
        <v>0</v>
      </c>
      <c r="AI396" s="365">
        <f t="shared" si="285"/>
        <v>0</v>
      </c>
      <c r="AJ396" s="365">
        <f t="shared" si="286"/>
        <v>0</v>
      </c>
      <c r="AK396" s="365">
        <f t="shared" si="287"/>
        <v>0</v>
      </c>
      <c r="AL396" s="365">
        <f t="shared" si="288"/>
        <v>0</v>
      </c>
      <c r="AM396" s="365">
        <f t="shared" si="289"/>
        <v>0</v>
      </c>
      <c r="AN396" s="365">
        <f t="shared" si="290"/>
        <v>0</v>
      </c>
      <c r="AO396" s="365">
        <f t="shared" si="291"/>
        <v>0</v>
      </c>
      <c r="AP396" s="365">
        <f t="shared" si="292"/>
        <v>0</v>
      </c>
      <c r="AQ396" s="365">
        <f t="shared" si="293"/>
        <v>0</v>
      </c>
      <c r="AR396" s="365">
        <f t="shared" si="294"/>
        <v>0</v>
      </c>
      <c r="AS396" s="365">
        <f t="shared" si="295"/>
        <v>0</v>
      </c>
      <c r="AT396" s="363"/>
      <c r="AU396">
        <v>3.5167</v>
      </c>
    </row>
    <row r="397" ht="36" spans="1:47">
      <c r="A397" s="284" t="s">
        <v>195</v>
      </c>
      <c r="B397" s="284" t="s">
        <v>199</v>
      </c>
      <c r="C397" s="284" t="s">
        <v>702</v>
      </c>
      <c r="D397" s="284" t="s">
        <v>703</v>
      </c>
      <c r="E397" s="365">
        <f t="shared" si="278"/>
        <v>0</v>
      </c>
      <c r="F397" s="365">
        <f t="shared" si="279"/>
        <v>0</v>
      </c>
      <c r="G397" s="365"/>
      <c r="H397" s="365"/>
      <c r="I397" s="365"/>
      <c r="J397" s="365"/>
      <c r="K397" s="365"/>
      <c r="L397" s="365">
        <f t="shared" si="280"/>
        <v>0</v>
      </c>
      <c r="M397" s="365"/>
      <c r="N397" s="365"/>
      <c r="O397" s="365"/>
      <c r="P397" s="365">
        <f t="shared" si="296"/>
        <v>0</v>
      </c>
      <c r="Q397" s="365">
        <f t="shared" si="297"/>
        <v>0</v>
      </c>
      <c r="R397" s="365"/>
      <c r="S397" s="365"/>
      <c r="T397" s="365"/>
      <c r="U397" s="365"/>
      <c r="V397" s="365"/>
      <c r="W397" s="365">
        <f t="shared" si="298"/>
        <v>0</v>
      </c>
      <c r="X397" s="365"/>
      <c r="Y397" s="365"/>
      <c r="Z397" s="365"/>
      <c r="AA397" s="365"/>
      <c r="AB397" s="365"/>
      <c r="AC397" s="365"/>
      <c r="AD397" s="366">
        <v>0</v>
      </c>
      <c r="AE397" s="365">
        <f t="shared" si="281"/>
        <v>0</v>
      </c>
      <c r="AF397" s="365">
        <f t="shared" si="282"/>
        <v>0</v>
      </c>
      <c r="AG397" s="365">
        <f t="shared" si="283"/>
        <v>0</v>
      </c>
      <c r="AH397" s="365">
        <f t="shared" si="284"/>
        <v>0</v>
      </c>
      <c r="AI397" s="365">
        <f t="shared" si="285"/>
        <v>0</v>
      </c>
      <c r="AJ397" s="365">
        <f t="shared" si="286"/>
        <v>0</v>
      </c>
      <c r="AK397" s="365">
        <f t="shared" si="287"/>
        <v>0</v>
      </c>
      <c r="AL397" s="365">
        <f t="shared" si="288"/>
        <v>0</v>
      </c>
      <c r="AM397" s="365">
        <f t="shared" si="289"/>
        <v>0</v>
      </c>
      <c r="AN397" s="365">
        <f t="shared" si="290"/>
        <v>0</v>
      </c>
      <c r="AO397" s="365">
        <f t="shared" si="291"/>
        <v>0</v>
      </c>
      <c r="AP397" s="365">
        <f t="shared" si="292"/>
        <v>0</v>
      </c>
      <c r="AQ397" s="365">
        <f t="shared" si="293"/>
        <v>0</v>
      </c>
      <c r="AR397" s="365">
        <f t="shared" si="294"/>
        <v>0</v>
      </c>
      <c r="AS397" s="365">
        <f t="shared" si="295"/>
        <v>0</v>
      </c>
      <c r="AT397" s="363"/>
      <c r="AU397">
        <v>1</v>
      </c>
    </row>
    <row r="398" ht="36" spans="1:47">
      <c r="A398" s="284" t="s">
        <v>290</v>
      </c>
      <c r="B398" s="284" t="s">
        <v>199</v>
      </c>
      <c r="C398" s="284" t="s">
        <v>704</v>
      </c>
      <c r="D398" s="284" t="s">
        <v>703</v>
      </c>
      <c r="E398" s="365">
        <f t="shared" si="278"/>
        <v>0</v>
      </c>
      <c r="F398" s="365">
        <f t="shared" si="279"/>
        <v>0</v>
      </c>
      <c r="G398" s="365"/>
      <c r="H398" s="365"/>
      <c r="I398" s="365"/>
      <c r="J398" s="365"/>
      <c r="K398" s="365"/>
      <c r="L398" s="365">
        <f t="shared" si="280"/>
        <v>0</v>
      </c>
      <c r="M398" s="365"/>
      <c r="N398" s="365"/>
      <c r="O398" s="365"/>
      <c r="P398" s="365">
        <f t="shared" si="296"/>
        <v>0</v>
      </c>
      <c r="Q398" s="365">
        <f t="shared" si="297"/>
        <v>0</v>
      </c>
      <c r="R398" s="365"/>
      <c r="S398" s="365"/>
      <c r="T398" s="365"/>
      <c r="U398" s="365"/>
      <c r="V398" s="365"/>
      <c r="W398" s="365">
        <f t="shared" si="298"/>
        <v>0</v>
      </c>
      <c r="X398" s="365"/>
      <c r="Y398" s="365"/>
      <c r="Z398" s="365"/>
      <c r="AA398" s="365"/>
      <c r="AB398" s="365"/>
      <c r="AC398" s="365"/>
      <c r="AD398" s="366">
        <v>0</v>
      </c>
      <c r="AE398" s="365">
        <f t="shared" si="281"/>
        <v>0</v>
      </c>
      <c r="AF398" s="365">
        <f t="shared" si="282"/>
        <v>0</v>
      </c>
      <c r="AG398" s="365">
        <f t="shared" si="283"/>
        <v>0</v>
      </c>
      <c r="AH398" s="365">
        <f t="shared" si="284"/>
        <v>0</v>
      </c>
      <c r="AI398" s="365">
        <f t="shared" si="285"/>
        <v>0</v>
      </c>
      <c r="AJ398" s="365">
        <f t="shared" si="286"/>
        <v>0</v>
      </c>
      <c r="AK398" s="365">
        <f t="shared" si="287"/>
        <v>0</v>
      </c>
      <c r="AL398" s="365">
        <f t="shared" si="288"/>
        <v>0</v>
      </c>
      <c r="AM398" s="365">
        <f t="shared" si="289"/>
        <v>0</v>
      </c>
      <c r="AN398" s="365">
        <f t="shared" si="290"/>
        <v>0</v>
      </c>
      <c r="AO398" s="365">
        <f t="shared" si="291"/>
        <v>0</v>
      </c>
      <c r="AP398" s="365">
        <f t="shared" si="292"/>
        <v>0</v>
      </c>
      <c r="AQ398" s="365">
        <f t="shared" si="293"/>
        <v>0</v>
      </c>
      <c r="AR398" s="365">
        <f t="shared" si="294"/>
        <v>0</v>
      </c>
      <c r="AS398" s="365">
        <f t="shared" si="295"/>
        <v>0</v>
      </c>
      <c r="AT398" s="363"/>
      <c r="AU398">
        <v>8.01</v>
      </c>
    </row>
    <row r="399" s="311" customFormat="1" ht="21" customHeight="1" spans="1:47">
      <c r="A399" s="329"/>
      <c r="B399" s="329" t="s">
        <v>754</v>
      </c>
      <c r="C399" s="329" t="s">
        <v>144</v>
      </c>
      <c r="D399" s="329">
        <v>216</v>
      </c>
      <c r="E399" s="364">
        <f t="shared" ref="E399:O399" si="299">SUM(E400:E401)</f>
        <v>175.04</v>
      </c>
      <c r="F399" s="364">
        <f t="shared" si="299"/>
        <v>99.04</v>
      </c>
      <c r="G399" s="364">
        <f t="shared" si="299"/>
        <v>57.06</v>
      </c>
      <c r="H399" s="364">
        <f t="shared" si="299"/>
        <v>37.47</v>
      </c>
      <c r="I399" s="364">
        <f t="shared" si="299"/>
        <v>4.51</v>
      </c>
      <c r="J399" s="364">
        <f t="shared" si="299"/>
        <v>0</v>
      </c>
      <c r="K399" s="364">
        <f t="shared" si="299"/>
        <v>0</v>
      </c>
      <c r="L399" s="364">
        <f t="shared" si="299"/>
        <v>76</v>
      </c>
      <c r="M399" s="364">
        <f t="shared" si="299"/>
        <v>0</v>
      </c>
      <c r="N399" s="364">
        <f t="shared" si="299"/>
        <v>0</v>
      </c>
      <c r="O399" s="364">
        <f t="shared" si="299"/>
        <v>76</v>
      </c>
      <c r="P399" s="364">
        <f t="shared" si="296"/>
        <v>-23.9604</v>
      </c>
      <c r="Q399" s="364">
        <f t="shared" ref="Q399:AD399" si="300">SUM(Q400:Q401)</f>
        <v>-6.28</v>
      </c>
      <c r="R399" s="364">
        <f t="shared" si="300"/>
        <v>-6.28</v>
      </c>
      <c r="S399" s="364">
        <f t="shared" si="300"/>
        <v>0</v>
      </c>
      <c r="T399" s="364">
        <f t="shared" si="300"/>
        <v>0</v>
      </c>
      <c r="U399" s="364">
        <f t="shared" si="300"/>
        <v>0</v>
      </c>
      <c r="V399" s="364">
        <f t="shared" si="300"/>
        <v>0</v>
      </c>
      <c r="W399" s="364">
        <f t="shared" si="300"/>
        <v>-17.6804</v>
      </c>
      <c r="X399" s="364">
        <f t="shared" si="300"/>
        <v>0</v>
      </c>
      <c r="Y399" s="364">
        <f t="shared" si="300"/>
        <v>24.8748</v>
      </c>
      <c r="Z399" s="364">
        <f t="shared" si="300"/>
        <v>18</v>
      </c>
      <c r="AA399" s="364">
        <f t="shared" si="300"/>
        <v>0</v>
      </c>
      <c r="AB399" s="364">
        <f t="shared" si="300"/>
        <v>14.8448</v>
      </c>
      <c r="AC399" s="364">
        <f t="shared" si="300"/>
        <v>0.6</v>
      </c>
      <c r="AD399" s="364">
        <f t="shared" si="300"/>
        <v>-76</v>
      </c>
      <c r="AE399" s="364">
        <f t="shared" si="281"/>
        <v>151.0796</v>
      </c>
      <c r="AF399" s="364">
        <f t="shared" ref="AF399:AS399" si="301">SUM(AF400:AF401)</f>
        <v>92.76</v>
      </c>
      <c r="AG399" s="364">
        <f t="shared" si="301"/>
        <v>50.78</v>
      </c>
      <c r="AH399" s="364">
        <f t="shared" si="301"/>
        <v>37.47</v>
      </c>
      <c r="AI399" s="364">
        <f t="shared" si="301"/>
        <v>4.51</v>
      </c>
      <c r="AJ399" s="364">
        <f t="shared" si="301"/>
        <v>0</v>
      </c>
      <c r="AK399" s="364">
        <f t="shared" si="301"/>
        <v>0</v>
      </c>
      <c r="AL399" s="364">
        <f t="shared" si="301"/>
        <v>58.3196</v>
      </c>
      <c r="AM399" s="364">
        <f t="shared" si="301"/>
        <v>0</v>
      </c>
      <c r="AN399" s="364">
        <f t="shared" si="301"/>
        <v>24.8748</v>
      </c>
      <c r="AO399" s="364">
        <f t="shared" si="301"/>
        <v>18</v>
      </c>
      <c r="AP399" s="364">
        <f t="shared" si="301"/>
        <v>0</v>
      </c>
      <c r="AQ399" s="364">
        <f t="shared" si="301"/>
        <v>14.8448</v>
      </c>
      <c r="AR399" s="364">
        <f t="shared" si="301"/>
        <v>0.6</v>
      </c>
      <c r="AS399" s="364">
        <f t="shared" si="301"/>
        <v>0</v>
      </c>
      <c r="AT399" s="372"/>
      <c r="AU399" s="373"/>
    </row>
    <row r="400" ht="24" spans="1:47">
      <c r="A400" s="284" t="s">
        <v>290</v>
      </c>
      <c r="B400" s="284" t="s">
        <v>196</v>
      </c>
      <c r="C400" s="284" t="s">
        <v>705</v>
      </c>
      <c r="D400" s="284" t="s">
        <v>706</v>
      </c>
      <c r="E400" s="365">
        <f t="shared" ref="E400:E413" si="302">F400+L400</f>
        <v>175.04</v>
      </c>
      <c r="F400" s="365">
        <f t="shared" ref="F400:F413" si="303">SUM(G400:K400)</f>
        <v>99.04</v>
      </c>
      <c r="G400" s="365">
        <v>57.06</v>
      </c>
      <c r="H400" s="365">
        <v>37.47</v>
      </c>
      <c r="I400" s="365">
        <v>4.51</v>
      </c>
      <c r="J400" s="365"/>
      <c r="K400" s="365"/>
      <c r="L400" s="365">
        <f t="shared" ref="L400:L413" si="304">SUM(M400:O400)</f>
        <v>76</v>
      </c>
      <c r="M400" s="365"/>
      <c r="N400" s="365"/>
      <c r="O400" s="366">
        <v>76</v>
      </c>
      <c r="P400" s="365">
        <f t="shared" si="296"/>
        <v>-23.9604</v>
      </c>
      <c r="Q400" s="365">
        <f t="shared" ref="Q400:Q413" si="305">SUM(R400:V400)</f>
        <v>-6.28</v>
      </c>
      <c r="R400" s="386">
        <v>-6.28</v>
      </c>
      <c r="S400" s="386"/>
      <c r="T400" s="386"/>
      <c r="U400" s="386"/>
      <c r="V400" s="386"/>
      <c r="W400" s="386">
        <f>SUM(X400:AD400)</f>
        <v>-17.6804</v>
      </c>
      <c r="X400" s="386"/>
      <c r="Y400" s="386">
        <v>24.8748</v>
      </c>
      <c r="Z400" s="386">
        <v>18</v>
      </c>
      <c r="AA400" s="386"/>
      <c r="AB400" s="386">
        <v>14.8448</v>
      </c>
      <c r="AC400" s="386">
        <v>0.6</v>
      </c>
      <c r="AD400" s="370">
        <v>-76</v>
      </c>
      <c r="AE400" s="365">
        <f t="shared" si="281"/>
        <v>151.0796</v>
      </c>
      <c r="AF400" s="365">
        <f t="shared" ref="AF400:AF413" si="306">SUM(AG400:AK400)</f>
        <v>92.76</v>
      </c>
      <c r="AG400" s="365">
        <f t="shared" ref="AG400:AK400" si="307">G400+R400</f>
        <v>50.78</v>
      </c>
      <c r="AH400" s="365">
        <f t="shared" si="307"/>
        <v>37.47</v>
      </c>
      <c r="AI400" s="365">
        <f t="shared" si="307"/>
        <v>4.51</v>
      </c>
      <c r="AJ400" s="365">
        <f t="shared" si="307"/>
        <v>0</v>
      </c>
      <c r="AK400" s="365">
        <f t="shared" si="307"/>
        <v>0</v>
      </c>
      <c r="AL400" s="365">
        <f t="shared" ref="AL400:AL413" si="308">SUM(AM400:AS400)</f>
        <v>58.3196</v>
      </c>
      <c r="AM400" s="365">
        <f>M400+X400</f>
        <v>0</v>
      </c>
      <c r="AN400" s="365">
        <f t="shared" ref="AN400:AN413" si="309">Y400</f>
        <v>24.8748</v>
      </c>
      <c r="AO400" s="365">
        <f>Z400</f>
        <v>18</v>
      </c>
      <c r="AP400" s="365">
        <f t="shared" ref="AP400:AP413" si="310">AA400</f>
        <v>0</v>
      </c>
      <c r="AQ400" s="365">
        <f>AB400</f>
        <v>14.8448</v>
      </c>
      <c r="AR400" s="365">
        <f>N400+AC400</f>
        <v>0.6</v>
      </c>
      <c r="AS400" s="365">
        <f>O400+AD400</f>
        <v>0</v>
      </c>
      <c r="AT400" s="351" t="s">
        <v>806</v>
      </c>
      <c r="AU400">
        <v>14.8448</v>
      </c>
    </row>
    <row r="401" ht="24" spans="1:47">
      <c r="A401" s="284" t="s">
        <v>290</v>
      </c>
      <c r="B401" s="284" t="s">
        <v>199</v>
      </c>
      <c r="C401" s="284" t="s">
        <v>707</v>
      </c>
      <c r="D401" s="284" t="s">
        <v>708</v>
      </c>
      <c r="E401" s="365">
        <f t="shared" si="302"/>
        <v>0</v>
      </c>
      <c r="F401" s="365">
        <f t="shared" si="303"/>
        <v>0</v>
      </c>
      <c r="G401" s="365"/>
      <c r="H401" s="365"/>
      <c r="I401" s="365"/>
      <c r="J401" s="365"/>
      <c r="K401" s="365"/>
      <c r="L401" s="365">
        <f t="shared" si="304"/>
        <v>0</v>
      </c>
      <c r="M401" s="365"/>
      <c r="N401" s="365"/>
      <c r="O401" s="365"/>
      <c r="P401" s="365">
        <f t="shared" si="296"/>
        <v>0</v>
      </c>
      <c r="Q401" s="365">
        <f t="shared" si="305"/>
        <v>0</v>
      </c>
      <c r="R401" s="386"/>
      <c r="S401" s="386"/>
      <c r="T401" s="386"/>
      <c r="U401" s="386"/>
      <c r="V401" s="386"/>
      <c r="W401" s="386">
        <f>SUM(X401:AD401)</f>
        <v>0</v>
      </c>
      <c r="X401" s="386"/>
      <c r="Y401" s="386"/>
      <c r="Z401" s="386"/>
      <c r="AA401" s="386"/>
      <c r="AB401" s="386"/>
      <c r="AC401" s="386"/>
      <c r="AD401" s="370">
        <v>0</v>
      </c>
      <c r="AE401" s="365">
        <f t="shared" si="281"/>
        <v>0</v>
      </c>
      <c r="AF401" s="365">
        <f t="shared" si="306"/>
        <v>0</v>
      </c>
      <c r="AG401" s="365">
        <f t="shared" ref="AG401:AK401" si="311">G401+R401</f>
        <v>0</v>
      </c>
      <c r="AH401" s="365">
        <f t="shared" si="311"/>
        <v>0</v>
      </c>
      <c r="AI401" s="365">
        <f t="shared" si="311"/>
        <v>0</v>
      </c>
      <c r="AJ401" s="365">
        <f t="shared" si="311"/>
        <v>0</v>
      </c>
      <c r="AK401" s="365">
        <f t="shared" si="311"/>
        <v>0</v>
      </c>
      <c r="AL401" s="365">
        <f t="shared" si="308"/>
        <v>0</v>
      </c>
      <c r="AM401" s="365">
        <f>M401+X401</f>
        <v>0</v>
      </c>
      <c r="AN401" s="365">
        <f t="shared" si="309"/>
        <v>0</v>
      </c>
      <c r="AO401" s="365">
        <f>Z401</f>
        <v>0</v>
      </c>
      <c r="AP401" s="365">
        <f t="shared" si="310"/>
        <v>0</v>
      </c>
      <c r="AQ401" s="365">
        <f>AB401</f>
        <v>0</v>
      </c>
      <c r="AR401" s="365">
        <f>N401+AC401</f>
        <v>0</v>
      </c>
      <c r="AS401" s="365">
        <f>O401+AD401</f>
        <v>0</v>
      </c>
      <c r="AT401" s="363"/>
      <c r="AU401">
        <v>1</v>
      </c>
    </row>
    <row r="402" s="311" customFormat="1" ht="21" customHeight="1" spans="1:47">
      <c r="A402" s="329"/>
      <c r="B402" s="329" t="s">
        <v>755</v>
      </c>
      <c r="C402" s="329" t="s">
        <v>146</v>
      </c>
      <c r="D402" s="329">
        <v>220</v>
      </c>
      <c r="E402" s="364">
        <f t="shared" ref="E402:O402" si="312">SUM(E403:E413)</f>
        <v>861.6139</v>
      </c>
      <c r="F402" s="364">
        <f t="shared" si="312"/>
        <v>412.7039</v>
      </c>
      <c r="G402" s="364">
        <f t="shared" si="312"/>
        <v>222.07</v>
      </c>
      <c r="H402" s="364">
        <f t="shared" si="312"/>
        <v>167.93</v>
      </c>
      <c r="I402" s="364">
        <f t="shared" si="312"/>
        <v>18.5039</v>
      </c>
      <c r="J402" s="364">
        <f t="shared" si="312"/>
        <v>4.2</v>
      </c>
      <c r="K402" s="364">
        <f t="shared" si="312"/>
        <v>0</v>
      </c>
      <c r="L402" s="364">
        <f t="shared" si="312"/>
        <v>448.91</v>
      </c>
      <c r="M402" s="364">
        <f t="shared" si="312"/>
        <v>99.26</v>
      </c>
      <c r="N402" s="364">
        <f t="shared" si="312"/>
        <v>4.15</v>
      </c>
      <c r="O402" s="364">
        <f t="shared" si="312"/>
        <v>345.5</v>
      </c>
      <c r="P402" s="364">
        <f t="shared" si="296"/>
        <v>-28.0545</v>
      </c>
      <c r="Q402" s="364">
        <f t="shared" ref="Q402:AD402" si="313">SUM(Q403:Q413)</f>
        <v>-3.74</v>
      </c>
      <c r="R402" s="364">
        <f t="shared" si="313"/>
        <v>-12.75</v>
      </c>
      <c r="S402" s="364">
        <f t="shared" si="313"/>
        <v>8.52</v>
      </c>
      <c r="T402" s="364">
        <f t="shared" si="313"/>
        <v>0.65</v>
      </c>
      <c r="U402" s="364">
        <f t="shared" si="313"/>
        <v>-0.16</v>
      </c>
      <c r="V402" s="364">
        <f t="shared" si="313"/>
        <v>0</v>
      </c>
      <c r="W402" s="364">
        <f t="shared" si="313"/>
        <v>-24.3145</v>
      </c>
      <c r="X402" s="364">
        <f t="shared" si="313"/>
        <v>0</v>
      </c>
      <c r="Y402" s="364">
        <f t="shared" si="313"/>
        <v>146.51</v>
      </c>
      <c r="Z402" s="364">
        <f t="shared" si="313"/>
        <v>119</v>
      </c>
      <c r="AA402" s="364">
        <f t="shared" si="313"/>
        <v>0</v>
      </c>
      <c r="AB402" s="364">
        <f t="shared" si="313"/>
        <v>52.8255</v>
      </c>
      <c r="AC402" s="364">
        <f t="shared" si="313"/>
        <v>2.85</v>
      </c>
      <c r="AD402" s="364">
        <f t="shared" si="313"/>
        <v>-345.5</v>
      </c>
      <c r="AE402" s="364">
        <f t="shared" si="281"/>
        <v>833.5594</v>
      </c>
      <c r="AF402" s="364">
        <f t="shared" ref="AF402:AS402" si="314">SUM(AF403:AF413)</f>
        <v>408.9639</v>
      </c>
      <c r="AG402" s="364">
        <f t="shared" si="314"/>
        <v>209.32</v>
      </c>
      <c r="AH402" s="364">
        <f t="shared" si="314"/>
        <v>176.45</v>
      </c>
      <c r="AI402" s="364">
        <f t="shared" si="314"/>
        <v>19.1539</v>
      </c>
      <c r="AJ402" s="364">
        <f t="shared" si="314"/>
        <v>4.04</v>
      </c>
      <c r="AK402" s="364">
        <f t="shared" si="314"/>
        <v>0</v>
      </c>
      <c r="AL402" s="364">
        <f t="shared" si="314"/>
        <v>424.5955</v>
      </c>
      <c r="AM402" s="364">
        <f t="shared" si="314"/>
        <v>99.26</v>
      </c>
      <c r="AN402" s="364">
        <f t="shared" si="314"/>
        <v>146.51</v>
      </c>
      <c r="AO402" s="364">
        <f t="shared" si="314"/>
        <v>119</v>
      </c>
      <c r="AP402" s="364">
        <f t="shared" si="314"/>
        <v>0</v>
      </c>
      <c r="AQ402" s="364">
        <f t="shared" si="314"/>
        <v>52.8255</v>
      </c>
      <c r="AR402" s="364">
        <f t="shared" si="314"/>
        <v>7</v>
      </c>
      <c r="AS402" s="364">
        <f t="shared" si="314"/>
        <v>0</v>
      </c>
      <c r="AT402" s="372"/>
      <c r="AU402" s="373"/>
    </row>
    <row r="403" ht="24" spans="1:47">
      <c r="A403" s="284" t="s">
        <v>665</v>
      </c>
      <c r="B403" s="284" t="s">
        <v>196</v>
      </c>
      <c r="C403" s="284" t="s">
        <v>709</v>
      </c>
      <c r="D403" s="284" t="s">
        <v>710</v>
      </c>
      <c r="E403" s="365">
        <f t="shared" si="302"/>
        <v>578.33</v>
      </c>
      <c r="F403" s="365">
        <f t="shared" si="303"/>
        <v>131.07</v>
      </c>
      <c r="G403" s="365">
        <v>75.56</v>
      </c>
      <c r="H403" s="365">
        <v>49.21</v>
      </c>
      <c r="I403" s="365">
        <v>6.3</v>
      </c>
      <c r="J403" s="365"/>
      <c r="K403" s="365"/>
      <c r="L403" s="365">
        <f t="shared" si="304"/>
        <v>447.26</v>
      </c>
      <c r="M403" s="365">
        <v>99.26</v>
      </c>
      <c r="N403" s="386">
        <v>2.5</v>
      </c>
      <c r="O403" s="366">
        <f>348-2.5</f>
        <v>345.5</v>
      </c>
      <c r="P403" s="365">
        <f t="shared" si="296"/>
        <v>-240.7845</v>
      </c>
      <c r="Q403" s="365">
        <f t="shared" si="305"/>
        <v>-8.04</v>
      </c>
      <c r="R403" s="365">
        <v>-10.51</v>
      </c>
      <c r="S403" s="365">
        <v>2.4</v>
      </c>
      <c r="T403" s="365">
        <v>0.07</v>
      </c>
      <c r="U403" s="365"/>
      <c r="V403" s="365"/>
      <c r="W403" s="365">
        <f t="shared" ref="W403:W413" si="315">SUM(X403:AD403)</f>
        <v>-232.7445</v>
      </c>
      <c r="X403" s="365"/>
      <c r="Y403" s="365">
        <v>43.08</v>
      </c>
      <c r="Z403" s="365">
        <v>14</v>
      </c>
      <c r="AA403" s="365"/>
      <c r="AB403" s="365">
        <v>52.8255</v>
      </c>
      <c r="AC403" s="386">
        <v>2.85</v>
      </c>
      <c r="AD403" s="366">
        <v>-345.5</v>
      </c>
      <c r="AE403" s="365">
        <f t="shared" si="281"/>
        <v>337.5455</v>
      </c>
      <c r="AF403" s="365">
        <f t="shared" si="306"/>
        <v>123.03</v>
      </c>
      <c r="AG403" s="365">
        <f t="shared" ref="AG403:AG413" si="316">G403+R403</f>
        <v>65.05</v>
      </c>
      <c r="AH403" s="365">
        <f t="shared" ref="AH403:AH413" si="317">H403+S403</f>
        <v>51.61</v>
      </c>
      <c r="AI403" s="365">
        <f t="shared" ref="AI403:AI413" si="318">I403+T403</f>
        <v>6.37</v>
      </c>
      <c r="AJ403" s="365">
        <f t="shared" ref="AJ403:AJ413" si="319">J403+U403</f>
        <v>0</v>
      </c>
      <c r="AK403" s="365">
        <f t="shared" ref="AK403:AK413" si="320">K403+V403</f>
        <v>0</v>
      </c>
      <c r="AL403" s="365">
        <f t="shared" si="308"/>
        <v>214.5155</v>
      </c>
      <c r="AM403" s="365">
        <f t="shared" ref="AM403:AM413" si="321">M403+X403</f>
        <v>99.26</v>
      </c>
      <c r="AN403" s="365">
        <f t="shared" si="309"/>
        <v>43.08</v>
      </c>
      <c r="AO403" s="365">
        <f t="shared" ref="AO403:AO413" si="322">Z403</f>
        <v>14</v>
      </c>
      <c r="AP403" s="365">
        <f t="shared" si="310"/>
        <v>0</v>
      </c>
      <c r="AQ403" s="365">
        <f t="shared" ref="AQ403:AQ413" si="323">AB403</f>
        <v>52.8255</v>
      </c>
      <c r="AR403" s="365">
        <f t="shared" ref="AR403:AR413" si="324">N403+AC403</f>
        <v>5.35</v>
      </c>
      <c r="AS403" s="365">
        <f t="shared" ref="AS403:AS413" si="325">O403+AD403</f>
        <v>0</v>
      </c>
      <c r="AT403" s="363"/>
      <c r="AU403">
        <v>52.8255</v>
      </c>
    </row>
    <row r="404" ht="24" spans="1:46">
      <c r="A404" s="284" t="s">
        <v>665</v>
      </c>
      <c r="B404" s="284" t="s">
        <v>196</v>
      </c>
      <c r="C404" s="284" t="s">
        <v>807</v>
      </c>
      <c r="D404" s="284" t="s">
        <v>710</v>
      </c>
      <c r="E404" s="365">
        <f t="shared" si="302"/>
        <v>62.49</v>
      </c>
      <c r="F404" s="365">
        <f t="shared" si="303"/>
        <v>62.49</v>
      </c>
      <c r="G404" s="365">
        <v>35.22</v>
      </c>
      <c r="H404" s="365">
        <v>24.34</v>
      </c>
      <c r="I404" s="365">
        <v>2.93</v>
      </c>
      <c r="J404" s="365"/>
      <c r="K404" s="365"/>
      <c r="L404" s="365">
        <f t="shared" si="304"/>
        <v>0</v>
      </c>
      <c r="M404" s="365"/>
      <c r="N404" s="365"/>
      <c r="O404" s="365"/>
      <c r="P404" s="365">
        <f t="shared" si="296"/>
        <v>88.73</v>
      </c>
      <c r="Q404" s="365">
        <f t="shared" si="305"/>
        <v>-4.87</v>
      </c>
      <c r="R404" s="365">
        <v>-6.02</v>
      </c>
      <c r="S404" s="365">
        <v>1.2</v>
      </c>
      <c r="T404" s="365">
        <v>-0.05</v>
      </c>
      <c r="U404" s="365"/>
      <c r="V404" s="365"/>
      <c r="W404" s="365">
        <f t="shared" si="315"/>
        <v>93.6</v>
      </c>
      <c r="X404" s="365"/>
      <c r="Y404" s="365">
        <v>21.6</v>
      </c>
      <c r="Z404" s="365">
        <v>72</v>
      </c>
      <c r="AA404" s="365"/>
      <c r="AB404" s="365"/>
      <c r="AC404" s="365"/>
      <c r="AD404" s="366">
        <v>0</v>
      </c>
      <c r="AE404" s="365">
        <f t="shared" si="281"/>
        <v>151.22</v>
      </c>
      <c r="AF404" s="365">
        <f t="shared" si="306"/>
        <v>57.62</v>
      </c>
      <c r="AG404" s="365">
        <f t="shared" si="316"/>
        <v>29.2</v>
      </c>
      <c r="AH404" s="365">
        <f t="shared" si="317"/>
        <v>25.54</v>
      </c>
      <c r="AI404" s="365">
        <f t="shared" si="318"/>
        <v>2.88</v>
      </c>
      <c r="AJ404" s="365">
        <f t="shared" si="319"/>
        <v>0</v>
      </c>
      <c r="AK404" s="365">
        <f t="shared" si="320"/>
        <v>0</v>
      </c>
      <c r="AL404" s="365">
        <f t="shared" si="308"/>
        <v>93.6</v>
      </c>
      <c r="AM404" s="365">
        <f t="shared" si="321"/>
        <v>0</v>
      </c>
      <c r="AN404" s="365">
        <f t="shared" si="309"/>
        <v>21.6</v>
      </c>
      <c r="AO404" s="365">
        <f t="shared" si="322"/>
        <v>72</v>
      </c>
      <c r="AP404" s="365">
        <f t="shared" si="310"/>
        <v>0</v>
      </c>
      <c r="AQ404" s="365">
        <f t="shared" si="323"/>
        <v>0</v>
      </c>
      <c r="AR404" s="365">
        <f t="shared" si="324"/>
        <v>0</v>
      </c>
      <c r="AS404" s="365">
        <f t="shared" si="325"/>
        <v>0</v>
      </c>
      <c r="AT404" s="363"/>
    </row>
    <row r="405" ht="24" spans="1:46">
      <c r="A405" s="284" t="s">
        <v>665</v>
      </c>
      <c r="B405" s="284" t="s">
        <v>196</v>
      </c>
      <c r="C405" s="284" t="s">
        <v>712</v>
      </c>
      <c r="D405" s="284" t="s">
        <v>710</v>
      </c>
      <c r="E405" s="365">
        <f t="shared" si="302"/>
        <v>207.2439</v>
      </c>
      <c r="F405" s="365">
        <f t="shared" si="303"/>
        <v>207.2439</v>
      </c>
      <c r="G405" s="365">
        <v>111.29</v>
      </c>
      <c r="H405" s="365">
        <v>82.48</v>
      </c>
      <c r="I405" s="365">
        <v>9.2739</v>
      </c>
      <c r="J405" s="365">
        <v>4.2</v>
      </c>
      <c r="K405" s="365"/>
      <c r="L405" s="365">
        <f t="shared" si="304"/>
        <v>0</v>
      </c>
      <c r="M405" s="365"/>
      <c r="N405" s="365"/>
      <c r="O405" s="365"/>
      <c r="P405" s="365">
        <f t="shared" si="296"/>
        <v>124</v>
      </c>
      <c r="Q405" s="365">
        <f t="shared" si="305"/>
        <v>9.17</v>
      </c>
      <c r="R405" s="365">
        <v>3.78</v>
      </c>
      <c r="S405" s="365">
        <v>4.92</v>
      </c>
      <c r="T405" s="365">
        <v>0.63</v>
      </c>
      <c r="U405" s="365">
        <v>-0.16</v>
      </c>
      <c r="V405" s="365"/>
      <c r="W405" s="365">
        <f t="shared" si="315"/>
        <v>114.83</v>
      </c>
      <c r="X405" s="365"/>
      <c r="Y405" s="365">
        <v>81.83</v>
      </c>
      <c r="Z405" s="365">
        <v>33</v>
      </c>
      <c r="AA405" s="365"/>
      <c r="AB405" s="365"/>
      <c r="AC405" s="365"/>
      <c r="AD405" s="366">
        <v>0</v>
      </c>
      <c r="AE405" s="365">
        <f t="shared" si="281"/>
        <v>331.2439</v>
      </c>
      <c r="AF405" s="365">
        <f t="shared" si="306"/>
        <v>216.4139</v>
      </c>
      <c r="AG405" s="365">
        <f t="shared" si="316"/>
        <v>115.07</v>
      </c>
      <c r="AH405" s="365">
        <f t="shared" si="317"/>
        <v>87.4</v>
      </c>
      <c r="AI405" s="365">
        <f t="shared" si="318"/>
        <v>9.9039</v>
      </c>
      <c r="AJ405" s="365">
        <f t="shared" si="319"/>
        <v>4.04</v>
      </c>
      <c r="AK405" s="365">
        <f t="shared" si="320"/>
        <v>0</v>
      </c>
      <c r="AL405" s="365">
        <f t="shared" si="308"/>
        <v>114.83</v>
      </c>
      <c r="AM405" s="365">
        <f t="shared" si="321"/>
        <v>0</v>
      </c>
      <c r="AN405" s="365">
        <f t="shared" si="309"/>
        <v>81.83</v>
      </c>
      <c r="AO405" s="365">
        <f t="shared" si="322"/>
        <v>33</v>
      </c>
      <c r="AP405" s="365">
        <f t="shared" si="310"/>
        <v>0</v>
      </c>
      <c r="AQ405" s="365">
        <f t="shared" si="323"/>
        <v>0</v>
      </c>
      <c r="AR405" s="365">
        <f t="shared" si="324"/>
        <v>0</v>
      </c>
      <c r="AS405" s="365">
        <f t="shared" si="325"/>
        <v>0</v>
      </c>
      <c r="AT405" s="363"/>
    </row>
    <row r="406" ht="24" spans="1:46">
      <c r="A406" s="284" t="s">
        <v>665</v>
      </c>
      <c r="B406" s="284" t="s">
        <v>199</v>
      </c>
      <c r="C406" s="284" t="s">
        <v>713</v>
      </c>
      <c r="D406" s="284" t="s">
        <v>714</v>
      </c>
      <c r="E406" s="365">
        <f t="shared" si="302"/>
        <v>0</v>
      </c>
      <c r="F406" s="365">
        <f t="shared" si="303"/>
        <v>0</v>
      </c>
      <c r="G406" s="365"/>
      <c r="H406" s="365"/>
      <c r="I406" s="365"/>
      <c r="J406" s="365"/>
      <c r="K406" s="365"/>
      <c r="L406" s="365">
        <f t="shared" si="304"/>
        <v>0</v>
      </c>
      <c r="M406" s="365"/>
      <c r="N406" s="365"/>
      <c r="O406" s="365"/>
      <c r="P406" s="365">
        <f t="shared" si="296"/>
        <v>0</v>
      </c>
      <c r="Q406" s="365">
        <f t="shared" si="305"/>
        <v>0</v>
      </c>
      <c r="R406" s="365"/>
      <c r="S406" s="365"/>
      <c r="T406" s="365"/>
      <c r="U406" s="365"/>
      <c r="V406" s="365"/>
      <c r="W406" s="365">
        <f t="shared" si="315"/>
        <v>0</v>
      </c>
      <c r="X406" s="365"/>
      <c r="Y406" s="365"/>
      <c r="Z406" s="365"/>
      <c r="AA406" s="365"/>
      <c r="AB406" s="365"/>
      <c r="AC406" s="365"/>
      <c r="AD406" s="366">
        <v>0</v>
      </c>
      <c r="AE406" s="365">
        <f t="shared" si="281"/>
        <v>0</v>
      </c>
      <c r="AF406" s="365">
        <f t="shared" si="306"/>
        <v>0</v>
      </c>
      <c r="AG406" s="365">
        <f t="shared" si="316"/>
        <v>0</v>
      </c>
      <c r="AH406" s="365">
        <f t="shared" si="317"/>
        <v>0</v>
      </c>
      <c r="AI406" s="365">
        <f t="shared" si="318"/>
        <v>0</v>
      </c>
      <c r="AJ406" s="365">
        <f t="shared" si="319"/>
        <v>0</v>
      </c>
      <c r="AK406" s="365">
        <f t="shared" si="320"/>
        <v>0</v>
      </c>
      <c r="AL406" s="365">
        <f t="shared" si="308"/>
        <v>0</v>
      </c>
      <c r="AM406" s="365">
        <f t="shared" si="321"/>
        <v>0</v>
      </c>
      <c r="AN406" s="365">
        <f t="shared" si="309"/>
        <v>0</v>
      </c>
      <c r="AO406" s="365">
        <f t="shared" si="322"/>
        <v>0</v>
      </c>
      <c r="AP406" s="365">
        <f t="shared" si="310"/>
        <v>0</v>
      </c>
      <c r="AQ406" s="365">
        <f t="shared" si="323"/>
        <v>0</v>
      </c>
      <c r="AR406" s="365">
        <f t="shared" si="324"/>
        <v>0</v>
      </c>
      <c r="AS406" s="365">
        <f t="shared" si="325"/>
        <v>0</v>
      </c>
      <c r="AT406" s="363"/>
    </row>
    <row r="407" ht="24" spans="1:47">
      <c r="A407" s="284" t="s">
        <v>665</v>
      </c>
      <c r="B407" s="284" t="s">
        <v>199</v>
      </c>
      <c r="C407" s="284" t="s">
        <v>715</v>
      </c>
      <c r="D407" s="284" t="s">
        <v>714</v>
      </c>
      <c r="E407" s="365">
        <f t="shared" si="302"/>
        <v>0</v>
      </c>
      <c r="F407" s="365">
        <f t="shared" si="303"/>
        <v>0</v>
      </c>
      <c r="G407" s="365"/>
      <c r="H407" s="365"/>
      <c r="I407" s="365"/>
      <c r="J407" s="365"/>
      <c r="K407" s="365"/>
      <c r="L407" s="365">
        <f t="shared" si="304"/>
        <v>0</v>
      </c>
      <c r="M407" s="365"/>
      <c r="N407" s="365"/>
      <c r="O407" s="365"/>
      <c r="P407" s="365">
        <f t="shared" si="296"/>
        <v>0</v>
      </c>
      <c r="Q407" s="365">
        <f t="shared" si="305"/>
        <v>0</v>
      </c>
      <c r="R407" s="365"/>
      <c r="S407" s="365"/>
      <c r="T407" s="365"/>
      <c r="U407" s="365"/>
      <c r="V407" s="365"/>
      <c r="W407" s="365">
        <f t="shared" si="315"/>
        <v>0</v>
      </c>
      <c r="X407" s="365"/>
      <c r="Y407" s="365"/>
      <c r="Z407" s="365"/>
      <c r="AA407" s="365"/>
      <c r="AB407" s="365"/>
      <c r="AC407" s="365"/>
      <c r="AD407" s="366">
        <v>0</v>
      </c>
      <c r="AE407" s="365">
        <f t="shared" si="281"/>
        <v>0</v>
      </c>
      <c r="AF407" s="365">
        <f t="shared" si="306"/>
        <v>0</v>
      </c>
      <c r="AG407" s="365">
        <f t="shared" si="316"/>
        <v>0</v>
      </c>
      <c r="AH407" s="365">
        <f t="shared" si="317"/>
        <v>0</v>
      </c>
      <c r="AI407" s="365">
        <f t="shared" si="318"/>
        <v>0</v>
      </c>
      <c r="AJ407" s="365">
        <f t="shared" si="319"/>
        <v>0</v>
      </c>
      <c r="AK407" s="365">
        <f t="shared" si="320"/>
        <v>0</v>
      </c>
      <c r="AL407" s="365">
        <f t="shared" si="308"/>
        <v>0</v>
      </c>
      <c r="AM407" s="365">
        <f t="shared" si="321"/>
        <v>0</v>
      </c>
      <c r="AN407" s="365">
        <f t="shared" si="309"/>
        <v>0</v>
      </c>
      <c r="AO407" s="365">
        <f t="shared" si="322"/>
        <v>0</v>
      </c>
      <c r="AP407" s="365">
        <f t="shared" si="310"/>
        <v>0</v>
      </c>
      <c r="AQ407" s="365">
        <f t="shared" si="323"/>
        <v>0</v>
      </c>
      <c r="AR407" s="365">
        <f t="shared" si="324"/>
        <v>0</v>
      </c>
      <c r="AS407" s="365">
        <f t="shared" si="325"/>
        <v>0</v>
      </c>
      <c r="AT407" s="363"/>
      <c r="AU407">
        <v>5.135</v>
      </c>
    </row>
    <row r="408" ht="24" spans="1:47">
      <c r="A408" s="284" t="s">
        <v>665</v>
      </c>
      <c r="B408" s="284" t="s">
        <v>199</v>
      </c>
      <c r="C408" s="284" t="s">
        <v>716</v>
      </c>
      <c r="D408" s="284" t="s">
        <v>714</v>
      </c>
      <c r="E408" s="365">
        <f t="shared" si="302"/>
        <v>0</v>
      </c>
      <c r="F408" s="365">
        <f t="shared" si="303"/>
        <v>0</v>
      </c>
      <c r="G408" s="365"/>
      <c r="H408" s="365"/>
      <c r="I408" s="365"/>
      <c r="J408" s="365"/>
      <c r="K408" s="365"/>
      <c r="L408" s="365">
        <f t="shared" si="304"/>
        <v>0</v>
      </c>
      <c r="M408" s="365"/>
      <c r="N408" s="365"/>
      <c r="O408" s="365"/>
      <c r="P408" s="365">
        <f t="shared" si="296"/>
        <v>0</v>
      </c>
      <c r="Q408" s="365">
        <f t="shared" si="305"/>
        <v>0</v>
      </c>
      <c r="R408" s="365"/>
      <c r="S408" s="365"/>
      <c r="T408" s="365"/>
      <c r="U408" s="365"/>
      <c r="V408" s="365"/>
      <c r="W408" s="365">
        <f t="shared" si="315"/>
        <v>0</v>
      </c>
      <c r="X408" s="365"/>
      <c r="Y408" s="365"/>
      <c r="Z408" s="365"/>
      <c r="AA408" s="365"/>
      <c r="AB408" s="365"/>
      <c r="AC408" s="365"/>
      <c r="AD408" s="366">
        <v>0</v>
      </c>
      <c r="AE408" s="365">
        <f t="shared" si="281"/>
        <v>0</v>
      </c>
      <c r="AF408" s="365">
        <f t="shared" si="306"/>
        <v>0</v>
      </c>
      <c r="AG408" s="365">
        <f t="shared" si="316"/>
        <v>0</v>
      </c>
      <c r="AH408" s="365">
        <f t="shared" si="317"/>
        <v>0</v>
      </c>
      <c r="AI408" s="365">
        <f t="shared" si="318"/>
        <v>0</v>
      </c>
      <c r="AJ408" s="365">
        <f t="shared" si="319"/>
        <v>0</v>
      </c>
      <c r="AK408" s="365">
        <f t="shared" si="320"/>
        <v>0</v>
      </c>
      <c r="AL408" s="365">
        <f t="shared" si="308"/>
        <v>0</v>
      </c>
      <c r="AM408" s="365">
        <f t="shared" si="321"/>
        <v>0</v>
      </c>
      <c r="AN408" s="365">
        <f t="shared" si="309"/>
        <v>0</v>
      </c>
      <c r="AO408" s="365">
        <f t="shared" si="322"/>
        <v>0</v>
      </c>
      <c r="AP408" s="365">
        <f t="shared" si="310"/>
        <v>0</v>
      </c>
      <c r="AQ408" s="365">
        <f t="shared" si="323"/>
        <v>0</v>
      </c>
      <c r="AR408" s="365">
        <f t="shared" si="324"/>
        <v>0</v>
      </c>
      <c r="AS408" s="365">
        <f t="shared" si="325"/>
        <v>0</v>
      </c>
      <c r="AT408" s="363"/>
      <c r="AU408">
        <v>12.5</v>
      </c>
    </row>
    <row r="409" ht="24" spans="1:47">
      <c r="A409" s="284" t="s">
        <v>665</v>
      </c>
      <c r="B409" s="284" t="s">
        <v>199</v>
      </c>
      <c r="C409" s="284" t="s">
        <v>717</v>
      </c>
      <c r="D409" s="284" t="s">
        <v>714</v>
      </c>
      <c r="E409" s="365">
        <f t="shared" si="302"/>
        <v>0</v>
      </c>
      <c r="F409" s="365">
        <f t="shared" si="303"/>
        <v>0</v>
      </c>
      <c r="G409" s="365"/>
      <c r="H409" s="365"/>
      <c r="I409" s="365"/>
      <c r="J409" s="365"/>
      <c r="K409" s="365"/>
      <c r="L409" s="365">
        <f t="shared" si="304"/>
        <v>0</v>
      </c>
      <c r="M409" s="365"/>
      <c r="N409" s="365"/>
      <c r="O409" s="365"/>
      <c r="P409" s="365">
        <f t="shared" si="296"/>
        <v>0</v>
      </c>
      <c r="Q409" s="365">
        <f t="shared" si="305"/>
        <v>0</v>
      </c>
      <c r="R409" s="365"/>
      <c r="S409" s="365"/>
      <c r="T409" s="365"/>
      <c r="U409" s="365"/>
      <c r="V409" s="365"/>
      <c r="W409" s="365">
        <f t="shared" si="315"/>
        <v>0</v>
      </c>
      <c r="X409" s="365"/>
      <c r="Y409" s="365"/>
      <c r="Z409" s="365"/>
      <c r="AA409" s="365"/>
      <c r="AB409" s="365"/>
      <c r="AC409" s="365"/>
      <c r="AD409" s="366">
        <v>0</v>
      </c>
      <c r="AE409" s="365">
        <f t="shared" si="281"/>
        <v>0</v>
      </c>
      <c r="AF409" s="365">
        <f t="shared" si="306"/>
        <v>0</v>
      </c>
      <c r="AG409" s="365">
        <f t="shared" si="316"/>
        <v>0</v>
      </c>
      <c r="AH409" s="365">
        <f t="shared" si="317"/>
        <v>0</v>
      </c>
      <c r="AI409" s="365">
        <f t="shared" si="318"/>
        <v>0</v>
      </c>
      <c r="AJ409" s="365">
        <f t="shared" si="319"/>
        <v>0</v>
      </c>
      <c r="AK409" s="365">
        <f t="shared" si="320"/>
        <v>0</v>
      </c>
      <c r="AL409" s="365">
        <f t="shared" si="308"/>
        <v>0</v>
      </c>
      <c r="AM409" s="365">
        <f t="shared" si="321"/>
        <v>0</v>
      </c>
      <c r="AN409" s="365">
        <f t="shared" si="309"/>
        <v>0</v>
      </c>
      <c r="AO409" s="365">
        <f t="shared" si="322"/>
        <v>0</v>
      </c>
      <c r="AP409" s="365">
        <f t="shared" si="310"/>
        <v>0</v>
      </c>
      <c r="AQ409" s="365">
        <f t="shared" si="323"/>
        <v>0</v>
      </c>
      <c r="AR409" s="365">
        <f t="shared" si="324"/>
        <v>0</v>
      </c>
      <c r="AS409" s="365">
        <f t="shared" si="325"/>
        <v>0</v>
      </c>
      <c r="AT409" s="363"/>
      <c r="AU409">
        <v>3</v>
      </c>
    </row>
    <row r="410" ht="24" spans="1:46">
      <c r="A410" s="284" t="s">
        <v>665</v>
      </c>
      <c r="B410" s="284" t="s">
        <v>199</v>
      </c>
      <c r="C410" s="284" t="s">
        <v>718</v>
      </c>
      <c r="D410" s="284" t="s">
        <v>714</v>
      </c>
      <c r="E410" s="365">
        <f t="shared" si="302"/>
        <v>0</v>
      </c>
      <c r="F410" s="365">
        <f t="shared" si="303"/>
        <v>0</v>
      </c>
      <c r="G410" s="365"/>
      <c r="H410" s="365"/>
      <c r="I410" s="365"/>
      <c r="J410" s="365"/>
      <c r="K410" s="365"/>
      <c r="L410" s="365">
        <f t="shared" si="304"/>
        <v>0</v>
      </c>
      <c r="M410" s="365"/>
      <c r="N410" s="365"/>
      <c r="O410" s="365"/>
      <c r="P410" s="365">
        <f t="shared" si="296"/>
        <v>0</v>
      </c>
      <c r="Q410" s="365">
        <f t="shared" si="305"/>
        <v>0</v>
      </c>
      <c r="R410" s="365"/>
      <c r="S410" s="365"/>
      <c r="T410" s="365"/>
      <c r="U410" s="365"/>
      <c r="V410" s="365"/>
      <c r="W410" s="365">
        <f t="shared" si="315"/>
        <v>0</v>
      </c>
      <c r="X410" s="365"/>
      <c r="Y410" s="365"/>
      <c r="Z410" s="365"/>
      <c r="AA410" s="365"/>
      <c r="AB410" s="365"/>
      <c r="AC410" s="365"/>
      <c r="AD410" s="366">
        <v>0</v>
      </c>
      <c r="AE410" s="365">
        <f t="shared" si="281"/>
        <v>0</v>
      </c>
      <c r="AF410" s="365">
        <f t="shared" si="306"/>
        <v>0</v>
      </c>
      <c r="AG410" s="365">
        <f t="shared" si="316"/>
        <v>0</v>
      </c>
      <c r="AH410" s="365">
        <f t="shared" si="317"/>
        <v>0</v>
      </c>
      <c r="AI410" s="365">
        <f t="shared" si="318"/>
        <v>0</v>
      </c>
      <c r="AJ410" s="365">
        <f t="shared" si="319"/>
        <v>0</v>
      </c>
      <c r="AK410" s="365">
        <f t="shared" si="320"/>
        <v>0</v>
      </c>
      <c r="AL410" s="365">
        <f t="shared" si="308"/>
        <v>0</v>
      </c>
      <c r="AM410" s="365">
        <f t="shared" si="321"/>
        <v>0</v>
      </c>
      <c r="AN410" s="365">
        <f t="shared" si="309"/>
        <v>0</v>
      </c>
      <c r="AO410" s="365">
        <f t="shared" si="322"/>
        <v>0</v>
      </c>
      <c r="AP410" s="365">
        <f t="shared" si="310"/>
        <v>0</v>
      </c>
      <c r="AQ410" s="365">
        <f t="shared" si="323"/>
        <v>0</v>
      </c>
      <c r="AR410" s="365">
        <f t="shared" si="324"/>
        <v>0</v>
      </c>
      <c r="AS410" s="365">
        <f t="shared" si="325"/>
        <v>0</v>
      </c>
      <c r="AT410" s="363"/>
    </row>
    <row r="411" ht="24" spans="1:46">
      <c r="A411" s="284" t="s">
        <v>665</v>
      </c>
      <c r="B411" s="284" t="s">
        <v>199</v>
      </c>
      <c r="C411" s="284" t="s">
        <v>719</v>
      </c>
      <c r="D411" s="284" t="s">
        <v>714</v>
      </c>
      <c r="E411" s="365">
        <f t="shared" si="302"/>
        <v>0</v>
      </c>
      <c r="F411" s="365">
        <f t="shared" si="303"/>
        <v>0</v>
      </c>
      <c r="G411" s="365"/>
      <c r="H411" s="365"/>
      <c r="I411" s="365"/>
      <c r="J411" s="365"/>
      <c r="K411" s="365"/>
      <c r="L411" s="365">
        <f t="shared" si="304"/>
        <v>0</v>
      </c>
      <c r="M411" s="365"/>
      <c r="N411" s="365"/>
      <c r="O411" s="365"/>
      <c r="P411" s="365">
        <f t="shared" si="296"/>
        <v>0</v>
      </c>
      <c r="Q411" s="365">
        <f t="shared" si="305"/>
        <v>0</v>
      </c>
      <c r="R411" s="365"/>
      <c r="S411" s="365"/>
      <c r="T411" s="365"/>
      <c r="U411" s="365"/>
      <c r="V411" s="365"/>
      <c r="W411" s="365">
        <f t="shared" si="315"/>
        <v>0</v>
      </c>
      <c r="X411" s="365"/>
      <c r="Y411" s="365"/>
      <c r="Z411" s="365"/>
      <c r="AA411" s="365"/>
      <c r="AB411" s="365"/>
      <c r="AC411" s="365"/>
      <c r="AD411" s="366">
        <v>0</v>
      </c>
      <c r="AE411" s="365">
        <f t="shared" si="281"/>
        <v>0</v>
      </c>
      <c r="AF411" s="365">
        <f t="shared" si="306"/>
        <v>0</v>
      </c>
      <c r="AG411" s="365">
        <f t="shared" si="316"/>
        <v>0</v>
      </c>
      <c r="AH411" s="365">
        <f t="shared" si="317"/>
        <v>0</v>
      </c>
      <c r="AI411" s="365">
        <f t="shared" si="318"/>
        <v>0</v>
      </c>
      <c r="AJ411" s="365">
        <f t="shared" si="319"/>
        <v>0</v>
      </c>
      <c r="AK411" s="365">
        <f t="shared" si="320"/>
        <v>0</v>
      </c>
      <c r="AL411" s="365">
        <f t="shared" si="308"/>
        <v>0</v>
      </c>
      <c r="AM411" s="365">
        <f t="shared" si="321"/>
        <v>0</v>
      </c>
      <c r="AN411" s="365">
        <f t="shared" si="309"/>
        <v>0</v>
      </c>
      <c r="AO411" s="365">
        <f t="shared" si="322"/>
        <v>0</v>
      </c>
      <c r="AP411" s="365">
        <f t="shared" si="310"/>
        <v>0</v>
      </c>
      <c r="AQ411" s="365">
        <f t="shared" si="323"/>
        <v>0</v>
      </c>
      <c r="AR411" s="365">
        <f t="shared" si="324"/>
        <v>0</v>
      </c>
      <c r="AS411" s="365">
        <f t="shared" si="325"/>
        <v>0</v>
      </c>
      <c r="AT411" s="363"/>
    </row>
    <row r="412" ht="36" spans="1:47">
      <c r="A412" s="284" t="s">
        <v>665</v>
      </c>
      <c r="B412" s="284" t="s">
        <v>199</v>
      </c>
      <c r="C412" s="284" t="s">
        <v>808</v>
      </c>
      <c r="D412" s="284" t="s">
        <v>721</v>
      </c>
      <c r="E412" s="365">
        <f t="shared" si="302"/>
        <v>0</v>
      </c>
      <c r="F412" s="365">
        <f t="shared" si="303"/>
        <v>0</v>
      </c>
      <c r="G412" s="365"/>
      <c r="H412" s="365"/>
      <c r="I412" s="365"/>
      <c r="J412" s="365"/>
      <c r="K412" s="365"/>
      <c r="L412" s="365">
        <f t="shared" si="304"/>
        <v>0</v>
      </c>
      <c r="M412" s="365"/>
      <c r="N412" s="386"/>
      <c r="O412" s="365"/>
      <c r="P412" s="365">
        <f t="shared" si="296"/>
        <v>0</v>
      </c>
      <c r="Q412" s="365">
        <f t="shared" si="305"/>
        <v>0</v>
      </c>
      <c r="R412" s="365"/>
      <c r="S412" s="365"/>
      <c r="T412" s="365"/>
      <c r="U412" s="365"/>
      <c r="V412" s="365"/>
      <c r="W412" s="365">
        <f t="shared" si="315"/>
        <v>0</v>
      </c>
      <c r="X412" s="365"/>
      <c r="Y412" s="365"/>
      <c r="Z412" s="365"/>
      <c r="AA412" s="365"/>
      <c r="AB412" s="365"/>
      <c r="AC412" s="386"/>
      <c r="AD412" s="366">
        <v>0</v>
      </c>
      <c r="AE412" s="365">
        <f t="shared" si="281"/>
        <v>0</v>
      </c>
      <c r="AF412" s="365">
        <f t="shared" si="306"/>
        <v>0</v>
      </c>
      <c r="AG412" s="365">
        <f t="shared" si="316"/>
        <v>0</v>
      </c>
      <c r="AH412" s="365">
        <f t="shared" si="317"/>
        <v>0</v>
      </c>
      <c r="AI412" s="365">
        <f t="shared" si="318"/>
        <v>0</v>
      </c>
      <c r="AJ412" s="365">
        <f t="shared" si="319"/>
        <v>0</v>
      </c>
      <c r="AK412" s="365">
        <f t="shared" si="320"/>
        <v>0</v>
      </c>
      <c r="AL412" s="365">
        <f t="shared" si="308"/>
        <v>0</v>
      </c>
      <c r="AM412" s="365">
        <f t="shared" si="321"/>
        <v>0</v>
      </c>
      <c r="AN412" s="365">
        <f t="shared" si="309"/>
        <v>0</v>
      </c>
      <c r="AO412" s="365">
        <f t="shared" si="322"/>
        <v>0</v>
      </c>
      <c r="AP412" s="365">
        <f t="shared" si="310"/>
        <v>0</v>
      </c>
      <c r="AQ412" s="365">
        <f t="shared" si="323"/>
        <v>0</v>
      </c>
      <c r="AR412" s="365">
        <f t="shared" si="324"/>
        <v>0</v>
      </c>
      <c r="AS412" s="365">
        <f t="shared" si="325"/>
        <v>0</v>
      </c>
      <c r="AT412" s="363"/>
      <c r="AU412">
        <v>12.18</v>
      </c>
    </row>
    <row r="413" ht="36" spans="1:46">
      <c r="A413" s="284" t="s">
        <v>640</v>
      </c>
      <c r="B413" s="284" t="s">
        <v>196</v>
      </c>
      <c r="C413" s="284" t="s">
        <v>722</v>
      </c>
      <c r="D413" s="284" t="s">
        <v>723</v>
      </c>
      <c r="E413" s="365">
        <f t="shared" si="302"/>
        <v>13.55</v>
      </c>
      <c r="F413" s="365">
        <f t="shared" si="303"/>
        <v>11.9</v>
      </c>
      <c r="G413" s="365"/>
      <c r="H413" s="365">
        <v>11.9</v>
      </c>
      <c r="I413" s="365"/>
      <c r="J413" s="365"/>
      <c r="K413" s="365"/>
      <c r="L413" s="365">
        <f t="shared" si="304"/>
        <v>1.65</v>
      </c>
      <c r="M413" s="365"/>
      <c r="N413" s="365">
        <v>1.65</v>
      </c>
      <c r="O413" s="365"/>
      <c r="P413" s="365">
        <f t="shared" si="296"/>
        <v>0</v>
      </c>
      <c r="Q413" s="365">
        <f t="shared" si="305"/>
        <v>0</v>
      </c>
      <c r="R413" s="365"/>
      <c r="S413" s="365"/>
      <c r="T413" s="365"/>
      <c r="U413" s="365"/>
      <c r="V413" s="365"/>
      <c r="W413" s="365">
        <f t="shared" si="315"/>
        <v>0</v>
      </c>
      <c r="X413" s="365"/>
      <c r="Y413" s="365"/>
      <c r="Z413" s="365"/>
      <c r="AA413" s="365"/>
      <c r="AB413" s="365"/>
      <c r="AC413" s="365"/>
      <c r="AD413" s="366">
        <v>0</v>
      </c>
      <c r="AE413" s="365">
        <f t="shared" si="281"/>
        <v>13.55</v>
      </c>
      <c r="AF413" s="365">
        <f t="shared" si="306"/>
        <v>11.9</v>
      </c>
      <c r="AG413" s="365">
        <f t="shared" si="316"/>
        <v>0</v>
      </c>
      <c r="AH413" s="365">
        <f t="shared" si="317"/>
        <v>11.9</v>
      </c>
      <c r="AI413" s="365">
        <f t="shared" si="318"/>
        <v>0</v>
      </c>
      <c r="AJ413" s="365">
        <f t="shared" si="319"/>
        <v>0</v>
      </c>
      <c r="AK413" s="365">
        <f t="shared" si="320"/>
        <v>0</v>
      </c>
      <c r="AL413" s="365">
        <f t="shared" si="308"/>
        <v>1.65</v>
      </c>
      <c r="AM413" s="365">
        <f t="shared" si="321"/>
        <v>0</v>
      </c>
      <c r="AN413" s="365">
        <f t="shared" si="309"/>
        <v>0</v>
      </c>
      <c r="AO413" s="365">
        <f t="shared" si="322"/>
        <v>0</v>
      </c>
      <c r="AP413" s="365">
        <f t="shared" si="310"/>
        <v>0</v>
      </c>
      <c r="AQ413" s="365">
        <f t="shared" si="323"/>
        <v>0</v>
      </c>
      <c r="AR413" s="365">
        <f t="shared" si="324"/>
        <v>1.65</v>
      </c>
      <c r="AS413" s="365">
        <f t="shared" si="325"/>
        <v>0</v>
      </c>
      <c r="AT413" s="363"/>
    </row>
    <row r="414" s="311" customFormat="1" ht="21" customHeight="1" spans="1:47">
      <c r="A414" s="329"/>
      <c r="B414" s="329" t="s">
        <v>756</v>
      </c>
      <c r="C414" s="329" t="s">
        <v>148</v>
      </c>
      <c r="D414" s="329">
        <v>224</v>
      </c>
      <c r="E414" s="364">
        <f t="shared" ref="E414:O414" si="326">SUM(E415:E424)</f>
        <v>617.44</v>
      </c>
      <c r="F414" s="364">
        <f t="shared" si="326"/>
        <v>148.21</v>
      </c>
      <c r="G414" s="364">
        <f t="shared" si="326"/>
        <v>81.89</v>
      </c>
      <c r="H414" s="364">
        <f t="shared" si="326"/>
        <v>56.02</v>
      </c>
      <c r="I414" s="364">
        <f t="shared" si="326"/>
        <v>6.82</v>
      </c>
      <c r="J414" s="364">
        <f t="shared" si="326"/>
        <v>0</v>
      </c>
      <c r="K414" s="364">
        <f t="shared" si="326"/>
        <v>3.48</v>
      </c>
      <c r="L414" s="364">
        <f t="shared" si="326"/>
        <v>469.23</v>
      </c>
      <c r="M414" s="364">
        <f t="shared" si="326"/>
        <v>27.23</v>
      </c>
      <c r="N414" s="364">
        <f t="shared" si="326"/>
        <v>337.5</v>
      </c>
      <c r="O414" s="364">
        <f t="shared" si="326"/>
        <v>104.5</v>
      </c>
      <c r="P414" s="364">
        <f t="shared" si="296"/>
        <v>-8.55280000000001</v>
      </c>
      <c r="Q414" s="364">
        <f t="shared" ref="Q414:AD414" si="327">SUM(Q415:Q424)</f>
        <v>16.47</v>
      </c>
      <c r="R414" s="364">
        <f t="shared" si="327"/>
        <v>16.47</v>
      </c>
      <c r="S414" s="364">
        <f t="shared" si="327"/>
        <v>0</v>
      </c>
      <c r="T414" s="364">
        <f t="shared" si="327"/>
        <v>0</v>
      </c>
      <c r="U414" s="364">
        <f t="shared" si="327"/>
        <v>0</v>
      </c>
      <c r="V414" s="364">
        <f t="shared" si="327"/>
        <v>0</v>
      </c>
      <c r="W414" s="364">
        <f t="shared" si="327"/>
        <v>-25.0228</v>
      </c>
      <c r="X414" s="364">
        <f t="shared" si="327"/>
        <v>0</v>
      </c>
      <c r="Y414" s="364">
        <f t="shared" si="327"/>
        <v>43.3908</v>
      </c>
      <c r="Z414" s="364">
        <f t="shared" si="327"/>
        <v>24</v>
      </c>
      <c r="AA414" s="364">
        <f t="shared" si="327"/>
        <v>0</v>
      </c>
      <c r="AB414" s="364">
        <f t="shared" si="327"/>
        <v>11.6364</v>
      </c>
      <c r="AC414" s="364">
        <f t="shared" si="327"/>
        <v>0.45</v>
      </c>
      <c r="AD414" s="364">
        <f t="shared" si="327"/>
        <v>-104.5</v>
      </c>
      <c r="AE414" s="364">
        <f t="shared" si="281"/>
        <v>608.8872</v>
      </c>
      <c r="AF414" s="364">
        <f t="shared" ref="AF414:AS414" si="328">SUM(AF415:AF424)</f>
        <v>164.68</v>
      </c>
      <c r="AG414" s="364">
        <f t="shared" si="328"/>
        <v>98.36</v>
      </c>
      <c r="AH414" s="364">
        <f t="shared" si="328"/>
        <v>56.02</v>
      </c>
      <c r="AI414" s="364">
        <f t="shared" si="328"/>
        <v>6.82</v>
      </c>
      <c r="AJ414" s="364">
        <f t="shared" si="328"/>
        <v>0</v>
      </c>
      <c r="AK414" s="364">
        <f t="shared" si="328"/>
        <v>3.48</v>
      </c>
      <c r="AL414" s="364">
        <f t="shared" si="328"/>
        <v>444.2072</v>
      </c>
      <c r="AM414" s="364">
        <f t="shared" si="328"/>
        <v>27.23</v>
      </c>
      <c r="AN414" s="364">
        <f t="shared" si="328"/>
        <v>43.3908</v>
      </c>
      <c r="AO414" s="364">
        <f t="shared" si="328"/>
        <v>24</v>
      </c>
      <c r="AP414" s="364">
        <f t="shared" si="328"/>
        <v>0</v>
      </c>
      <c r="AQ414" s="364">
        <f t="shared" si="328"/>
        <v>11.6364</v>
      </c>
      <c r="AR414" s="364">
        <f t="shared" si="328"/>
        <v>337.95</v>
      </c>
      <c r="AS414" s="364">
        <f t="shared" si="328"/>
        <v>0</v>
      </c>
      <c r="AT414" s="372"/>
      <c r="AU414" s="373"/>
    </row>
    <row r="415" ht="24" spans="1:47">
      <c r="A415" s="284" t="s">
        <v>290</v>
      </c>
      <c r="B415" s="284" t="s">
        <v>196</v>
      </c>
      <c r="C415" s="284" t="s">
        <v>724</v>
      </c>
      <c r="D415" s="284" t="s">
        <v>725</v>
      </c>
      <c r="E415" s="365">
        <f t="shared" ref="E415:E424" si="329">F415+L415</f>
        <v>149.29</v>
      </c>
      <c r="F415" s="365">
        <f t="shared" ref="F415:F424" si="330">SUM(G415:K415)</f>
        <v>72.56</v>
      </c>
      <c r="G415" s="365">
        <v>40.69</v>
      </c>
      <c r="H415" s="365">
        <v>26.92</v>
      </c>
      <c r="I415" s="365">
        <v>3.39</v>
      </c>
      <c r="J415" s="365"/>
      <c r="K415" s="365">
        <v>1.56</v>
      </c>
      <c r="L415" s="365">
        <f t="shared" ref="L415:L424" si="331">SUM(M415:O415)</f>
        <v>76.73</v>
      </c>
      <c r="M415" s="365">
        <v>27.23</v>
      </c>
      <c r="N415" s="365"/>
      <c r="O415" s="365">
        <v>49.5</v>
      </c>
      <c r="P415" s="365">
        <f t="shared" si="296"/>
        <v>-4.9516</v>
      </c>
      <c r="Q415" s="365">
        <f t="shared" ref="Q415:Q418" si="332">SUM(R415:V415)</f>
        <v>8.47</v>
      </c>
      <c r="R415" s="386">
        <v>8.47</v>
      </c>
      <c r="S415" s="386"/>
      <c r="T415" s="386"/>
      <c r="U415" s="386"/>
      <c r="V415" s="386"/>
      <c r="W415" s="386">
        <f>SUM(X415:AD415)</f>
        <v>-13.4216</v>
      </c>
      <c r="X415" s="386"/>
      <c r="Y415" s="386">
        <v>20.49</v>
      </c>
      <c r="Z415" s="386">
        <v>10</v>
      </c>
      <c r="AA415" s="386"/>
      <c r="AB415" s="386">
        <v>5.4384</v>
      </c>
      <c r="AC415" s="386">
        <v>0.15</v>
      </c>
      <c r="AD415" s="370">
        <v>-49.5</v>
      </c>
      <c r="AE415" s="365">
        <f t="shared" si="281"/>
        <v>144.3384</v>
      </c>
      <c r="AF415" s="365">
        <f t="shared" ref="AF415:AF424" si="333">SUM(AG415:AK415)</f>
        <v>81.03</v>
      </c>
      <c r="AG415" s="365">
        <f t="shared" ref="AG415:AG424" si="334">G415+R415</f>
        <v>49.16</v>
      </c>
      <c r="AH415" s="365">
        <f t="shared" ref="AH415:AH424" si="335">H415+S415</f>
        <v>26.92</v>
      </c>
      <c r="AI415" s="365">
        <f t="shared" ref="AI415:AI424" si="336">I415+T415</f>
        <v>3.39</v>
      </c>
      <c r="AJ415" s="365">
        <f t="shared" ref="AJ415:AJ424" si="337">J415+U415</f>
        <v>0</v>
      </c>
      <c r="AK415" s="365">
        <f t="shared" ref="AK415:AK424" si="338">K415+V415</f>
        <v>1.56</v>
      </c>
      <c r="AL415" s="365">
        <f t="shared" ref="AL415:AL424" si="339">SUM(AM415:AS415)</f>
        <v>63.3084</v>
      </c>
      <c r="AM415" s="365">
        <f t="shared" ref="AM415:AM424" si="340">M415+X415</f>
        <v>27.23</v>
      </c>
      <c r="AN415" s="365">
        <f t="shared" ref="AN415:AN424" si="341">Y415</f>
        <v>20.49</v>
      </c>
      <c r="AO415" s="365">
        <f t="shared" ref="AO415:AO424" si="342">Z415</f>
        <v>10</v>
      </c>
      <c r="AP415" s="365">
        <f t="shared" ref="AP415:AP424" si="343">AA415</f>
        <v>0</v>
      </c>
      <c r="AQ415" s="365">
        <f t="shared" ref="AQ415:AQ424" si="344">AB415</f>
        <v>5.4384</v>
      </c>
      <c r="AR415" s="365">
        <f t="shared" ref="AR415:AR424" si="345">N415+AC415</f>
        <v>0.15</v>
      </c>
      <c r="AS415" s="365">
        <f t="shared" ref="AS415:AS424" si="346">O415+AD415</f>
        <v>0</v>
      </c>
      <c r="AT415" s="351" t="s">
        <v>809</v>
      </c>
      <c r="AU415">
        <v>5.4384</v>
      </c>
    </row>
    <row r="416" ht="24" spans="1:47">
      <c r="A416" s="284" t="s">
        <v>290</v>
      </c>
      <c r="B416" s="284" t="s">
        <v>196</v>
      </c>
      <c r="C416" s="284" t="s">
        <v>726</v>
      </c>
      <c r="D416" s="284" t="s">
        <v>725</v>
      </c>
      <c r="E416" s="365">
        <f t="shared" si="329"/>
        <v>35.07</v>
      </c>
      <c r="F416" s="365">
        <f t="shared" si="330"/>
        <v>20.07</v>
      </c>
      <c r="G416" s="365">
        <v>11.43</v>
      </c>
      <c r="H416" s="365">
        <v>7.69</v>
      </c>
      <c r="I416" s="365">
        <v>0.95</v>
      </c>
      <c r="J416" s="365"/>
      <c r="K416" s="365"/>
      <c r="L416" s="365">
        <f t="shared" si="331"/>
        <v>15</v>
      </c>
      <c r="M416" s="365"/>
      <c r="N416" s="365"/>
      <c r="O416" s="365">
        <v>15</v>
      </c>
      <c r="P416" s="365">
        <f t="shared" si="296"/>
        <v>-0.963800000000001</v>
      </c>
      <c r="Q416" s="365">
        <f t="shared" si="332"/>
        <v>2.34</v>
      </c>
      <c r="R416" s="386">
        <v>2.34</v>
      </c>
      <c r="S416" s="386"/>
      <c r="T416" s="386"/>
      <c r="U416" s="386"/>
      <c r="V416" s="386"/>
      <c r="W416" s="386">
        <f>SUM(X416:AD416)</f>
        <v>-3.3038</v>
      </c>
      <c r="X416" s="386"/>
      <c r="Y416" s="386">
        <v>6.1422</v>
      </c>
      <c r="Z416" s="386">
        <v>4</v>
      </c>
      <c r="AA416" s="386"/>
      <c r="AB416" s="386">
        <v>1.554</v>
      </c>
      <c r="AC416" s="386"/>
      <c r="AD416" s="370">
        <v>-15</v>
      </c>
      <c r="AE416" s="365">
        <f t="shared" si="281"/>
        <v>34.1062</v>
      </c>
      <c r="AF416" s="365">
        <f t="shared" si="333"/>
        <v>22.41</v>
      </c>
      <c r="AG416" s="365">
        <f t="shared" si="334"/>
        <v>13.77</v>
      </c>
      <c r="AH416" s="365">
        <f t="shared" si="335"/>
        <v>7.69</v>
      </c>
      <c r="AI416" s="365">
        <f t="shared" si="336"/>
        <v>0.95</v>
      </c>
      <c r="AJ416" s="365">
        <f t="shared" si="337"/>
        <v>0</v>
      </c>
      <c r="AK416" s="365">
        <f t="shared" si="338"/>
        <v>0</v>
      </c>
      <c r="AL416" s="365">
        <f t="shared" si="339"/>
        <v>11.6962</v>
      </c>
      <c r="AM416" s="365">
        <f t="shared" si="340"/>
        <v>0</v>
      </c>
      <c r="AN416" s="365">
        <f t="shared" si="341"/>
        <v>6.1422</v>
      </c>
      <c r="AO416" s="365">
        <f t="shared" si="342"/>
        <v>4</v>
      </c>
      <c r="AP416" s="365">
        <f t="shared" si="343"/>
        <v>0</v>
      </c>
      <c r="AQ416" s="365">
        <f t="shared" si="344"/>
        <v>1.554</v>
      </c>
      <c r="AR416" s="365">
        <f t="shared" si="345"/>
        <v>0</v>
      </c>
      <c r="AS416" s="365">
        <f t="shared" si="346"/>
        <v>0</v>
      </c>
      <c r="AT416" s="363"/>
      <c r="AU416">
        <v>1.554</v>
      </c>
    </row>
    <row r="417" ht="24" spans="1:47">
      <c r="A417" s="284" t="s">
        <v>290</v>
      </c>
      <c r="B417" s="284" t="s">
        <v>196</v>
      </c>
      <c r="C417" s="284" t="s">
        <v>727</v>
      </c>
      <c r="D417" s="284" t="s">
        <v>725</v>
      </c>
      <c r="E417" s="365">
        <f t="shared" si="329"/>
        <v>61.81</v>
      </c>
      <c r="F417" s="365">
        <f t="shared" si="330"/>
        <v>36.81</v>
      </c>
      <c r="G417" s="365">
        <v>19.56</v>
      </c>
      <c r="H417" s="365">
        <v>13.7</v>
      </c>
      <c r="I417" s="365">
        <v>1.63</v>
      </c>
      <c r="J417" s="365"/>
      <c r="K417" s="365">
        <v>1.92</v>
      </c>
      <c r="L417" s="365">
        <f t="shared" si="331"/>
        <v>25</v>
      </c>
      <c r="M417" s="365"/>
      <c r="N417" s="365"/>
      <c r="O417" s="365">
        <v>25</v>
      </c>
      <c r="P417" s="365">
        <f t="shared" si="296"/>
        <v>-2.1814</v>
      </c>
      <c r="Q417" s="365">
        <f t="shared" si="332"/>
        <v>3.02</v>
      </c>
      <c r="R417" s="386">
        <v>3.02</v>
      </c>
      <c r="S417" s="386"/>
      <c r="T417" s="386"/>
      <c r="U417" s="386"/>
      <c r="V417" s="386"/>
      <c r="W417" s="386">
        <f>SUM(X417:AD417)</f>
        <v>-5.2014</v>
      </c>
      <c r="X417" s="386"/>
      <c r="Y417" s="386">
        <v>10.7226</v>
      </c>
      <c r="Z417" s="386">
        <v>6</v>
      </c>
      <c r="AA417" s="386"/>
      <c r="AB417" s="386">
        <v>2.776</v>
      </c>
      <c r="AC417" s="386">
        <v>0.3</v>
      </c>
      <c r="AD417" s="370">
        <v>-25</v>
      </c>
      <c r="AE417" s="365">
        <f t="shared" si="281"/>
        <v>59.6286</v>
      </c>
      <c r="AF417" s="365">
        <f t="shared" si="333"/>
        <v>39.83</v>
      </c>
      <c r="AG417" s="365">
        <f t="shared" si="334"/>
        <v>22.58</v>
      </c>
      <c r="AH417" s="365">
        <f t="shared" si="335"/>
        <v>13.7</v>
      </c>
      <c r="AI417" s="365">
        <f t="shared" si="336"/>
        <v>1.63</v>
      </c>
      <c r="AJ417" s="365">
        <f t="shared" si="337"/>
        <v>0</v>
      </c>
      <c r="AK417" s="365">
        <f t="shared" si="338"/>
        <v>1.92</v>
      </c>
      <c r="AL417" s="365">
        <f t="shared" si="339"/>
        <v>19.7986</v>
      </c>
      <c r="AM417" s="365">
        <f t="shared" si="340"/>
        <v>0</v>
      </c>
      <c r="AN417" s="365">
        <f t="shared" si="341"/>
        <v>10.7226</v>
      </c>
      <c r="AO417" s="365">
        <f t="shared" si="342"/>
        <v>6</v>
      </c>
      <c r="AP417" s="365">
        <f t="shared" si="343"/>
        <v>0</v>
      </c>
      <c r="AQ417" s="365">
        <f t="shared" si="344"/>
        <v>2.776</v>
      </c>
      <c r="AR417" s="365">
        <f t="shared" si="345"/>
        <v>0.3</v>
      </c>
      <c r="AS417" s="365">
        <f t="shared" si="346"/>
        <v>0</v>
      </c>
      <c r="AT417" s="351" t="s">
        <v>805</v>
      </c>
      <c r="AU417">
        <v>2.776</v>
      </c>
    </row>
    <row r="418" ht="24" spans="1:47">
      <c r="A418" s="284" t="s">
        <v>290</v>
      </c>
      <c r="B418" s="284" t="s">
        <v>196</v>
      </c>
      <c r="C418" s="284" t="s">
        <v>728</v>
      </c>
      <c r="D418" s="284" t="s">
        <v>725</v>
      </c>
      <c r="E418" s="365">
        <f t="shared" si="329"/>
        <v>33.77</v>
      </c>
      <c r="F418" s="365">
        <f t="shared" si="330"/>
        <v>18.77</v>
      </c>
      <c r="G418" s="365">
        <v>10.21</v>
      </c>
      <c r="H418" s="365">
        <v>7.71</v>
      </c>
      <c r="I418" s="365">
        <v>0.85</v>
      </c>
      <c r="J418" s="365"/>
      <c r="K418" s="365"/>
      <c r="L418" s="365">
        <f t="shared" si="331"/>
        <v>15</v>
      </c>
      <c r="M418" s="365"/>
      <c r="N418" s="365"/>
      <c r="O418" s="365">
        <v>15</v>
      </c>
      <c r="P418" s="365">
        <f t="shared" si="296"/>
        <v>-0.456</v>
      </c>
      <c r="Q418" s="365">
        <f t="shared" si="332"/>
        <v>2.64</v>
      </c>
      <c r="R418" s="386">
        <v>2.64</v>
      </c>
      <c r="S418" s="386"/>
      <c r="T418" s="386"/>
      <c r="U418" s="386"/>
      <c r="V418" s="386"/>
      <c r="W418" s="386">
        <f>SUM(X418:AD418)</f>
        <v>-3.096</v>
      </c>
      <c r="X418" s="386"/>
      <c r="Y418" s="386">
        <v>6.036</v>
      </c>
      <c r="Z418" s="386">
        <v>4</v>
      </c>
      <c r="AA418" s="386"/>
      <c r="AB418" s="365">
        <v>1.868</v>
      </c>
      <c r="AC418" s="386"/>
      <c r="AD418" s="370">
        <v>-15</v>
      </c>
      <c r="AE418" s="365">
        <f t="shared" si="281"/>
        <v>33.314</v>
      </c>
      <c r="AF418" s="365">
        <f t="shared" si="333"/>
        <v>21.41</v>
      </c>
      <c r="AG418" s="365">
        <f t="shared" si="334"/>
        <v>12.85</v>
      </c>
      <c r="AH418" s="365">
        <f t="shared" si="335"/>
        <v>7.71</v>
      </c>
      <c r="AI418" s="365">
        <f t="shared" si="336"/>
        <v>0.85</v>
      </c>
      <c r="AJ418" s="365">
        <f t="shared" si="337"/>
        <v>0</v>
      </c>
      <c r="AK418" s="365">
        <f t="shared" si="338"/>
        <v>0</v>
      </c>
      <c r="AL418" s="365">
        <f t="shared" si="339"/>
        <v>11.904</v>
      </c>
      <c r="AM418" s="365">
        <f t="shared" si="340"/>
        <v>0</v>
      </c>
      <c r="AN418" s="365">
        <f t="shared" si="341"/>
        <v>6.036</v>
      </c>
      <c r="AO418" s="365">
        <f t="shared" si="342"/>
        <v>4</v>
      </c>
      <c r="AP418" s="365">
        <f t="shared" si="343"/>
        <v>0</v>
      </c>
      <c r="AQ418" s="365">
        <f t="shared" si="344"/>
        <v>1.868</v>
      </c>
      <c r="AR418" s="365">
        <f t="shared" si="345"/>
        <v>0</v>
      </c>
      <c r="AS418" s="365">
        <f t="shared" si="346"/>
        <v>0</v>
      </c>
      <c r="AT418" s="363"/>
      <c r="AU418">
        <v>1.868</v>
      </c>
    </row>
    <row r="419" ht="24" spans="1:47">
      <c r="A419" s="284" t="s">
        <v>290</v>
      </c>
      <c r="B419" s="284" t="s">
        <v>199</v>
      </c>
      <c r="C419" s="284" t="s">
        <v>729</v>
      </c>
      <c r="D419" s="284" t="s">
        <v>730</v>
      </c>
      <c r="E419" s="365">
        <f t="shared" si="329"/>
        <v>0</v>
      </c>
      <c r="F419" s="365">
        <f t="shared" si="330"/>
        <v>0</v>
      </c>
      <c r="G419" s="365"/>
      <c r="H419" s="365"/>
      <c r="I419" s="365"/>
      <c r="J419" s="365"/>
      <c r="K419" s="365"/>
      <c r="L419" s="365">
        <f t="shared" si="331"/>
        <v>0</v>
      </c>
      <c r="M419" s="365"/>
      <c r="N419" s="365"/>
      <c r="O419" s="365"/>
      <c r="P419" s="365">
        <f t="shared" si="296"/>
        <v>0</v>
      </c>
      <c r="Q419" s="365">
        <f t="shared" ref="Q419:Q424" si="347">SUM(R419:V419)</f>
        <v>0</v>
      </c>
      <c r="R419" s="365"/>
      <c r="S419" s="365"/>
      <c r="T419" s="365"/>
      <c r="U419" s="365"/>
      <c r="V419" s="365"/>
      <c r="W419" s="365">
        <f t="shared" ref="W419:W424" si="348">SUM(X419:AD419)</f>
        <v>0</v>
      </c>
      <c r="X419" s="365"/>
      <c r="Y419" s="365"/>
      <c r="Z419" s="365"/>
      <c r="AA419" s="365"/>
      <c r="AB419" s="365"/>
      <c r="AC419" s="365"/>
      <c r="AD419" s="366">
        <v>0</v>
      </c>
      <c r="AE419" s="365">
        <f t="shared" si="281"/>
        <v>0</v>
      </c>
      <c r="AF419" s="365">
        <f t="shared" si="333"/>
        <v>0</v>
      </c>
      <c r="AG419" s="365">
        <f t="shared" si="334"/>
        <v>0</v>
      </c>
      <c r="AH419" s="365">
        <f t="shared" si="335"/>
        <v>0</v>
      </c>
      <c r="AI419" s="365">
        <f t="shared" si="336"/>
        <v>0</v>
      </c>
      <c r="AJ419" s="365">
        <f t="shared" si="337"/>
        <v>0</v>
      </c>
      <c r="AK419" s="365">
        <f t="shared" si="338"/>
        <v>0</v>
      </c>
      <c r="AL419" s="365">
        <f t="shared" si="339"/>
        <v>0</v>
      </c>
      <c r="AM419" s="365">
        <f t="shared" si="340"/>
        <v>0</v>
      </c>
      <c r="AN419" s="365">
        <f t="shared" si="341"/>
        <v>0</v>
      </c>
      <c r="AO419" s="365">
        <f t="shared" si="342"/>
        <v>0</v>
      </c>
      <c r="AP419" s="365">
        <f t="shared" si="343"/>
        <v>0</v>
      </c>
      <c r="AQ419" s="365">
        <f t="shared" si="344"/>
        <v>0</v>
      </c>
      <c r="AR419" s="365">
        <f t="shared" si="345"/>
        <v>0</v>
      </c>
      <c r="AS419" s="365">
        <f t="shared" si="346"/>
        <v>0</v>
      </c>
      <c r="AT419" s="363"/>
      <c r="AU419">
        <v>1.5</v>
      </c>
    </row>
    <row r="420" ht="24" spans="1:47">
      <c r="A420" s="284" t="s">
        <v>290</v>
      </c>
      <c r="B420" s="284" t="s">
        <v>199</v>
      </c>
      <c r="C420" s="284" t="s">
        <v>731</v>
      </c>
      <c r="D420" s="284" t="s">
        <v>730</v>
      </c>
      <c r="E420" s="365">
        <f t="shared" si="329"/>
        <v>0</v>
      </c>
      <c r="F420" s="365">
        <f t="shared" si="330"/>
        <v>0</v>
      </c>
      <c r="G420" s="365"/>
      <c r="H420" s="365"/>
      <c r="I420" s="365"/>
      <c r="J420" s="365"/>
      <c r="K420" s="365"/>
      <c r="L420" s="365">
        <f t="shared" si="331"/>
        <v>0</v>
      </c>
      <c r="M420" s="365"/>
      <c r="N420" s="365"/>
      <c r="O420" s="365"/>
      <c r="P420" s="365">
        <f t="shared" si="296"/>
        <v>0</v>
      </c>
      <c r="Q420" s="365">
        <f t="shared" si="347"/>
        <v>0</v>
      </c>
      <c r="R420" s="365"/>
      <c r="S420" s="365"/>
      <c r="T420" s="365"/>
      <c r="U420" s="365"/>
      <c r="V420" s="365"/>
      <c r="W420" s="365">
        <f t="shared" si="348"/>
        <v>0</v>
      </c>
      <c r="X420" s="365"/>
      <c r="Y420" s="365"/>
      <c r="Z420" s="365"/>
      <c r="AA420" s="365"/>
      <c r="AB420" s="365"/>
      <c r="AC420" s="365"/>
      <c r="AD420" s="366">
        <v>0</v>
      </c>
      <c r="AE420" s="365">
        <f t="shared" si="281"/>
        <v>0</v>
      </c>
      <c r="AF420" s="365">
        <f t="shared" si="333"/>
        <v>0</v>
      </c>
      <c r="AG420" s="365">
        <f t="shared" si="334"/>
        <v>0</v>
      </c>
      <c r="AH420" s="365">
        <f t="shared" si="335"/>
        <v>0</v>
      </c>
      <c r="AI420" s="365">
        <f t="shared" si="336"/>
        <v>0</v>
      </c>
      <c r="AJ420" s="365">
        <f t="shared" si="337"/>
        <v>0</v>
      </c>
      <c r="AK420" s="365">
        <f t="shared" si="338"/>
        <v>0</v>
      </c>
      <c r="AL420" s="365">
        <f t="shared" si="339"/>
        <v>0</v>
      </c>
      <c r="AM420" s="365">
        <f t="shared" si="340"/>
        <v>0</v>
      </c>
      <c r="AN420" s="365">
        <f t="shared" si="341"/>
        <v>0</v>
      </c>
      <c r="AO420" s="365">
        <f t="shared" si="342"/>
        <v>0</v>
      </c>
      <c r="AP420" s="365">
        <f t="shared" si="343"/>
        <v>0</v>
      </c>
      <c r="AQ420" s="365">
        <f t="shared" si="344"/>
        <v>0</v>
      </c>
      <c r="AR420" s="365">
        <f t="shared" si="345"/>
        <v>0</v>
      </c>
      <c r="AS420" s="365">
        <f t="shared" si="346"/>
        <v>0</v>
      </c>
      <c r="AT420" s="363"/>
      <c r="AU420">
        <v>4</v>
      </c>
    </row>
    <row r="421" ht="24" spans="1:47">
      <c r="A421" s="284" t="s">
        <v>290</v>
      </c>
      <c r="B421" s="284" t="s">
        <v>199</v>
      </c>
      <c r="C421" s="284" t="s">
        <v>732</v>
      </c>
      <c r="D421" s="284" t="s">
        <v>730</v>
      </c>
      <c r="E421" s="365">
        <f t="shared" si="329"/>
        <v>0</v>
      </c>
      <c r="F421" s="365">
        <f t="shared" si="330"/>
        <v>0</v>
      </c>
      <c r="G421" s="365"/>
      <c r="H421" s="365"/>
      <c r="I421" s="365"/>
      <c r="J421" s="365"/>
      <c r="K421" s="365"/>
      <c r="L421" s="365">
        <f t="shared" si="331"/>
        <v>0</v>
      </c>
      <c r="M421" s="365"/>
      <c r="N421" s="365"/>
      <c r="O421" s="365"/>
      <c r="P421" s="365">
        <f t="shared" si="296"/>
        <v>0</v>
      </c>
      <c r="Q421" s="365">
        <f t="shared" si="347"/>
        <v>0</v>
      </c>
      <c r="R421" s="365"/>
      <c r="S421" s="365"/>
      <c r="T421" s="365"/>
      <c r="U421" s="365"/>
      <c r="V421" s="365"/>
      <c r="W421" s="365">
        <f t="shared" si="348"/>
        <v>0</v>
      </c>
      <c r="X421" s="365"/>
      <c r="Y421" s="365"/>
      <c r="Z421" s="365"/>
      <c r="AA421" s="365"/>
      <c r="AB421" s="365"/>
      <c r="AC421" s="365"/>
      <c r="AD421" s="366">
        <v>0</v>
      </c>
      <c r="AE421" s="365">
        <f t="shared" si="281"/>
        <v>0</v>
      </c>
      <c r="AF421" s="365">
        <f t="shared" si="333"/>
        <v>0</v>
      </c>
      <c r="AG421" s="365">
        <f t="shared" si="334"/>
        <v>0</v>
      </c>
      <c r="AH421" s="365">
        <f t="shared" si="335"/>
        <v>0</v>
      </c>
      <c r="AI421" s="365">
        <f t="shared" si="336"/>
        <v>0</v>
      </c>
      <c r="AJ421" s="365">
        <f t="shared" si="337"/>
        <v>0</v>
      </c>
      <c r="AK421" s="365">
        <f t="shared" si="338"/>
        <v>0</v>
      </c>
      <c r="AL421" s="365">
        <f t="shared" si="339"/>
        <v>0</v>
      </c>
      <c r="AM421" s="365">
        <f t="shared" si="340"/>
        <v>0</v>
      </c>
      <c r="AN421" s="365">
        <f t="shared" si="341"/>
        <v>0</v>
      </c>
      <c r="AO421" s="365">
        <f t="shared" si="342"/>
        <v>0</v>
      </c>
      <c r="AP421" s="365">
        <f t="shared" si="343"/>
        <v>0</v>
      </c>
      <c r="AQ421" s="365">
        <f t="shared" si="344"/>
        <v>0</v>
      </c>
      <c r="AR421" s="365">
        <f t="shared" si="345"/>
        <v>0</v>
      </c>
      <c r="AS421" s="365">
        <f t="shared" si="346"/>
        <v>0</v>
      </c>
      <c r="AT421" s="363"/>
      <c r="AU421">
        <v>1.5</v>
      </c>
    </row>
    <row r="422" ht="24" spans="1:47">
      <c r="A422" s="284" t="s">
        <v>290</v>
      </c>
      <c r="B422" s="284" t="s">
        <v>199</v>
      </c>
      <c r="C422" s="284" t="s">
        <v>733</v>
      </c>
      <c r="D422" s="284" t="s">
        <v>730</v>
      </c>
      <c r="E422" s="365">
        <f t="shared" si="329"/>
        <v>0</v>
      </c>
      <c r="F422" s="365">
        <f t="shared" si="330"/>
        <v>0</v>
      </c>
      <c r="G422" s="365"/>
      <c r="H422" s="365"/>
      <c r="I422" s="365"/>
      <c r="J422" s="365"/>
      <c r="K422" s="365"/>
      <c r="L422" s="365">
        <f t="shared" si="331"/>
        <v>0</v>
      </c>
      <c r="M422" s="365"/>
      <c r="N422" s="365"/>
      <c r="O422" s="365"/>
      <c r="P422" s="365">
        <f t="shared" si="296"/>
        <v>0</v>
      </c>
      <c r="Q422" s="365">
        <f t="shared" si="347"/>
        <v>0</v>
      </c>
      <c r="R422" s="365"/>
      <c r="S422" s="365"/>
      <c r="T422" s="365"/>
      <c r="U422" s="365"/>
      <c r="V422" s="365"/>
      <c r="W422" s="365">
        <f t="shared" si="348"/>
        <v>0</v>
      </c>
      <c r="X422" s="365"/>
      <c r="Y422" s="365"/>
      <c r="Z422" s="365"/>
      <c r="AA422" s="365"/>
      <c r="AB422" s="365"/>
      <c r="AC422" s="365"/>
      <c r="AD422" s="366">
        <v>0</v>
      </c>
      <c r="AE422" s="365">
        <f t="shared" si="281"/>
        <v>0</v>
      </c>
      <c r="AF422" s="365">
        <f t="shared" si="333"/>
        <v>0</v>
      </c>
      <c r="AG422" s="365">
        <f t="shared" si="334"/>
        <v>0</v>
      </c>
      <c r="AH422" s="365">
        <f t="shared" si="335"/>
        <v>0</v>
      </c>
      <c r="AI422" s="365">
        <f t="shared" si="336"/>
        <v>0</v>
      </c>
      <c r="AJ422" s="365">
        <f t="shared" si="337"/>
        <v>0</v>
      </c>
      <c r="AK422" s="365">
        <f t="shared" si="338"/>
        <v>0</v>
      </c>
      <c r="AL422" s="365">
        <f t="shared" si="339"/>
        <v>0</v>
      </c>
      <c r="AM422" s="365">
        <f t="shared" si="340"/>
        <v>0</v>
      </c>
      <c r="AN422" s="365">
        <f t="shared" si="341"/>
        <v>0</v>
      </c>
      <c r="AO422" s="365">
        <f t="shared" si="342"/>
        <v>0</v>
      </c>
      <c r="AP422" s="365">
        <f t="shared" si="343"/>
        <v>0</v>
      </c>
      <c r="AQ422" s="365">
        <f t="shared" si="344"/>
        <v>0</v>
      </c>
      <c r="AR422" s="365">
        <f t="shared" si="345"/>
        <v>0</v>
      </c>
      <c r="AS422" s="365">
        <f t="shared" si="346"/>
        <v>0</v>
      </c>
      <c r="AT422" s="363"/>
      <c r="AU422">
        <v>3.5</v>
      </c>
    </row>
    <row r="423" ht="36" spans="1:46">
      <c r="A423" s="284" t="s">
        <v>195</v>
      </c>
      <c r="B423" s="284" t="s">
        <v>196</v>
      </c>
      <c r="C423" s="284" t="s">
        <v>734</v>
      </c>
      <c r="D423" s="284" t="s">
        <v>735</v>
      </c>
      <c r="E423" s="365">
        <f t="shared" si="329"/>
        <v>337.5</v>
      </c>
      <c r="F423" s="365">
        <f t="shared" si="330"/>
        <v>0</v>
      </c>
      <c r="G423" s="365"/>
      <c r="H423" s="365"/>
      <c r="I423" s="365"/>
      <c r="J423" s="365"/>
      <c r="K423" s="365"/>
      <c r="L423" s="365">
        <f t="shared" si="331"/>
        <v>337.5</v>
      </c>
      <c r="M423" s="365"/>
      <c r="N423" s="365">
        <v>337.5</v>
      </c>
      <c r="O423" s="365"/>
      <c r="P423" s="365">
        <f t="shared" si="296"/>
        <v>0</v>
      </c>
      <c r="Q423" s="365">
        <f t="shared" si="347"/>
        <v>0</v>
      </c>
      <c r="R423" s="365"/>
      <c r="S423" s="365"/>
      <c r="T423" s="365"/>
      <c r="U423" s="365"/>
      <c r="V423" s="365"/>
      <c r="W423" s="365">
        <f t="shared" si="348"/>
        <v>0</v>
      </c>
      <c r="X423" s="365"/>
      <c r="Y423" s="365"/>
      <c r="Z423" s="365"/>
      <c r="AA423" s="365"/>
      <c r="AB423" s="365"/>
      <c r="AC423" s="365"/>
      <c r="AD423" s="366">
        <v>0</v>
      </c>
      <c r="AE423" s="365">
        <f t="shared" si="281"/>
        <v>337.5</v>
      </c>
      <c r="AF423" s="365">
        <f t="shared" si="333"/>
        <v>0</v>
      </c>
      <c r="AG423" s="365">
        <f t="shared" si="334"/>
        <v>0</v>
      </c>
      <c r="AH423" s="365">
        <f t="shared" si="335"/>
        <v>0</v>
      </c>
      <c r="AI423" s="365">
        <f t="shared" si="336"/>
        <v>0</v>
      </c>
      <c r="AJ423" s="365">
        <f t="shared" si="337"/>
        <v>0</v>
      </c>
      <c r="AK423" s="365">
        <f t="shared" si="338"/>
        <v>0</v>
      </c>
      <c r="AL423" s="365">
        <f t="shared" si="339"/>
        <v>337.5</v>
      </c>
      <c r="AM423" s="365">
        <f t="shared" si="340"/>
        <v>0</v>
      </c>
      <c r="AN423" s="365">
        <f t="shared" si="341"/>
        <v>0</v>
      </c>
      <c r="AO423" s="365">
        <f t="shared" si="342"/>
        <v>0</v>
      </c>
      <c r="AP423" s="365">
        <f t="shared" si="343"/>
        <v>0</v>
      </c>
      <c r="AQ423" s="365">
        <f t="shared" si="344"/>
        <v>0</v>
      </c>
      <c r="AR423" s="365">
        <f t="shared" si="345"/>
        <v>337.5</v>
      </c>
      <c r="AS423" s="365">
        <f t="shared" si="346"/>
        <v>0</v>
      </c>
      <c r="AT423" s="363"/>
    </row>
    <row r="424" ht="24" spans="1:47">
      <c r="A424" s="284" t="s">
        <v>208</v>
      </c>
      <c r="B424" s="284" t="s">
        <v>199</v>
      </c>
      <c r="C424" s="284" t="s">
        <v>736</v>
      </c>
      <c r="D424" s="284" t="s">
        <v>737</v>
      </c>
      <c r="E424" s="365">
        <f t="shared" si="329"/>
        <v>0</v>
      </c>
      <c r="F424" s="365">
        <f t="shared" si="330"/>
        <v>0</v>
      </c>
      <c r="G424" s="365"/>
      <c r="H424" s="365"/>
      <c r="I424" s="365"/>
      <c r="J424" s="365"/>
      <c r="K424" s="365"/>
      <c r="L424" s="365">
        <f t="shared" si="331"/>
        <v>0</v>
      </c>
      <c r="M424" s="365"/>
      <c r="N424" s="365"/>
      <c r="O424" s="365"/>
      <c r="P424" s="365">
        <f t="shared" si="296"/>
        <v>0</v>
      </c>
      <c r="Q424" s="365">
        <f t="shared" si="347"/>
        <v>0</v>
      </c>
      <c r="R424" s="365"/>
      <c r="S424" s="365"/>
      <c r="T424" s="365"/>
      <c r="U424" s="365"/>
      <c r="V424" s="365"/>
      <c r="W424" s="365">
        <f t="shared" si="348"/>
        <v>0</v>
      </c>
      <c r="X424" s="365"/>
      <c r="Y424" s="365"/>
      <c r="Z424" s="365"/>
      <c r="AA424" s="365"/>
      <c r="AB424" s="365"/>
      <c r="AC424" s="365"/>
      <c r="AD424" s="366">
        <v>0</v>
      </c>
      <c r="AE424" s="365">
        <f t="shared" si="281"/>
        <v>0</v>
      </c>
      <c r="AF424" s="365">
        <f t="shared" si="333"/>
        <v>0</v>
      </c>
      <c r="AG424" s="365">
        <f t="shared" si="334"/>
        <v>0</v>
      </c>
      <c r="AH424" s="365">
        <f t="shared" si="335"/>
        <v>0</v>
      </c>
      <c r="AI424" s="365">
        <f t="shared" si="336"/>
        <v>0</v>
      </c>
      <c r="AJ424" s="365">
        <f t="shared" si="337"/>
        <v>0</v>
      </c>
      <c r="AK424" s="365">
        <f t="shared" si="338"/>
        <v>0</v>
      </c>
      <c r="AL424" s="365">
        <f t="shared" si="339"/>
        <v>0</v>
      </c>
      <c r="AM424" s="365">
        <f t="shared" si="340"/>
        <v>0</v>
      </c>
      <c r="AN424" s="365">
        <f t="shared" si="341"/>
        <v>0</v>
      </c>
      <c r="AO424" s="365">
        <f t="shared" si="342"/>
        <v>0</v>
      </c>
      <c r="AP424" s="365">
        <f t="shared" si="343"/>
        <v>0</v>
      </c>
      <c r="AQ424" s="365">
        <f t="shared" si="344"/>
        <v>0</v>
      </c>
      <c r="AR424" s="365">
        <f t="shared" si="345"/>
        <v>0</v>
      </c>
      <c r="AS424" s="365">
        <f t="shared" si="346"/>
        <v>0</v>
      </c>
      <c r="AT424" s="363"/>
      <c r="AU424">
        <v>3.5</v>
      </c>
    </row>
  </sheetData>
  <autoFilter ref="A5:AU424">
    <extLst/>
  </autoFilter>
  <mergeCells count="17">
    <mergeCell ref="E3:O3"/>
    <mergeCell ref="P3:AD3"/>
    <mergeCell ref="AE3:AS3"/>
    <mergeCell ref="F4:K4"/>
    <mergeCell ref="L4:O4"/>
    <mergeCell ref="Q4:V4"/>
    <mergeCell ref="W4:AD4"/>
    <mergeCell ref="AF4:AK4"/>
    <mergeCell ref="AL4:AS4"/>
    <mergeCell ref="A3:A5"/>
    <mergeCell ref="B3:B5"/>
    <mergeCell ref="C3:C5"/>
    <mergeCell ref="D3:D5"/>
    <mergeCell ref="E4:E5"/>
    <mergeCell ref="P4:P5"/>
    <mergeCell ref="AE4:AE5"/>
    <mergeCell ref="AT3:AT5"/>
  </mergeCells>
  <pageMargins left="0.699305555555556" right="0.699305555555556"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424"/>
  <sheetViews>
    <sheetView workbookViewId="0">
      <pane xSplit="4" ySplit="8" topLeftCell="AN194" activePane="bottomRight" state="frozen"/>
      <selection/>
      <selection pane="topRight"/>
      <selection pane="bottomLeft"/>
      <selection pane="bottomRight" activeCell="BA6" sqref="BA6:BB6"/>
    </sheetView>
  </sheetViews>
  <sheetFormatPr defaultColWidth="9" defaultRowHeight="13.5"/>
  <cols>
    <col min="1" max="2" width="8.225" style="312" customWidth="1"/>
    <col min="3" max="3" width="23.3666666666667" style="312" customWidth="1"/>
    <col min="4" max="4" width="9.5" style="312" hidden="1" customWidth="1"/>
    <col min="5" max="5" width="10.3666666666667" customWidth="1"/>
    <col min="6" max="6" width="10.3666666666667" hidden="1" customWidth="1"/>
    <col min="7" max="7" width="11.9083333333333" hidden="1" customWidth="1"/>
    <col min="8" max="8" width="9.44166666666667" hidden="1" customWidth="1"/>
    <col min="9" max="9" width="10.6833333333333" hidden="1" customWidth="1"/>
    <col min="10" max="11" width="9.44166666666667" hidden="1" customWidth="1"/>
    <col min="12" max="12" width="11.9083333333333" hidden="1" customWidth="1"/>
    <col min="13" max="13" width="9.36666666666667" hidden="1" customWidth="1"/>
    <col min="14" max="14" width="8.36666666666667" hidden="1" customWidth="1"/>
    <col min="15" max="16" width="9.44166666666667" hidden="1" customWidth="1"/>
    <col min="17" max="17" width="10.6833333333333" hidden="1" customWidth="1"/>
    <col min="18" max="18" width="9.86666666666667" hidden="1" customWidth="1"/>
    <col min="19" max="19" width="10.6333333333333" hidden="1" customWidth="1"/>
    <col min="20" max="21" width="10.6333333333333" customWidth="1"/>
    <col min="22" max="23" width="8.36666666666667" customWidth="1"/>
    <col min="24" max="24" width="8.725" customWidth="1"/>
    <col min="25" max="25" width="7.63333333333333" customWidth="1"/>
    <col min="26" max="26" width="7.86666666666667" customWidth="1"/>
    <col min="27" max="27" width="10.6333333333333" customWidth="1"/>
    <col min="28" max="28" width="8.13333333333333" customWidth="1"/>
    <col min="29" max="29" width="7" customWidth="1"/>
    <col min="30" max="30" width="7.13333333333333" customWidth="1"/>
    <col min="31" max="31" width="9" customWidth="1"/>
    <col min="32" max="32" width="10.6333333333333" customWidth="1"/>
    <col min="33" max="33" width="8.86666666666667" customWidth="1"/>
    <col min="34" max="34" width="10.6333333333333" customWidth="1"/>
    <col min="35" max="36" width="8.725" customWidth="1"/>
    <col min="37" max="37" width="8.86666666666667" customWidth="1"/>
    <col min="38" max="38" width="10.3666666666667" customWidth="1"/>
    <col min="39" max="42" width="10.6333333333333" customWidth="1"/>
    <col min="43" max="43" width="8.13333333333333" customWidth="1"/>
    <col min="44" max="44" width="6.86666666666667" customWidth="1"/>
    <col min="45" max="47" width="10.6333333333333" customWidth="1"/>
    <col min="48" max="48" width="8.36666666666667" customWidth="1"/>
    <col min="49" max="50" width="10.6333333333333" customWidth="1"/>
    <col min="51" max="51" width="8.63333333333333" customWidth="1"/>
    <col min="52" max="52" width="7.725" customWidth="1"/>
    <col min="53" max="54" width="9.5" customWidth="1"/>
    <col min="55" max="55" width="10.6333333333333" customWidth="1"/>
    <col min="56" max="56" width="24.6333333333333" style="312" customWidth="1"/>
    <col min="57" max="57" width="10.725" hidden="1" customWidth="1"/>
  </cols>
  <sheetData>
    <row r="1" ht="27" spans="1:56">
      <c r="A1" s="353" t="s">
        <v>810</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3"/>
      <c r="AV1" s="353"/>
      <c r="AW1" s="353"/>
      <c r="AX1" s="353"/>
      <c r="AY1" s="353"/>
      <c r="AZ1" s="353"/>
      <c r="BA1" s="353"/>
      <c r="BB1" s="353"/>
      <c r="BC1" s="353"/>
      <c r="BD1" s="353"/>
    </row>
    <row r="2" s="352" customFormat="1" spans="1:56">
      <c r="A2" s="354"/>
      <c r="B2" s="354"/>
      <c r="C2" s="354"/>
      <c r="D2" s="354"/>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354" t="s">
        <v>2</v>
      </c>
    </row>
    <row r="3" ht="18" customHeight="1" spans="1:56">
      <c r="A3" s="94" t="s">
        <v>162</v>
      </c>
      <c r="B3" s="288" t="s">
        <v>163</v>
      </c>
      <c r="C3" s="94" t="s">
        <v>164</v>
      </c>
      <c r="D3" s="94" t="s">
        <v>165</v>
      </c>
      <c r="E3" s="355" t="s">
        <v>122</v>
      </c>
      <c r="F3" s="355"/>
      <c r="G3" s="355"/>
      <c r="H3" s="355"/>
      <c r="I3" s="355"/>
      <c r="J3" s="355"/>
      <c r="K3" s="355"/>
      <c r="L3" s="355"/>
      <c r="M3" s="355"/>
      <c r="N3" s="355"/>
      <c r="O3" s="355"/>
      <c r="P3" s="355"/>
      <c r="Q3" s="355"/>
      <c r="R3" s="355"/>
      <c r="S3" s="355"/>
      <c r="T3" s="361" t="s">
        <v>758</v>
      </c>
      <c r="U3" s="361"/>
      <c r="V3" s="361"/>
      <c r="W3" s="361"/>
      <c r="X3" s="361"/>
      <c r="Y3" s="361"/>
      <c r="Z3" s="361"/>
      <c r="AA3" s="361"/>
      <c r="AB3" s="361"/>
      <c r="AC3" s="361"/>
      <c r="AD3" s="361"/>
      <c r="AE3" s="361"/>
      <c r="AF3" s="361"/>
      <c r="AG3" s="361"/>
      <c r="AH3" s="361"/>
      <c r="AI3" s="361"/>
      <c r="AJ3" s="361"/>
      <c r="AK3" s="361"/>
      <c r="AL3" s="355" t="s">
        <v>759</v>
      </c>
      <c r="AM3" s="355"/>
      <c r="AN3" s="355"/>
      <c r="AO3" s="355"/>
      <c r="AP3" s="355"/>
      <c r="AQ3" s="355"/>
      <c r="AR3" s="355"/>
      <c r="AS3" s="355"/>
      <c r="AT3" s="355"/>
      <c r="AU3" s="355"/>
      <c r="AV3" s="355"/>
      <c r="AW3" s="355"/>
      <c r="AX3" s="355"/>
      <c r="AY3" s="355"/>
      <c r="AZ3" s="355"/>
      <c r="BA3" s="355"/>
      <c r="BB3" s="355"/>
      <c r="BC3" s="355"/>
      <c r="BD3" s="94" t="s">
        <v>760</v>
      </c>
    </row>
    <row r="4" s="210" customFormat="1" spans="1:56">
      <c r="A4" s="94"/>
      <c r="B4" s="275"/>
      <c r="C4" s="94"/>
      <c r="D4" s="94"/>
      <c r="E4" s="94" t="s">
        <v>741</v>
      </c>
      <c r="F4" s="94" t="s">
        <v>172</v>
      </c>
      <c r="G4" s="94"/>
      <c r="H4" s="94"/>
      <c r="I4" s="94"/>
      <c r="J4" s="94"/>
      <c r="K4" s="94"/>
      <c r="L4" s="318" t="s">
        <v>173</v>
      </c>
      <c r="M4" s="318"/>
      <c r="N4" s="318"/>
      <c r="O4" s="318"/>
      <c r="P4" s="318"/>
      <c r="Q4" s="318"/>
      <c r="R4" s="318"/>
      <c r="S4" s="318"/>
      <c r="T4" s="94" t="s">
        <v>742</v>
      </c>
      <c r="U4" s="94" t="s">
        <v>172</v>
      </c>
      <c r="V4" s="94"/>
      <c r="W4" s="94"/>
      <c r="X4" s="94"/>
      <c r="Y4" s="94"/>
      <c r="Z4" s="94"/>
      <c r="AA4" s="318" t="s">
        <v>173</v>
      </c>
      <c r="AB4" s="318"/>
      <c r="AC4" s="318"/>
      <c r="AD4" s="318"/>
      <c r="AE4" s="318"/>
      <c r="AF4" s="318"/>
      <c r="AG4" s="318"/>
      <c r="AH4" s="318"/>
      <c r="AI4" s="318"/>
      <c r="AJ4" s="318"/>
      <c r="AK4" s="318"/>
      <c r="AL4" s="288" t="s">
        <v>743</v>
      </c>
      <c r="AM4" s="94" t="s">
        <v>172</v>
      </c>
      <c r="AN4" s="94"/>
      <c r="AO4" s="94"/>
      <c r="AP4" s="94"/>
      <c r="AQ4" s="94"/>
      <c r="AR4" s="94"/>
      <c r="AS4" s="318" t="s">
        <v>173</v>
      </c>
      <c r="AT4" s="318"/>
      <c r="AU4" s="318"/>
      <c r="AV4" s="318"/>
      <c r="AW4" s="318"/>
      <c r="AX4" s="318"/>
      <c r="AY4" s="318"/>
      <c r="AZ4" s="318"/>
      <c r="BA4" s="318"/>
      <c r="BB4" s="318"/>
      <c r="BC4" s="318"/>
      <c r="BD4" s="94"/>
    </row>
    <row r="5" s="210" customFormat="1" ht="36" spans="1:57">
      <c r="A5" s="94"/>
      <c r="B5" s="274"/>
      <c r="C5" s="94"/>
      <c r="D5" s="94"/>
      <c r="E5" s="94"/>
      <c r="F5" s="115" t="s">
        <v>129</v>
      </c>
      <c r="G5" s="115" t="s">
        <v>181</v>
      </c>
      <c r="H5" s="115" t="s">
        <v>182</v>
      </c>
      <c r="I5" s="115" t="s">
        <v>189</v>
      </c>
      <c r="J5" s="115" t="s">
        <v>184</v>
      </c>
      <c r="K5" s="115" t="s">
        <v>185</v>
      </c>
      <c r="L5" s="336" t="s">
        <v>129</v>
      </c>
      <c r="M5" s="94" t="s">
        <v>191</v>
      </c>
      <c r="N5" s="115" t="s">
        <v>190</v>
      </c>
      <c r="O5" s="115" t="s">
        <v>192</v>
      </c>
      <c r="P5" s="115" t="s">
        <v>186</v>
      </c>
      <c r="Q5" s="115" t="s">
        <v>193</v>
      </c>
      <c r="R5" s="115" t="s">
        <v>187</v>
      </c>
      <c r="S5" s="115" t="s">
        <v>188</v>
      </c>
      <c r="T5" s="94"/>
      <c r="U5" s="115" t="s">
        <v>129</v>
      </c>
      <c r="V5" s="115" t="s">
        <v>181</v>
      </c>
      <c r="W5" s="115" t="s">
        <v>182</v>
      </c>
      <c r="X5" s="115" t="s">
        <v>189</v>
      </c>
      <c r="Y5" s="115" t="s">
        <v>184</v>
      </c>
      <c r="Z5" s="115" t="s">
        <v>185</v>
      </c>
      <c r="AA5" s="336" t="s">
        <v>129</v>
      </c>
      <c r="AB5" s="94" t="s">
        <v>191</v>
      </c>
      <c r="AC5" s="115" t="s">
        <v>190</v>
      </c>
      <c r="AD5" s="115" t="s">
        <v>192</v>
      </c>
      <c r="AE5" s="115" t="s">
        <v>186</v>
      </c>
      <c r="AF5" s="115" t="s">
        <v>193</v>
      </c>
      <c r="AG5" s="115" t="s">
        <v>187</v>
      </c>
      <c r="AH5" s="115" t="s">
        <v>188</v>
      </c>
      <c r="AI5" s="115" t="s">
        <v>761</v>
      </c>
      <c r="AJ5" s="115" t="s">
        <v>762</v>
      </c>
      <c r="AK5" s="115" t="s">
        <v>811</v>
      </c>
      <c r="AL5" s="274"/>
      <c r="AM5" s="115" t="s">
        <v>129</v>
      </c>
      <c r="AN5" s="115" t="s">
        <v>181</v>
      </c>
      <c r="AO5" s="115" t="s">
        <v>182</v>
      </c>
      <c r="AP5" s="115" t="s">
        <v>189</v>
      </c>
      <c r="AQ5" s="115" t="s">
        <v>184</v>
      </c>
      <c r="AR5" s="115" t="s">
        <v>185</v>
      </c>
      <c r="AS5" s="336" t="s">
        <v>129</v>
      </c>
      <c r="AT5" s="94" t="s">
        <v>191</v>
      </c>
      <c r="AU5" s="115" t="s">
        <v>190</v>
      </c>
      <c r="AV5" s="115" t="s">
        <v>192</v>
      </c>
      <c r="AW5" s="115" t="s">
        <v>186</v>
      </c>
      <c r="AX5" s="115" t="s">
        <v>193</v>
      </c>
      <c r="AY5" s="115" t="s">
        <v>187</v>
      </c>
      <c r="AZ5" s="115" t="s">
        <v>188</v>
      </c>
      <c r="BA5" s="115" t="s">
        <v>761</v>
      </c>
      <c r="BB5" s="115" t="s">
        <v>762</v>
      </c>
      <c r="BC5" s="115" t="s">
        <v>811</v>
      </c>
      <c r="BD5" s="94"/>
      <c r="BE5" s="367" t="s">
        <v>194</v>
      </c>
    </row>
    <row r="6" s="311" customFormat="1" ht="21" customHeight="1" spans="1:57">
      <c r="A6" s="319"/>
      <c r="B6" s="356"/>
      <c r="C6" s="357" t="s">
        <v>124</v>
      </c>
      <c r="D6" s="357"/>
      <c r="E6" s="364">
        <f t="shared" ref="E6:S6" si="0">E7+E187+E198+E259+E262+E277+E299+E329+E345+E390+E399+E402+E414</f>
        <v>66691.109428</v>
      </c>
      <c r="F6" s="364">
        <f t="shared" si="0"/>
        <v>37591.274</v>
      </c>
      <c r="G6" s="364">
        <f t="shared" si="0"/>
        <v>27005.79</v>
      </c>
      <c r="H6" s="364">
        <f t="shared" si="0"/>
        <v>519.12</v>
      </c>
      <c r="I6" s="364">
        <f t="shared" si="0"/>
        <v>9127.674</v>
      </c>
      <c r="J6" s="364">
        <f t="shared" si="0"/>
        <v>873.88</v>
      </c>
      <c r="K6" s="364">
        <f t="shared" si="0"/>
        <v>64.81</v>
      </c>
      <c r="L6" s="364">
        <f t="shared" si="0"/>
        <v>29099.835428</v>
      </c>
      <c r="M6" s="364">
        <f t="shared" si="0"/>
        <v>5499.53</v>
      </c>
      <c r="N6" s="364">
        <f t="shared" si="0"/>
        <v>680.47</v>
      </c>
      <c r="O6" s="364">
        <f t="shared" si="0"/>
        <v>465.178</v>
      </c>
      <c r="P6" s="364">
        <f t="shared" si="0"/>
        <v>701.959428</v>
      </c>
      <c r="Q6" s="364">
        <f t="shared" si="0"/>
        <v>3816</v>
      </c>
      <c r="R6" s="364">
        <f t="shared" si="0"/>
        <v>2024.258</v>
      </c>
      <c r="S6" s="364">
        <f t="shared" si="0"/>
        <v>15912.44</v>
      </c>
      <c r="T6" s="364">
        <f>U6+AA6</f>
        <v>7647.65832</v>
      </c>
      <c r="U6" s="364">
        <f t="shared" ref="U6:AK6" si="1">U7+U187+U198+U259+U262+U277+U299+U329+U345+U390+U399+U402+U414</f>
        <v>3569.6468</v>
      </c>
      <c r="V6" s="364">
        <f t="shared" si="1"/>
        <v>3380.49215</v>
      </c>
      <c r="W6" s="364">
        <f t="shared" si="1"/>
        <v>56.2551</v>
      </c>
      <c r="X6" s="364">
        <f t="shared" si="1"/>
        <v>165.4127</v>
      </c>
      <c r="Y6" s="364">
        <f t="shared" si="1"/>
        <v>-28.06</v>
      </c>
      <c r="Z6" s="364">
        <f t="shared" si="1"/>
        <v>-4.45315</v>
      </c>
      <c r="AA6" s="364">
        <f t="shared" si="1"/>
        <v>4078.01152</v>
      </c>
      <c r="AB6" s="364">
        <f t="shared" si="1"/>
        <v>220.10062</v>
      </c>
      <c r="AC6" s="364">
        <f t="shared" si="1"/>
        <v>-9.222</v>
      </c>
      <c r="AD6" s="364">
        <f t="shared" si="1"/>
        <v>7.73</v>
      </c>
      <c r="AE6" s="364">
        <f t="shared" si="1"/>
        <v>3</v>
      </c>
      <c r="AF6" s="364">
        <f t="shared" si="1"/>
        <v>657.6</v>
      </c>
      <c r="AG6" s="364">
        <f t="shared" si="1"/>
        <v>1025.5523</v>
      </c>
      <c r="AH6" s="364">
        <f t="shared" si="1"/>
        <v>-15912.44</v>
      </c>
      <c r="AI6" s="364">
        <f t="shared" si="1"/>
        <v>8301.06</v>
      </c>
      <c r="AJ6" s="364">
        <f t="shared" si="1"/>
        <v>6245</v>
      </c>
      <c r="AK6" s="364">
        <f t="shared" si="1"/>
        <v>3539.6306</v>
      </c>
      <c r="AL6" s="364">
        <f t="shared" ref="AL6:AL69" si="2">AM6+AS6</f>
        <v>74338.767748</v>
      </c>
      <c r="AM6" s="364">
        <f t="shared" ref="AM6:BC6" si="3">AM7+AM187+AM198+AM259+AM262+AM277+AM299+AM329+AM345+AM390+AM399+AM402+AM414</f>
        <v>41160.9208</v>
      </c>
      <c r="AN6" s="364">
        <f t="shared" si="3"/>
        <v>30386.28215</v>
      </c>
      <c r="AO6" s="364">
        <f t="shared" si="3"/>
        <v>575.3751</v>
      </c>
      <c r="AP6" s="364">
        <f t="shared" si="3"/>
        <v>9293.0867</v>
      </c>
      <c r="AQ6" s="364">
        <f t="shared" si="3"/>
        <v>845.82</v>
      </c>
      <c r="AR6" s="364">
        <f t="shared" si="3"/>
        <v>60.35685</v>
      </c>
      <c r="AS6" s="364">
        <f t="shared" si="3"/>
        <v>33177.846948</v>
      </c>
      <c r="AT6" s="364">
        <f t="shared" si="3"/>
        <v>5719.63062</v>
      </c>
      <c r="AU6" s="364">
        <f t="shared" si="3"/>
        <v>671.248</v>
      </c>
      <c r="AV6" s="364">
        <f t="shared" si="3"/>
        <v>472.908</v>
      </c>
      <c r="AW6" s="364">
        <f t="shared" si="3"/>
        <v>704.959428</v>
      </c>
      <c r="AX6" s="364">
        <f t="shared" si="3"/>
        <v>4473.6</v>
      </c>
      <c r="AY6" s="364">
        <f t="shared" si="3"/>
        <v>3049.8103</v>
      </c>
      <c r="AZ6" s="364">
        <f t="shared" si="3"/>
        <v>0</v>
      </c>
      <c r="BA6" s="364">
        <f t="shared" si="3"/>
        <v>8301.06</v>
      </c>
      <c r="BB6" s="364">
        <f t="shared" si="3"/>
        <v>6245</v>
      </c>
      <c r="BC6" s="364">
        <f t="shared" si="3"/>
        <v>3539.6306</v>
      </c>
      <c r="BD6" s="319"/>
      <c r="BE6" s="368">
        <f>SUM(BE8:BE424)</f>
        <v>4973.0784</v>
      </c>
    </row>
    <row r="7" s="311" customFormat="1" ht="21" customHeight="1" spans="1:56">
      <c r="A7" s="319"/>
      <c r="B7" s="319" t="s">
        <v>744</v>
      </c>
      <c r="C7" s="359" t="s">
        <v>132</v>
      </c>
      <c r="D7" s="360">
        <v>201</v>
      </c>
      <c r="E7" s="364">
        <f t="shared" ref="E7:S7" si="4">SUM(E8:E186)</f>
        <v>8797.5522</v>
      </c>
      <c r="F7" s="364">
        <f t="shared" si="4"/>
        <v>4751</v>
      </c>
      <c r="G7" s="364">
        <f t="shared" si="4"/>
        <v>3237.37</v>
      </c>
      <c r="H7" s="364">
        <f t="shared" si="4"/>
        <v>78.34</v>
      </c>
      <c r="I7" s="364">
        <f t="shared" si="4"/>
        <v>1245.62</v>
      </c>
      <c r="J7" s="364">
        <f t="shared" si="4"/>
        <v>172.92</v>
      </c>
      <c r="K7" s="364">
        <f t="shared" si="4"/>
        <v>16.75</v>
      </c>
      <c r="L7" s="364">
        <f t="shared" si="4"/>
        <v>4046.5522</v>
      </c>
      <c r="M7" s="364">
        <f t="shared" si="4"/>
        <v>786.01</v>
      </c>
      <c r="N7" s="364">
        <f t="shared" si="4"/>
        <v>0</v>
      </c>
      <c r="O7" s="364">
        <f t="shared" si="4"/>
        <v>229</v>
      </c>
      <c r="P7" s="364">
        <f t="shared" si="4"/>
        <v>452.5422</v>
      </c>
      <c r="Q7" s="364">
        <f t="shared" si="4"/>
        <v>0</v>
      </c>
      <c r="R7" s="364">
        <f t="shared" si="4"/>
        <v>0</v>
      </c>
      <c r="S7" s="364">
        <f t="shared" si="4"/>
        <v>2579</v>
      </c>
      <c r="T7" s="364">
        <f t="shared" ref="T7:T70" si="5">U7+AA7</f>
        <v>418.9258</v>
      </c>
      <c r="U7" s="364">
        <f t="shared" ref="U7:AK7" si="6">SUM(U8:U186)</f>
        <v>596.4061</v>
      </c>
      <c r="V7" s="364">
        <f t="shared" si="6"/>
        <v>454.5321</v>
      </c>
      <c r="W7" s="364">
        <f t="shared" si="6"/>
        <v>0.88</v>
      </c>
      <c r="X7" s="364">
        <f t="shared" si="6"/>
        <v>127.35</v>
      </c>
      <c r="Y7" s="364">
        <f t="shared" si="6"/>
        <v>8.24</v>
      </c>
      <c r="Z7" s="364">
        <f t="shared" si="6"/>
        <v>5.404</v>
      </c>
      <c r="AA7" s="364">
        <f t="shared" si="6"/>
        <v>-177.4803</v>
      </c>
      <c r="AB7" s="364">
        <f t="shared" si="6"/>
        <v>42.353</v>
      </c>
      <c r="AC7" s="364">
        <f t="shared" si="6"/>
        <v>0</v>
      </c>
      <c r="AD7" s="364">
        <f t="shared" si="6"/>
        <v>0</v>
      </c>
      <c r="AE7" s="364">
        <f t="shared" si="6"/>
        <v>0</v>
      </c>
      <c r="AF7" s="364">
        <f t="shared" si="6"/>
        <v>0</v>
      </c>
      <c r="AG7" s="364">
        <f t="shared" si="6"/>
        <v>11.45</v>
      </c>
      <c r="AH7" s="364">
        <f t="shared" si="6"/>
        <v>-2579</v>
      </c>
      <c r="AI7" s="364">
        <f t="shared" si="6"/>
        <v>1217.065</v>
      </c>
      <c r="AJ7" s="364">
        <f t="shared" si="6"/>
        <v>725</v>
      </c>
      <c r="AK7" s="364">
        <f t="shared" si="6"/>
        <v>405.6517</v>
      </c>
      <c r="AL7" s="364">
        <f t="shared" si="2"/>
        <v>9216.478</v>
      </c>
      <c r="AM7" s="364">
        <f t="shared" ref="AM7:BC7" si="7">SUM(AM8:AM186)</f>
        <v>5347.4061</v>
      </c>
      <c r="AN7" s="364">
        <f t="shared" si="7"/>
        <v>3691.9021</v>
      </c>
      <c r="AO7" s="364">
        <f t="shared" si="7"/>
        <v>79.22</v>
      </c>
      <c r="AP7" s="364">
        <f t="shared" si="7"/>
        <v>1372.97</v>
      </c>
      <c r="AQ7" s="364">
        <f t="shared" si="7"/>
        <v>181.16</v>
      </c>
      <c r="AR7" s="364">
        <f t="shared" si="7"/>
        <v>22.154</v>
      </c>
      <c r="AS7" s="364">
        <f t="shared" si="7"/>
        <v>3869.0719</v>
      </c>
      <c r="AT7" s="364">
        <f t="shared" si="7"/>
        <v>828.363</v>
      </c>
      <c r="AU7" s="364">
        <f t="shared" si="7"/>
        <v>0</v>
      </c>
      <c r="AV7" s="364">
        <f t="shared" si="7"/>
        <v>229</v>
      </c>
      <c r="AW7" s="364">
        <f t="shared" si="7"/>
        <v>452.5422</v>
      </c>
      <c r="AX7" s="364">
        <f t="shared" si="7"/>
        <v>0</v>
      </c>
      <c r="AY7" s="364">
        <f t="shared" si="7"/>
        <v>11.45</v>
      </c>
      <c r="AZ7" s="364">
        <f t="shared" si="7"/>
        <v>0</v>
      </c>
      <c r="BA7" s="364">
        <f t="shared" si="7"/>
        <v>1217.065</v>
      </c>
      <c r="BB7" s="364">
        <f t="shared" si="7"/>
        <v>725</v>
      </c>
      <c r="BC7" s="364">
        <f t="shared" si="7"/>
        <v>405.6517</v>
      </c>
      <c r="BD7" s="319"/>
    </row>
    <row r="8" ht="24" spans="1:57">
      <c r="A8" s="284" t="s">
        <v>195</v>
      </c>
      <c r="B8" s="284" t="s">
        <v>196</v>
      </c>
      <c r="C8" s="284" t="s">
        <v>197</v>
      </c>
      <c r="D8" s="284" t="s">
        <v>198</v>
      </c>
      <c r="E8" s="365">
        <f t="shared" ref="E8:E71" si="8">F8+L8</f>
        <v>0</v>
      </c>
      <c r="F8" s="365">
        <f t="shared" ref="F8:F71" si="9">SUM(G8:K8)</f>
        <v>0</v>
      </c>
      <c r="G8" s="365"/>
      <c r="H8" s="365"/>
      <c r="I8" s="365"/>
      <c r="J8" s="365"/>
      <c r="K8" s="365"/>
      <c r="L8" s="365">
        <f t="shared" ref="L8:L71" si="10">SUM(M8:S8)</f>
        <v>0</v>
      </c>
      <c r="M8" s="365"/>
      <c r="N8" s="365"/>
      <c r="O8" s="365"/>
      <c r="P8" s="365"/>
      <c r="Q8" s="365"/>
      <c r="R8" s="365"/>
      <c r="S8" s="365"/>
      <c r="T8" s="365">
        <f t="shared" si="5"/>
        <v>0</v>
      </c>
      <c r="U8" s="365">
        <f>SUM(V8:Z8)</f>
        <v>0</v>
      </c>
      <c r="V8" s="365"/>
      <c r="W8" s="365"/>
      <c r="X8" s="365"/>
      <c r="Y8" s="365"/>
      <c r="Z8" s="365"/>
      <c r="AA8" s="365">
        <f>SUM(AB8:AK8)</f>
        <v>0</v>
      </c>
      <c r="AB8" s="365"/>
      <c r="AC8" s="365"/>
      <c r="AD8" s="365"/>
      <c r="AE8" s="365"/>
      <c r="AF8" s="365"/>
      <c r="AG8" s="365"/>
      <c r="AH8" s="365">
        <v>0</v>
      </c>
      <c r="AI8" s="365"/>
      <c r="AJ8" s="365"/>
      <c r="AK8" s="365"/>
      <c r="AL8" s="365">
        <f t="shared" si="2"/>
        <v>0</v>
      </c>
      <c r="AM8" s="365">
        <f>SUM(AN8:AR8)</f>
        <v>0</v>
      </c>
      <c r="AN8" s="365">
        <f>G8+V8</f>
        <v>0</v>
      </c>
      <c r="AO8" s="365">
        <f t="shared" ref="AO8:AZ8" si="11">H8+W8</f>
        <v>0</v>
      </c>
      <c r="AP8" s="365">
        <f t="shared" si="11"/>
        <v>0</v>
      </c>
      <c r="AQ8" s="365">
        <f t="shared" si="11"/>
        <v>0</v>
      </c>
      <c r="AR8" s="365">
        <f t="shared" si="11"/>
        <v>0</v>
      </c>
      <c r="AS8" s="365">
        <f>SUM(AT8:BC8)</f>
        <v>0</v>
      </c>
      <c r="AT8" s="365">
        <f t="shared" si="11"/>
        <v>0</v>
      </c>
      <c r="AU8" s="365">
        <f t="shared" si="11"/>
        <v>0</v>
      </c>
      <c r="AV8" s="365">
        <f t="shared" si="11"/>
        <v>0</v>
      </c>
      <c r="AW8" s="365">
        <f t="shared" si="11"/>
        <v>0</v>
      </c>
      <c r="AX8" s="365">
        <f t="shared" si="11"/>
        <v>0</v>
      </c>
      <c r="AY8" s="365">
        <f t="shared" si="11"/>
        <v>0</v>
      </c>
      <c r="AZ8" s="365">
        <f t="shared" si="11"/>
        <v>0</v>
      </c>
      <c r="BA8" s="365">
        <f>AI8</f>
        <v>0</v>
      </c>
      <c r="BB8" s="365">
        <f t="shared" ref="BB8:BB71" si="12">AJ8</f>
        <v>0</v>
      </c>
      <c r="BC8" s="365">
        <f>AK8</f>
        <v>0</v>
      </c>
      <c r="BD8" s="363"/>
      <c r="BE8">
        <v>26.152</v>
      </c>
    </row>
    <row r="9" ht="24" spans="1:57">
      <c r="A9" s="284" t="s">
        <v>195</v>
      </c>
      <c r="B9" s="284" t="s">
        <v>199</v>
      </c>
      <c r="C9" s="284" t="s">
        <v>200</v>
      </c>
      <c r="D9" s="284" t="s">
        <v>201</v>
      </c>
      <c r="E9" s="365">
        <f t="shared" si="8"/>
        <v>62.38</v>
      </c>
      <c r="F9" s="365">
        <f t="shared" si="9"/>
        <v>19.04</v>
      </c>
      <c r="G9" s="365">
        <v>13.24</v>
      </c>
      <c r="H9" s="365"/>
      <c r="I9" s="365">
        <v>5.8</v>
      </c>
      <c r="J9" s="365"/>
      <c r="K9" s="365"/>
      <c r="L9" s="365">
        <f t="shared" si="10"/>
        <v>43.34</v>
      </c>
      <c r="M9" s="365">
        <v>3.48</v>
      </c>
      <c r="N9" s="365"/>
      <c r="O9" s="365"/>
      <c r="P9" s="365">
        <v>14.86</v>
      </c>
      <c r="Q9" s="365"/>
      <c r="R9" s="365"/>
      <c r="S9" s="365">
        <v>25</v>
      </c>
      <c r="T9" s="365">
        <f t="shared" si="5"/>
        <v>-12.44</v>
      </c>
      <c r="U9" s="365">
        <f t="shared" ref="U9:U72" si="13">SUM(V9:Z9)</f>
        <v>1.89</v>
      </c>
      <c r="V9" s="365">
        <v>1.89</v>
      </c>
      <c r="W9" s="365"/>
      <c r="X9" s="365"/>
      <c r="Y9" s="365"/>
      <c r="Z9" s="365"/>
      <c r="AA9" s="365">
        <f t="shared" ref="AA9:AA40" si="14">SUM(AB9:AK9)</f>
        <v>-14.33</v>
      </c>
      <c r="AB9" s="365"/>
      <c r="AC9" s="365"/>
      <c r="AD9" s="365"/>
      <c r="AE9" s="365"/>
      <c r="AF9" s="365"/>
      <c r="AG9" s="365">
        <v>0.15</v>
      </c>
      <c r="AH9" s="365">
        <v>-25</v>
      </c>
      <c r="AI9" s="365">
        <v>5.52</v>
      </c>
      <c r="AJ9" s="365">
        <v>3</v>
      </c>
      <c r="AK9" s="365">
        <v>2</v>
      </c>
      <c r="AL9" s="365">
        <f t="shared" si="2"/>
        <v>49.94</v>
      </c>
      <c r="AM9" s="365">
        <f t="shared" ref="AM9:AM40" si="15">SUM(AN9:AR9)</f>
        <v>20.93</v>
      </c>
      <c r="AN9" s="365">
        <f t="shared" ref="AN9:AN40" si="16">G9+V9</f>
        <v>15.13</v>
      </c>
      <c r="AO9" s="365">
        <f t="shared" ref="AO9:AO40" si="17">H9+W9</f>
        <v>0</v>
      </c>
      <c r="AP9" s="365">
        <f t="shared" ref="AP9:AP40" si="18">I9+X9</f>
        <v>5.8</v>
      </c>
      <c r="AQ9" s="365">
        <f t="shared" ref="AQ9:AQ40" si="19">J9+Y9</f>
        <v>0</v>
      </c>
      <c r="AR9" s="365">
        <f t="shared" ref="AR9:AR40" si="20">K9+Z9</f>
        <v>0</v>
      </c>
      <c r="AS9" s="365">
        <f t="shared" ref="AS9:AS72" si="21">SUM(AT9:BC9)</f>
        <v>29.01</v>
      </c>
      <c r="AT9" s="365">
        <f t="shared" ref="AT9:AT40" si="22">M9+AB9</f>
        <v>3.48</v>
      </c>
      <c r="AU9" s="365">
        <f t="shared" ref="AU9:AU40" si="23">N9+AC9</f>
        <v>0</v>
      </c>
      <c r="AV9" s="365">
        <f t="shared" ref="AV9:AV40" si="24">O9+AD9</f>
        <v>0</v>
      </c>
      <c r="AW9" s="365">
        <f t="shared" ref="AW9:AW40" si="25">P9+AE9</f>
        <v>14.86</v>
      </c>
      <c r="AX9" s="365">
        <f t="shared" ref="AX9:AX40" si="26">Q9+AF9</f>
        <v>0</v>
      </c>
      <c r="AY9" s="365">
        <f t="shared" ref="AY9:AY40" si="27">R9+AG9</f>
        <v>0.15</v>
      </c>
      <c r="AZ9" s="365">
        <f t="shared" ref="AZ9:AZ40" si="28">S9+AH9</f>
        <v>0</v>
      </c>
      <c r="BA9" s="365">
        <f t="shared" ref="BA9:BA40" si="29">AI9</f>
        <v>5.52</v>
      </c>
      <c r="BB9" s="365">
        <f t="shared" si="12"/>
        <v>3</v>
      </c>
      <c r="BC9" s="365">
        <f t="shared" ref="BC9:BC40" si="30">AK9</f>
        <v>2</v>
      </c>
      <c r="BD9" s="363" t="s">
        <v>776</v>
      </c>
      <c r="BE9">
        <v>2</v>
      </c>
    </row>
    <row r="10" ht="24" spans="1:57">
      <c r="A10" s="284" t="s">
        <v>195</v>
      </c>
      <c r="B10" s="284" t="s">
        <v>196</v>
      </c>
      <c r="C10" s="284" t="s">
        <v>202</v>
      </c>
      <c r="D10" s="284" t="s">
        <v>203</v>
      </c>
      <c r="E10" s="365">
        <f t="shared" si="8"/>
        <v>0</v>
      </c>
      <c r="F10" s="365">
        <f t="shared" si="9"/>
        <v>0</v>
      </c>
      <c r="G10" s="365"/>
      <c r="H10" s="365"/>
      <c r="I10" s="365"/>
      <c r="J10" s="365"/>
      <c r="K10" s="365"/>
      <c r="L10" s="365">
        <f t="shared" si="10"/>
        <v>0</v>
      </c>
      <c r="M10" s="365"/>
      <c r="N10" s="365"/>
      <c r="O10" s="365"/>
      <c r="P10" s="365"/>
      <c r="Q10" s="365"/>
      <c r="R10" s="365"/>
      <c r="S10" s="365"/>
      <c r="T10" s="365">
        <f t="shared" si="5"/>
        <v>0</v>
      </c>
      <c r="U10" s="365">
        <f t="shared" si="13"/>
        <v>0</v>
      </c>
      <c r="V10" s="365"/>
      <c r="W10" s="365"/>
      <c r="X10" s="365"/>
      <c r="Y10" s="365"/>
      <c r="Z10" s="365"/>
      <c r="AA10" s="365">
        <f t="shared" si="14"/>
        <v>0</v>
      </c>
      <c r="AB10" s="365"/>
      <c r="AC10" s="365"/>
      <c r="AD10" s="365"/>
      <c r="AE10" s="365"/>
      <c r="AF10" s="365"/>
      <c r="AG10" s="365"/>
      <c r="AH10" s="365">
        <v>0</v>
      </c>
      <c r="AI10" s="365"/>
      <c r="AJ10" s="365"/>
      <c r="AK10" s="365"/>
      <c r="AL10" s="365">
        <f t="shared" si="2"/>
        <v>0</v>
      </c>
      <c r="AM10" s="365">
        <f t="shared" si="15"/>
        <v>0</v>
      </c>
      <c r="AN10" s="365">
        <f t="shared" si="16"/>
        <v>0</v>
      </c>
      <c r="AO10" s="365">
        <f t="shared" si="17"/>
        <v>0</v>
      </c>
      <c r="AP10" s="365">
        <f t="shared" si="18"/>
        <v>0</v>
      </c>
      <c r="AQ10" s="365">
        <f t="shared" si="19"/>
        <v>0</v>
      </c>
      <c r="AR10" s="365">
        <f t="shared" si="20"/>
        <v>0</v>
      </c>
      <c r="AS10" s="365">
        <f t="shared" si="21"/>
        <v>0</v>
      </c>
      <c r="AT10" s="365">
        <f t="shared" si="22"/>
        <v>0</v>
      </c>
      <c r="AU10" s="365">
        <f t="shared" si="23"/>
        <v>0</v>
      </c>
      <c r="AV10" s="365">
        <f t="shared" si="24"/>
        <v>0</v>
      </c>
      <c r="AW10" s="365">
        <f t="shared" si="25"/>
        <v>0</v>
      </c>
      <c r="AX10" s="365">
        <f t="shared" si="26"/>
        <v>0</v>
      </c>
      <c r="AY10" s="365">
        <f t="shared" si="27"/>
        <v>0</v>
      </c>
      <c r="AZ10" s="365">
        <f t="shared" si="28"/>
        <v>0</v>
      </c>
      <c r="BA10" s="365">
        <f t="shared" si="29"/>
        <v>0</v>
      </c>
      <c r="BB10" s="365">
        <f t="shared" si="12"/>
        <v>0</v>
      </c>
      <c r="BC10" s="365">
        <f t="shared" si="30"/>
        <v>0</v>
      </c>
      <c r="BD10" s="363"/>
      <c r="BE10">
        <v>20.0022</v>
      </c>
    </row>
    <row r="11" ht="24" spans="1:57">
      <c r="A11" s="284" t="s">
        <v>195</v>
      </c>
      <c r="B11" s="284" t="s">
        <v>199</v>
      </c>
      <c r="C11" s="284" t="s">
        <v>204</v>
      </c>
      <c r="D11" s="284" t="s">
        <v>205</v>
      </c>
      <c r="E11" s="365">
        <f t="shared" si="8"/>
        <v>37.01</v>
      </c>
      <c r="F11" s="365">
        <f t="shared" si="9"/>
        <v>15.37</v>
      </c>
      <c r="G11" s="365">
        <v>10.96</v>
      </c>
      <c r="H11" s="365"/>
      <c r="I11" s="365">
        <v>4.41</v>
      </c>
      <c r="J11" s="365"/>
      <c r="K11" s="365"/>
      <c r="L11" s="365">
        <f t="shared" si="10"/>
        <v>21.64</v>
      </c>
      <c r="M11" s="365">
        <v>2.64</v>
      </c>
      <c r="N11" s="365"/>
      <c r="O11" s="365"/>
      <c r="P11" s="365"/>
      <c r="Q11" s="365"/>
      <c r="R11" s="365"/>
      <c r="S11" s="366">
        <v>19</v>
      </c>
      <c r="T11" s="365">
        <f t="shared" si="5"/>
        <v>-4.53</v>
      </c>
      <c r="U11" s="365">
        <f t="shared" si="13"/>
        <v>1.47</v>
      </c>
      <c r="V11" s="365">
        <v>1.47</v>
      </c>
      <c r="W11" s="365"/>
      <c r="X11" s="365"/>
      <c r="Y11" s="365"/>
      <c r="Z11" s="365"/>
      <c r="AA11" s="365">
        <f t="shared" si="14"/>
        <v>-6</v>
      </c>
      <c r="AB11" s="366"/>
      <c r="AC11" s="366"/>
      <c r="AD11" s="366"/>
      <c r="AE11" s="366"/>
      <c r="AF11" s="366"/>
      <c r="AG11" s="366">
        <v>0.15</v>
      </c>
      <c r="AH11" s="365">
        <v>-19</v>
      </c>
      <c r="AI11" s="366">
        <v>4.35</v>
      </c>
      <c r="AJ11" s="366">
        <v>7</v>
      </c>
      <c r="AK11" s="365">
        <v>1.5</v>
      </c>
      <c r="AL11" s="365">
        <f t="shared" si="2"/>
        <v>32.48</v>
      </c>
      <c r="AM11" s="365">
        <f t="shared" si="15"/>
        <v>16.84</v>
      </c>
      <c r="AN11" s="365">
        <f t="shared" si="16"/>
        <v>12.43</v>
      </c>
      <c r="AO11" s="365">
        <f t="shared" si="17"/>
        <v>0</v>
      </c>
      <c r="AP11" s="365">
        <f t="shared" si="18"/>
        <v>4.41</v>
      </c>
      <c r="AQ11" s="365">
        <f t="shared" si="19"/>
        <v>0</v>
      </c>
      <c r="AR11" s="365">
        <f t="shared" si="20"/>
        <v>0</v>
      </c>
      <c r="AS11" s="365">
        <f t="shared" si="21"/>
        <v>15.64</v>
      </c>
      <c r="AT11" s="365">
        <f t="shared" si="22"/>
        <v>2.64</v>
      </c>
      <c r="AU11" s="365">
        <f t="shared" si="23"/>
        <v>0</v>
      </c>
      <c r="AV11" s="365">
        <f t="shared" si="24"/>
        <v>0</v>
      </c>
      <c r="AW11" s="365">
        <f t="shared" si="25"/>
        <v>0</v>
      </c>
      <c r="AX11" s="365">
        <f t="shared" si="26"/>
        <v>0</v>
      </c>
      <c r="AY11" s="365">
        <f t="shared" si="27"/>
        <v>0.15</v>
      </c>
      <c r="AZ11" s="365">
        <f t="shared" si="28"/>
        <v>0</v>
      </c>
      <c r="BA11" s="365">
        <f t="shared" si="29"/>
        <v>4.35</v>
      </c>
      <c r="BB11" s="365">
        <f t="shared" si="12"/>
        <v>7</v>
      </c>
      <c r="BC11" s="365">
        <f t="shared" si="30"/>
        <v>1.5</v>
      </c>
      <c r="BD11" s="363" t="s">
        <v>776</v>
      </c>
      <c r="BE11">
        <v>1.5</v>
      </c>
    </row>
    <row r="12" ht="24" spans="1:57">
      <c r="A12" s="284" t="s">
        <v>195</v>
      </c>
      <c r="B12" s="284" t="s">
        <v>196</v>
      </c>
      <c r="C12" s="284" t="s">
        <v>206</v>
      </c>
      <c r="D12" s="284" t="s">
        <v>207</v>
      </c>
      <c r="E12" s="365">
        <f t="shared" si="8"/>
        <v>0</v>
      </c>
      <c r="F12" s="365">
        <f t="shared" si="9"/>
        <v>0</v>
      </c>
      <c r="G12" s="365"/>
      <c r="H12" s="365"/>
      <c r="I12" s="365"/>
      <c r="J12" s="365"/>
      <c r="K12" s="365"/>
      <c r="L12" s="365">
        <f t="shared" si="10"/>
        <v>0</v>
      </c>
      <c r="M12" s="365"/>
      <c r="N12" s="365"/>
      <c r="O12" s="365"/>
      <c r="P12" s="365"/>
      <c r="Q12" s="365"/>
      <c r="R12" s="365"/>
      <c r="S12" s="365"/>
      <c r="T12" s="365">
        <f t="shared" si="5"/>
        <v>0</v>
      </c>
      <c r="U12" s="365">
        <f t="shared" si="13"/>
        <v>0</v>
      </c>
      <c r="V12" s="365"/>
      <c r="W12" s="365"/>
      <c r="X12" s="365"/>
      <c r="Y12" s="365"/>
      <c r="Z12" s="365"/>
      <c r="AA12" s="365">
        <f t="shared" si="14"/>
        <v>0</v>
      </c>
      <c r="AB12" s="365"/>
      <c r="AC12" s="365"/>
      <c r="AD12" s="365"/>
      <c r="AE12" s="365"/>
      <c r="AF12" s="365"/>
      <c r="AG12" s="365"/>
      <c r="AH12" s="365">
        <v>0</v>
      </c>
      <c r="AI12" s="365"/>
      <c r="AJ12" s="365"/>
      <c r="AK12" s="365"/>
      <c r="AL12" s="365">
        <f t="shared" si="2"/>
        <v>0</v>
      </c>
      <c r="AM12" s="365">
        <f t="shared" si="15"/>
        <v>0</v>
      </c>
      <c r="AN12" s="365">
        <f t="shared" si="16"/>
        <v>0</v>
      </c>
      <c r="AO12" s="365">
        <f t="shared" si="17"/>
        <v>0</v>
      </c>
      <c r="AP12" s="365">
        <f t="shared" si="18"/>
        <v>0</v>
      </c>
      <c r="AQ12" s="365">
        <f t="shared" si="19"/>
        <v>0</v>
      </c>
      <c r="AR12" s="365">
        <f t="shared" si="20"/>
        <v>0</v>
      </c>
      <c r="AS12" s="365">
        <f t="shared" si="21"/>
        <v>0</v>
      </c>
      <c r="AT12" s="365">
        <f t="shared" si="22"/>
        <v>0</v>
      </c>
      <c r="AU12" s="365">
        <f t="shared" si="23"/>
        <v>0</v>
      </c>
      <c r="AV12" s="365">
        <f t="shared" si="24"/>
        <v>0</v>
      </c>
      <c r="AW12" s="365">
        <f t="shared" si="25"/>
        <v>0</v>
      </c>
      <c r="AX12" s="365">
        <f t="shared" si="26"/>
        <v>0</v>
      </c>
      <c r="AY12" s="365">
        <f t="shared" si="27"/>
        <v>0</v>
      </c>
      <c r="AZ12" s="365">
        <f t="shared" si="28"/>
        <v>0</v>
      </c>
      <c r="BA12" s="365">
        <f t="shared" si="29"/>
        <v>0</v>
      </c>
      <c r="BB12" s="365">
        <f t="shared" si="12"/>
        <v>0</v>
      </c>
      <c r="BC12" s="365">
        <f t="shared" si="30"/>
        <v>0</v>
      </c>
      <c r="BD12" s="363"/>
      <c r="BE12">
        <v>45.9913</v>
      </c>
    </row>
    <row r="13" ht="24" spans="1:57">
      <c r="A13" s="284" t="s">
        <v>208</v>
      </c>
      <c r="B13" s="284" t="s">
        <v>196</v>
      </c>
      <c r="C13" s="284" t="s">
        <v>209</v>
      </c>
      <c r="D13" s="284" t="s">
        <v>207</v>
      </c>
      <c r="E13" s="365">
        <f t="shared" si="8"/>
        <v>0</v>
      </c>
      <c r="F13" s="365">
        <f t="shared" si="9"/>
        <v>0</v>
      </c>
      <c r="G13" s="365"/>
      <c r="H13" s="365"/>
      <c r="I13" s="365"/>
      <c r="J13" s="365"/>
      <c r="K13" s="365"/>
      <c r="L13" s="365">
        <f t="shared" si="10"/>
        <v>0</v>
      </c>
      <c r="M13" s="365"/>
      <c r="N13" s="365"/>
      <c r="O13" s="365"/>
      <c r="P13" s="365"/>
      <c r="Q13" s="365"/>
      <c r="R13" s="365"/>
      <c r="S13" s="365"/>
      <c r="T13" s="365">
        <f t="shared" si="5"/>
        <v>0</v>
      </c>
      <c r="U13" s="365">
        <f t="shared" si="13"/>
        <v>0</v>
      </c>
      <c r="V13" s="365"/>
      <c r="W13" s="365"/>
      <c r="X13" s="365"/>
      <c r="Y13" s="365"/>
      <c r="Z13" s="365"/>
      <c r="AA13" s="365">
        <f t="shared" si="14"/>
        <v>0</v>
      </c>
      <c r="AB13" s="365"/>
      <c r="AC13" s="365"/>
      <c r="AD13" s="365"/>
      <c r="AE13" s="365"/>
      <c r="AF13" s="365"/>
      <c r="AG13" s="365"/>
      <c r="AH13" s="365">
        <v>0</v>
      </c>
      <c r="AI13" s="365"/>
      <c r="AJ13" s="365"/>
      <c r="AK13" s="365"/>
      <c r="AL13" s="365">
        <f t="shared" si="2"/>
        <v>0</v>
      </c>
      <c r="AM13" s="365">
        <f t="shared" si="15"/>
        <v>0</v>
      </c>
      <c r="AN13" s="365">
        <f t="shared" si="16"/>
        <v>0</v>
      </c>
      <c r="AO13" s="365">
        <f t="shared" si="17"/>
        <v>0</v>
      </c>
      <c r="AP13" s="365">
        <f t="shared" si="18"/>
        <v>0</v>
      </c>
      <c r="AQ13" s="365">
        <f t="shared" si="19"/>
        <v>0</v>
      </c>
      <c r="AR13" s="365">
        <f t="shared" si="20"/>
        <v>0</v>
      </c>
      <c r="AS13" s="365">
        <f t="shared" si="21"/>
        <v>0</v>
      </c>
      <c r="AT13" s="365">
        <f t="shared" si="22"/>
        <v>0</v>
      </c>
      <c r="AU13" s="365">
        <f t="shared" si="23"/>
        <v>0</v>
      </c>
      <c r="AV13" s="365">
        <f t="shared" si="24"/>
        <v>0</v>
      </c>
      <c r="AW13" s="365">
        <f t="shared" si="25"/>
        <v>0</v>
      </c>
      <c r="AX13" s="365">
        <f t="shared" si="26"/>
        <v>0</v>
      </c>
      <c r="AY13" s="365">
        <f t="shared" si="27"/>
        <v>0</v>
      </c>
      <c r="AZ13" s="365">
        <f t="shared" si="28"/>
        <v>0</v>
      </c>
      <c r="BA13" s="365">
        <f t="shared" si="29"/>
        <v>0</v>
      </c>
      <c r="BB13" s="365">
        <f t="shared" si="12"/>
        <v>0</v>
      </c>
      <c r="BC13" s="365">
        <f t="shared" si="30"/>
        <v>0</v>
      </c>
      <c r="BD13" s="363"/>
      <c r="BE13">
        <v>2.6136</v>
      </c>
    </row>
    <row r="14" ht="24" spans="1:57">
      <c r="A14" s="284" t="s">
        <v>195</v>
      </c>
      <c r="B14" s="284" t="s">
        <v>196</v>
      </c>
      <c r="C14" s="284" t="s">
        <v>210</v>
      </c>
      <c r="D14" s="284" t="s">
        <v>211</v>
      </c>
      <c r="E14" s="365">
        <f t="shared" si="8"/>
        <v>0</v>
      </c>
      <c r="F14" s="365">
        <f t="shared" si="9"/>
        <v>0</v>
      </c>
      <c r="G14" s="365"/>
      <c r="H14" s="365"/>
      <c r="I14" s="365"/>
      <c r="J14" s="365"/>
      <c r="K14" s="365"/>
      <c r="L14" s="365">
        <f t="shared" si="10"/>
        <v>0</v>
      </c>
      <c r="M14" s="365"/>
      <c r="N14" s="365"/>
      <c r="O14" s="365"/>
      <c r="P14" s="365"/>
      <c r="Q14" s="365"/>
      <c r="R14" s="365"/>
      <c r="S14" s="365"/>
      <c r="T14" s="365">
        <f t="shared" si="5"/>
        <v>0</v>
      </c>
      <c r="U14" s="365">
        <f t="shared" si="13"/>
        <v>0</v>
      </c>
      <c r="V14" s="365"/>
      <c r="W14" s="365"/>
      <c r="X14" s="365"/>
      <c r="Y14" s="365"/>
      <c r="Z14" s="365"/>
      <c r="AA14" s="365">
        <f t="shared" si="14"/>
        <v>0</v>
      </c>
      <c r="AB14" s="365"/>
      <c r="AC14" s="365"/>
      <c r="AD14" s="365"/>
      <c r="AE14" s="365"/>
      <c r="AF14" s="365"/>
      <c r="AG14" s="365"/>
      <c r="AH14" s="365">
        <v>0</v>
      </c>
      <c r="AI14" s="365"/>
      <c r="AJ14" s="365"/>
      <c r="AK14" s="365"/>
      <c r="AL14" s="365">
        <f t="shared" si="2"/>
        <v>0</v>
      </c>
      <c r="AM14" s="365">
        <f t="shared" si="15"/>
        <v>0</v>
      </c>
      <c r="AN14" s="365">
        <f t="shared" si="16"/>
        <v>0</v>
      </c>
      <c r="AO14" s="365">
        <f t="shared" si="17"/>
        <v>0</v>
      </c>
      <c r="AP14" s="365">
        <f t="shared" si="18"/>
        <v>0</v>
      </c>
      <c r="AQ14" s="365">
        <f t="shared" si="19"/>
        <v>0</v>
      </c>
      <c r="AR14" s="365">
        <f t="shared" si="20"/>
        <v>0</v>
      </c>
      <c r="AS14" s="365">
        <f t="shared" si="21"/>
        <v>0</v>
      </c>
      <c r="AT14" s="365">
        <f t="shared" si="22"/>
        <v>0</v>
      </c>
      <c r="AU14" s="365">
        <f t="shared" si="23"/>
        <v>0</v>
      </c>
      <c r="AV14" s="365">
        <f t="shared" si="24"/>
        <v>0</v>
      </c>
      <c r="AW14" s="365">
        <f t="shared" si="25"/>
        <v>0</v>
      </c>
      <c r="AX14" s="365">
        <f t="shared" si="26"/>
        <v>0</v>
      </c>
      <c r="AY14" s="365">
        <f t="shared" si="27"/>
        <v>0</v>
      </c>
      <c r="AZ14" s="365">
        <f t="shared" si="28"/>
        <v>0</v>
      </c>
      <c r="BA14" s="365">
        <f t="shared" si="29"/>
        <v>0</v>
      </c>
      <c r="BB14" s="365">
        <f t="shared" si="12"/>
        <v>0</v>
      </c>
      <c r="BC14" s="365">
        <f t="shared" si="30"/>
        <v>0</v>
      </c>
      <c r="BD14" s="363"/>
      <c r="BE14">
        <v>7.543</v>
      </c>
    </row>
    <row r="15" ht="24" spans="1:56">
      <c r="A15" s="284" t="s">
        <v>195</v>
      </c>
      <c r="B15" s="284" t="s">
        <v>199</v>
      </c>
      <c r="C15" s="284" t="s">
        <v>212</v>
      </c>
      <c r="D15" s="284" t="s">
        <v>213</v>
      </c>
      <c r="E15" s="365">
        <f t="shared" si="8"/>
        <v>22.12</v>
      </c>
      <c r="F15" s="365">
        <f t="shared" si="9"/>
        <v>18.72</v>
      </c>
      <c r="G15" s="365">
        <v>13.05</v>
      </c>
      <c r="H15" s="365"/>
      <c r="I15" s="365">
        <v>5.67</v>
      </c>
      <c r="J15" s="365"/>
      <c r="K15" s="365"/>
      <c r="L15" s="365">
        <f t="shared" si="10"/>
        <v>3.4</v>
      </c>
      <c r="M15" s="365">
        <v>3.4</v>
      </c>
      <c r="N15" s="365"/>
      <c r="O15" s="365"/>
      <c r="P15" s="365"/>
      <c r="Q15" s="365"/>
      <c r="R15" s="365"/>
      <c r="S15" s="365"/>
      <c r="T15" s="365">
        <f t="shared" si="5"/>
        <v>10.37</v>
      </c>
      <c r="U15" s="365">
        <f t="shared" si="13"/>
        <v>1.7</v>
      </c>
      <c r="V15" s="365">
        <v>1.7</v>
      </c>
      <c r="W15" s="365"/>
      <c r="X15" s="365"/>
      <c r="Y15" s="365"/>
      <c r="Z15" s="365"/>
      <c r="AA15" s="365">
        <f t="shared" si="14"/>
        <v>8.67</v>
      </c>
      <c r="AB15" s="365"/>
      <c r="AC15" s="365"/>
      <c r="AD15" s="365"/>
      <c r="AE15" s="365"/>
      <c r="AF15" s="365"/>
      <c r="AG15" s="365">
        <v>0.15</v>
      </c>
      <c r="AH15" s="365">
        <v>0</v>
      </c>
      <c r="AI15" s="365">
        <v>5.52</v>
      </c>
      <c r="AJ15" s="365">
        <v>3</v>
      </c>
      <c r="AK15" s="365">
        <v>0</v>
      </c>
      <c r="AL15" s="365">
        <f t="shared" si="2"/>
        <v>32.49</v>
      </c>
      <c r="AM15" s="365">
        <f t="shared" si="15"/>
        <v>20.42</v>
      </c>
      <c r="AN15" s="365">
        <f t="shared" si="16"/>
        <v>14.75</v>
      </c>
      <c r="AO15" s="365">
        <f t="shared" si="17"/>
        <v>0</v>
      </c>
      <c r="AP15" s="365">
        <f t="shared" si="18"/>
        <v>5.67</v>
      </c>
      <c r="AQ15" s="365">
        <f t="shared" si="19"/>
        <v>0</v>
      </c>
      <c r="AR15" s="365">
        <f t="shared" si="20"/>
        <v>0</v>
      </c>
      <c r="AS15" s="365">
        <f t="shared" si="21"/>
        <v>12.07</v>
      </c>
      <c r="AT15" s="365">
        <f t="shared" si="22"/>
        <v>3.4</v>
      </c>
      <c r="AU15" s="365">
        <f t="shared" si="23"/>
        <v>0</v>
      </c>
      <c r="AV15" s="365">
        <f t="shared" si="24"/>
        <v>0</v>
      </c>
      <c r="AW15" s="365">
        <f t="shared" si="25"/>
        <v>0</v>
      </c>
      <c r="AX15" s="365">
        <f t="shared" si="26"/>
        <v>0</v>
      </c>
      <c r="AY15" s="365">
        <f t="shared" si="27"/>
        <v>0.15</v>
      </c>
      <c r="AZ15" s="365">
        <f t="shared" si="28"/>
        <v>0</v>
      </c>
      <c r="BA15" s="365">
        <f t="shared" si="29"/>
        <v>5.52</v>
      </c>
      <c r="BB15" s="365">
        <f t="shared" si="12"/>
        <v>3</v>
      </c>
      <c r="BC15" s="365">
        <f t="shared" si="30"/>
        <v>0</v>
      </c>
      <c r="BD15" s="363"/>
    </row>
    <row r="16" ht="24" spans="1:56">
      <c r="A16" s="284" t="s">
        <v>195</v>
      </c>
      <c r="B16" s="284" t="s">
        <v>199</v>
      </c>
      <c r="C16" s="284" t="s">
        <v>214</v>
      </c>
      <c r="D16" s="284" t="s">
        <v>213</v>
      </c>
      <c r="E16" s="365">
        <f t="shared" si="8"/>
        <v>425.17</v>
      </c>
      <c r="F16" s="365">
        <f t="shared" si="9"/>
        <v>12.39</v>
      </c>
      <c r="G16" s="365">
        <v>8.49</v>
      </c>
      <c r="H16" s="365"/>
      <c r="I16" s="365">
        <v>3.9</v>
      </c>
      <c r="J16" s="365"/>
      <c r="K16" s="365"/>
      <c r="L16" s="365">
        <f t="shared" si="10"/>
        <v>412.78</v>
      </c>
      <c r="M16" s="365">
        <v>2.34</v>
      </c>
      <c r="N16" s="365"/>
      <c r="O16" s="365"/>
      <c r="P16" s="365">
        <v>410.44</v>
      </c>
      <c r="Q16" s="365"/>
      <c r="R16" s="365"/>
      <c r="S16" s="366"/>
      <c r="T16" s="365">
        <f t="shared" si="5"/>
        <v>11.9</v>
      </c>
      <c r="U16" s="365">
        <f t="shared" si="13"/>
        <v>4.06</v>
      </c>
      <c r="V16" s="365">
        <v>3.17</v>
      </c>
      <c r="W16" s="365"/>
      <c r="X16" s="365">
        <v>0.89</v>
      </c>
      <c r="Y16" s="365"/>
      <c r="Z16" s="365"/>
      <c r="AA16" s="365">
        <f t="shared" si="14"/>
        <v>7.84</v>
      </c>
      <c r="AB16" s="366">
        <v>0.54</v>
      </c>
      <c r="AC16" s="366"/>
      <c r="AD16" s="366"/>
      <c r="AE16" s="366"/>
      <c r="AF16" s="366"/>
      <c r="AG16" s="366"/>
      <c r="AH16" s="365">
        <v>0</v>
      </c>
      <c r="AI16" s="366">
        <v>6.3</v>
      </c>
      <c r="AJ16" s="366">
        <v>1</v>
      </c>
      <c r="AK16" s="365">
        <v>0</v>
      </c>
      <c r="AL16" s="365">
        <f t="shared" si="2"/>
        <v>437.07</v>
      </c>
      <c r="AM16" s="365">
        <f t="shared" si="15"/>
        <v>16.45</v>
      </c>
      <c r="AN16" s="365">
        <f t="shared" si="16"/>
        <v>11.66</v>
      </c>
      <c r="AO16" s="365">
        <f t="shared" si="17"/>
        <v>0</v>
      </c>
      <c r="AP16" s="365">
        <f t="shared" si="18"/>
        <v>4.79</v>
      </c>
      <c r="AQ16" s="365">
        <f t="shared" si="19"/>
        <v>0</v>
      </c>
      <c r="AR16" s="365">
        <f t="shared" si="20"/>
        <v>0</v>
      </c>
      <c r="AS16" s="365">
        <f t="shared" si="21"/>
        <v>420.62</v>
      </c>
      <c r="AT16" s="365">
        <f t="shared" si="22"/>
        <v>2.88</v>
      </c>
      <c r="AU16" s="365">
        <f t="shared" si="23"/>
        <v>0</v>
      </c>
      <c r="AV16" s="365">
        <f t="shared" si="24"/>
        <v>0</v>
      </c>
      <c r="AW16" s="365">
        <f t="shared" si="25"/>
        <v>410.44</v>
      </c>
      <c r="AX16" s="365">
        <f t="shared" si="26"/>
        <v>0</v>
      </c>
      <c r="AY16" s="365">
        <f t="shared" si="27"/>
        <v>0</v>
      </c>
      <c r="AZ16" s="365">
        <f t="shared" si="28"/>
        <v>0</v>
      </c>
      <c r="BA16" s="365">
        <f t="shared" si="29"/>
        <v>6.3</v>
      </c>
      <c r="BB16" s="365">
        <f t="shared" si="12"/>
        <v>1</v>
      </c>
      <c r="BC16" s="365">
        <f t="shared" si="30"/>
        <v>0</v>
      </c>
      <c r="BD16" s="363"/>
    </row>
    <row r="17" ht="24" spans="1:56">
      <c r="A17" s="284" t="s">
        <v>195</v>
      </c>
      <c r="B17" s="284" t="s">
        <v>199</v>
      </c>
      <c r="C17" s="284" t="s">
        <v>215</v>
      </c>
      <c r="D17" s="284" t="s">
        <v>213</v>
      </c>
      <c r="E17" s="365">
        <f t="shared" si="8"/>
        <v>12.32</v>
      </c>
      <c r="F17" s="365">
        <f t="shared" si="9"/>
        <v>10.6</v>
      </c>
      <c r="G17" s="365">
        <v>7.73</v>
      </c>
      <c r="H17" s="365"/>
      <c r="I17" s="365">
        <v>2.87</v>
      </c>
      <c r="J17" s="365"/>
      <c r="K17" s="365"/>
      <c r="L17" s="365">
        <f t="shared" si="10"/>
        <v>1.72</v>
      </c>
      <c r="M17" s="365">
        <v>1.72</v>
      </c>
      <c r="N17" s="365"/>
      <c r="O17" s="365"/>
      <c r="P17" s="365"/>
      <c r="Q17" s="365"/>
      <c r="R17" s="365"/>
      <c r="S17" s="365"/>
      <c r="T17" s="365">
        <f t="shared" si="5"/>
        <v>11.61</v>
      </c>
      <c r="U17" s="365">
        <f t="shared" si="13"/>
        <v>4.46</v>
      </c>
      <c r="V17" s="365">
        <v>3.35</v>
      </c>
      <c r="W17" s="365"/>
      <c r="X17" s="365">
        <v>1.11</v>
      </c>
      <c r="Y17" s="365"/>
      <c r="Z17" s="365"/>
      <c r="AA17" s="365">
        <f t="shared" si="14"/>
        <v>7.15</v>
      </c>
      <c r="AB17" s="365">
        <v>0.54</v>
      </c>
      <c r="AC17" s="365"/>
      <c r="AD17" s="365"/>
      <c r="AE17" s="365"/>
      <c r="AF17" s="365"/>
      <c r="AG17" s="365"/>
      <c r="AH17" s="365">
        <v>0</v>
      </c>
      <c r="AI17" s="365">
        <v>5.61</v>
      </c>
      <c r="AJ17" s="365">
        <v>1</v>
      </c>
      <c r="AK17" s="365">
        <v>0</v>
      </c>
      <c r="AL17" s="365">
        <f t="shared" si="2"/>
        <v>23.93</v>
      </c>
      <c r="AM17" s="365">
        <f t="shared" si="15"/>
        <v>15.06</v>
      </c>
      <c r="AN17" s="365">
        <f t="shared" si="16"/>
        <v>11.08</v>
      </c>
      <c r="AO17" s="365">
        <f t="shared" si="17"/>
        <v>0</v>
      </c>
      <c r="AP17" s="365">
        <f t="shared" si="18"/>
        <v>3.98</v>
      </c>
      <c r="AQ17" s="365">
        <f t="shared" si="19"/>
        <v>0</v>
      </c>
      <c r="AR17" s="365">
        <f t="shared" si="20"/>
        <v>0</v>
      </c>
      <c r="AS17" s="365">
        <f t="shared" si="21"/>
        <v>8.87</v>
      </c>
      <c r="AT17" s="365">
        <f t="shared" si="22"/>
        <v>2.26</v>
      </c>
      <c r="AU17" s="365">
        <f t="shared" si="23"/>
        <v>0</v>
      </c>
      <c r="AV17" s="365">
        <f t="shared" si="24"/>
        <v>0</v>
      </c>
      <c r="AW17" s="365">
        <f t="shared" si="25"/>
        <v>0</v>
      </c>
      <c r="AX17" s="365">
        <f t="shared" si="26"/>
        <v>0</v>
      </c>
      <c r="AY17" s="365">
        <f t="shared" si="27"/>
        <v>0</v>
      </c>
      <c r="AZ17" s="365">
        <f t="shared" si="28"/>
        <v>0</v>
      </c>
      <c r="BA17" s="365">
        <f t="shared" si="29"/>
        <v>5.61</v>
      </c>
      <c r="BB17" s="365">
        <f t="shared" si="12"/>
        <v>1</v>
      </c>
      <c r="BC17" s="365">
        <f t="shared" si="30"/>
        <v>0</v>
      </c>
      <c r="BD17" s="363"/>
    </row>
    <row r="18" ht="24" spans="1:56">
      <c r="A18" s="284" t="s">
        <v>195</v>
      </c>
      <c r="B18" s="284" t="s">
        <v>199</v>
      </c>
      <c r="C18" s="284" t="s">
        <v>216</v>
      </c>
      <c r="D18" s="284" t="s">
        <v>213</v>
      </c>
      <c r="E18" s="365">
        <f t="shared" si="8"/>
        <v>21.23</v>
      </c>
      <c r="F18" s="365">
        <f t="shared" si="9"/>
        <v>17.72</v>
      </c>
      <c r="G18" s="365">
        <v>11.86</v>
      </c>
      <c r="H18" s="365"/>
      <c r="I18" s="365">
        <v>5.86</v>
      </c>
      <c r="J18" s="365"/>
      <c r="K18" s="365"/>
      <c r="L18" s="365">
        <f t="shared" si="10"/>
        <v>3.51</v>
      </c>
      <c r="M18" s="365">
        <v>3.51</v>
      </c>
      <c r="N18" s="365"/>
      <c r="O18" s="365"/>
      <c r="P18" s="365"/>
      <c r="Q18" s="365"/>
      <c r="R18" s="365"/>
      <c r="S18" s="365"/>
      <c r="T18" s="365">
        <f t="shared" si="5"/>
        <v>11.64</v>
      </c>
      <c r="U18" s="365">
        <f t="shared" si="13"/>
        <v>2.51</v>
      </c>
      <c r="V18" s="365">
        <v>2.35</v>
      </c>
      <c r="W18" s="365"/>
      <c r="X18" s="365">
        <v>0.16</v>
      </c>
      <c r="Y18" s="365"/>
      <c r="Z18" s="365"/>
      <c r="AA18" s="365">
        <f t="shared" si="14"/>
        <v>9.13</v>
      </c>
      <c r="AB18" s="365">
        <v>0.12</v>
      </c>
      <c r="AC18" s="365"/>
      <c r="AD18" s="365"/>
      <c r="AE18" s="365"/>
      <c r="AF18" s="365"/>
      <c r="AG18" s="365"/>
      <c r="AH18" s="365">
        <v>0</v>
      </c>
      <c r="AI18" s="365">
        <v>8.01</v>
      </c>
      <c r="AJ18" s="365">
        <v>1</v>
      </c>
      <c r="AK18" s="365">
        <v>0</v>
      </c>
      <c r="AL18" s="365">
        <f t="shared" si="2"/>
        <v>32.87</v>
      </c>
      <c r="AM18" s="365">
        <f t="shared" si="15"/>
        <v>20.23</v>
      </c>
      <c r="AN18" s="365">
        <f t="shared" si="16"/>
        <v>14.21</v>
      </c>
      <c r="AO18" s="365">
        <f t="shared" si="17"/>
        <v>0</v>
      </c>
      <c r="AP18" s="365">
        <f t="shared" si="18"/>
        <v>6.02</v>
      </c>
      <c r="AQ18" s="365">
        <f t="shared" si="19"/>
        <v>0</v>
      </c>
      <c r="AR18" s="365">
        <f t="shared" si="20"/>
        <v>0</v>
      </c>
      <c r="AS18" s="365">
        <f t="shared" si="21"/>
        <v>12.64</v>
      </c>
      <c r="AT18" s="365">
        <f t="shared" si="22"/>
        <v>3.63</v>
      </c>
      <c r="AU18" s="365">
        <f t="shared" si="23"/>
        <v>0</v>
      </c>
      <c r="AV18" s="365">
        <f t="shared" si="24"/>
        <v>0</v>
      </c>
      <c r="AW18" s="365">
        <f t="shared" si="25"/>
        <v>0</v>
      </c>
      <c r="AX18" s="365">
        <f t="shared" si="26"/>
        <v>0</v>
      </c>
      <c r="AY18" s="365">
        <f t="shared" si="27"/>
        <v>0</v>
      </c>
      <c r="AZ18" s="365">
        <f t="shared" si="28"/>
        <v>0</v>
      </c>
      <c r="BA18" s="365">
        <f t="shared" si="29"/>
        <v>8.01</v>
      </c>
      <c r="BB18" s="365">
        <f t="shared" si="12"/>
        <v>1</v>
      </c>
      <c r="BC18" s="365">
        <f t="shared" si="30"/>
        <v>0</v>
      </c>
      <c r="BD18" s="363"/>
    </row>
    <row r="19" ht="24" spans="1:56">
      <c r="A19" s="284" t="s">
        <v>195</v>
      </c>
      <c r="B19" s="284" t="s">
        <v>199</v>
      </c>
      <c r="C19" s="284" t="s">
        <v>217</v>
      </c>
      <c r="D19" s="284" t="s">
        <v>213</v>
      </c>
      <c r="E19" s="365">
        <f t="shared" si="8"/>
        <v>45.76</v>
      </c>
      <c r="F19" s="365">
        <f t="shared" si="9"/>
        <v>38.84</v>
      </c>
      <c r="G19" s="365">
        <v>27.31</v>
      </c>
      <c r="H19" s="365"/>
      <c r="I19" s="365">
        <v>11.53</v>
      </c>
      <c r="J19" s="365"/>
      <c r="K19" s="365"/>
      <c r="L19" s="365">
        <f t="shared" si="10"/>
        <v>6.92</v>
      </c>
      <c r="M19" s="365">
        <v>6.92</v>
      </c>
      <c r="N19" s="365"/>
      <c r="O19" s="365"/>
      <c r="P19" s="365"/>
      <c r="Q19" s="365"/>
      <c r="R19" s="365"/>
      <c r="S19" s="365"/>
      <c r="T19" s="365">
        <f t="shared" si="5"/>
        <v>33.18</v>
      </c>
      <c r="U19" s="365">
        <f t="shared" si="13"/>
        <v>12.2</v>
      </c>
      <c r="V19" s="365">
        <v>9.65</v>
      </c>
      <c r="W19" s="365"/>
      <c r="X19" s="365">
        <v>2.55</v>
      </c>
      <c r="Y19" s="365"/>
      <c r="Z19" s="365"/>
      <c r="AA19" s="365">
        <f t="shared" si="14"/>
        <v>20.98</v>
      </c>
      <c r="AB19" s="365">
        <v>1.53</v>
      </c>
      <c r="AC19" s="365"/>
      <c r="AD19" s="365"/>
      <c r="AE19" s="365"/>
      <c r="AF19" s="365"/>
      <c r="AG19" s="365"/>
      <c r="AH19" s="365">
        <v>0</v>
      </c>
      <c r="AI19" s="365">
        <v>17.45</v>
      </c>
      <c r="AJ19" s="365">
        <v>2</v>
      </c>
      <c r="AK19" s="365">
        <v>0</v>
      </c>
      <c r="AL19" s="365">
        <f t="shared" si="2"/>
        <v>78.94</v>
      </c>
      <c r="AM19" s="365">
        <f t="shared" si="15"/>
        <v>51.04</v>
      </c>
      <c r="AN19" s="365">
        <f t="shared" si="16"/>
        <v>36.96</v>
      </c>
      <c r="AO19" s="365">
        <f t="shared" si="17"/>
        <v>0</v>
      </c>
      <c r="AP19" s="365">
        <f t="shared" si="18"/>
        <v>14.08</v>
      </c>
      <c r="AQ19" s="365">
        <f t="shared" si="19"/>
        <v>0</v>
      </c>
      <c r="AR19" s="365">
        <f t="shared" si="20"/>
        <v>0</v>
      </c>
      <c r="AS19" s="365">
        <f t="shared" si="21"/>
        <v>27.9</v>
      </c>
      <c r="AT19" s="365">
        <f t="shared" si="22"/>
        <v>8.45</v>
      </c>
      <c r="AU19" s="365">
        <f t="shared" si="23"/>
        <v>0</v>
      </c>
      <c r="AV19" s="365">
        <f t="shared" si="24"/>
        <v>0</v>
      </c>
      <c r="AW19" s="365">
        <f t="shared" si="25"/>
        <v>0</v>
      </c>
      <c r="AX19" s="365">
        <f t="shared" si="26"/>
        <v>0</v>
      </c>
      <c r="AY19" s="365">
        <f t="shared" si="27"/>
        <v>0</v>
      </c>
      <c r="AZ19" s="365">
        <f t="shared" si="28"/>
        <v>0</v>
      </c>
      <c r="BA19" s="365">
        <f t="shared" si="29"/>
        <v>17.45</v>
      </c>
      <c r="BB19" s="365">
        <f t="shared" si="12"/>
        <v>2</v>
      </c>
      <c r="BC19" s="365">
        <f t="shared" si="30"/>
        <v>0</v>
      </c>
      <c r="BD19" s="363"/>
    </row>
    <row r="20" ht="24" spans="1:56">
      <c r="A20" s="284" t="s">
        <v>195</v>
      </c>
      <c r="B20" s="284" t="s">
        <v>199</v>
      </c>
      <c r="C20" s="284" t="s">
        <v>218</v>
      </c>
      <c r="D20" s="284" t="s">
        <v>213</v>
      </c>
      <c r="E20" s="365">
        <f t="shared" si="8"/>
        <v>72.99</v>
      </c>
      <c r="F20" s="365">
        <f t="shared" si="9"/>
        <v>61.41</v>
      </c>
      <c r="G20" s="365">
        <v>42.11</v>
      </c>
      <c r="H20" s="365"/>
      <c r="I20" s="365">
        <v>19.3</v>
      </c>
      <c r="J20" s="365"/>
      <c r="K20" s="365"/>
      <c r="L20" s="365">
        <f t="shared" si="10"/>
        <v>11.58</v>
      </c>
      <c r="M20" s="365">
        <v>11.58</v>
      </c>
      <c r="N20" s="365"/>
      <c r="O20" s="365"/>
      <c r="P20" s="365"/>
      <c r="Q20" s="365"/>
      <c r="R20" s="365"/>
      <c r="S20" s="365"/>
      <c r="T20" s="365">
        <f t="shared" si="5"/>
        <v>49.07</v>
      </c>
      <c r="U20" s="365">
        <f t="shared" si="13"/>
        <v>16.31</v>
      </c>
      <c r="V20" s="365">
        <v>13.16</v>
      </c>
      <c r="W20" s="365"/>
      <c r="X20" s="365">
        <v>3.15</v>
      </c>
      <c r="Y20" s="365"/>
      <c r="Z20" s="365"/>
      <c r="AA20" s="365">
        <f t="shared" si="14"/>
        <v>32.76</v>
      </c>
      <c r="AB20" s="365">
        <v>1.98</v>
      </c>
      <c r="AC20" s="365"/>
      <c r="AD20" s="365"/>
      <c r="AE20" s="365"/>
      <c r="AF20" s="365"/>
      <c r="AG20" s="365"/>
      <c r="AH20" s="365">
        <v>0</v>
      </c>
      <c r="AI20" s="365">
        <v>27.78</v>
      </c>
      <c r="AJ20" s="365">
        <v>3</v>
      </c>
      <c r="AK20" s="365">
        <v>0</v>
      </c>
      <c r="AL20" s="365">
        <f t="shared" si="2"/>
        <v>122.06</v>
      </c>
      <c r="AM20" s="365">
        <f t="shared" si="15"/>
        <v>77.72</v>
      </c>
      <c r="AN20" s="365">
        <f t="shared" si="16"/>
        <v>55.27</v>
      </c>
      <c r="AO20" s="365">
        <f t="shared" si="17"/>
        <v>0</v>
      </c>
      <c r="AP20" s="365">
        <f t="shared" si="18"/>
        <v>22.45</v>
      </c>
      <c r="AQ20" s="365">
        <f t="shared" si="19"/>
        <v>0</v>
      </c>
      <c r="AR20" s="365">
        <f t="shared" si="20"/>
        <v>0</v>
      </c>
      <c r="AS20" s="365">
        <f t="shared" si="21"/>
        <v>44.34</v>
      </c>
      <c r="AT20" s="365">
        <f t="shared" si="22"/>
        <v>13.56</v>
      </c>
      <c r="AU20" s="365">
        <f t="shared" si="23"/>
        <v>0</v>
      </c>
      <c r="AV20" s="365">
        <f t="shared" si="24"/>
        <v>0</v>
      </c>
      <c r="AW20" s="365">
        <f t="shared" si="25"/>
        <v>0</v>
      </c>
      <c r="AX20" s="365">
        <f t="shared" si="26"/>
        <v>0</v>
      </c>
      <c r="AY20" s="365">
        <f t="shared" si="27"/>
        <v>0</v>
      </c>
      <c r="AZ20" s="365">
        <f t="shared" si="28"/>
        <v>0</v>
      </c>
      <c r="BA20" s="365">
        <f t="shared" si="29"/>
        <v>27.78</v>
      </c>
      <c r="BB20" s="365">
        <f t="shared" si="12"/>
        <v>3</v>
      </c>
      <c r="BC20" s="365">
        <f t="shared" si="30"/>
        <v>0</v>
      </c>
      <c r="BD20" s="363"/>
    </row>
    <row r="21" ht="24" spans="1:57">
      <c r="A21" s="284" t="s">
        <v>208</v>
      </c>
      <c r="B21" s="284" t="s">
        <v>199</v>
      </c>
      <c r="C21" s="284" t="s">
        <v>219</v>
      </c>
      <c r="D21" s="284" t="s">
        <v>213</v>
      </c>
      <c r="E21" s="365">
        <f t="shared" si="8"/>
        <v>82.07</v>
      </c>
      <c r="F21" s="365">
        <f t="shared" si="9"/>
        <v>35</v>
      </c>
      <c r="G21" s="365">
        <v>24.89</v>
      </c>
      <c r="H21" s="365"/>
      <c r="I21" s="365">
        <v>10.11</v>
      </c>
      <c r="J21" s="365"/>
      <c r="K21" s="365"/>
      <c r="L21" s="365">
        <f t="shared" si="10"/>
        <v>47.07</v>
      </c>
      <c r="M21" s="366">
        <v>6.07</v>
      </c>
      <c r="N21" s="365"/>
      <c r="O21" s="365"/>
      <c r="P21" s="365"/>
      <c r="Q21" s="365"/>
      <c r="R21" s="365"/>
      <c r="S21" s="365">
        <v>41</v>
      </c>
      <c r="T21" s="365">
        <f t="shared" si="5"/>
        <v>-16.51</v>
      </c>
      <c r="U21" s="365">
        <f t="shared" si="13"/>
        <v>6.08</v>
      </c>
      <c r="V21" s="365">
        <v>5.26</v>
      </c>
      <c r="W21" s="365"/>
      <c r="X21" s="365">
        <v>0.82</v>
      </c>
      <c r="Y21" s="365"/>
      <c r="Z21" s="365"/>
      <c r="AA21" s="365">
        <f t="shared" si="14"/>
        <v>-22.59</v>
      </c>
      <c r="AB21" s="365">
        <v>0.54</v>
      </c>
      <c r="AC21" s="365"/>
      <c r="AD21" s="365"/>
      <c r="AE21" s="365"/>
      <c r="AF21" s="365"/>
      <c r="AG21" s="365">
        <v>0.3</v>
      </c>
      <c r="AH21" s="365">
        <v>-41</v>
      </c>
      <c r="AI21" s="365">
        <v>8.07</v>
      </c>
      <c r="AJ21" s="365">
        <v>6</v>
      </c>
      <c r="AK21" s="365">
        <v>3.5</v>
      </c>
      <c r="AL21" s="365">
        <f t="shared" si="2"/>
        <v>65.56</v>
      </c>
      <c r="AM21" s="365">
        <f t="shared" si="15"/>
        <v>41.08</v>
      </c>
      <c r="AN21" s="365">
        <f t="shared" si="16"/>
        <v>30.15</v>
      </c>
      <c r="AO21" s="365">
        <f t="shared" si="17"/>
        <v>0</v>
      </c>
      <c r="AP21" s="365">
        <f t="shared" si="18"/>
        <v>10.93</v>
      </c>
      <c r="AQ21" s="365">
        <f t="shared" si="19"/>
        <v>0</v>
      </c>
      <c r="AR21" s="365">
        <f t="shared" si="20"/>
        <v>0</v>
      </c>
      <c r="AS21" s="365">
        <f t="shared" si="21"/>
        <v>24.48</v>
      </c>
      <c r="AT21" s="365">
        <f t="shared" si="22"/>
        <v>6.61</v>
      </c>
      <c r="AU21" s="365">
        <f t="shared" si="23"/>
        <v>0</v>
      </c>
      <c r="AV21" s="365">
        <f t="shared" si="24"/>
        <v>0</v>
      </c>
      <c r="AW21" s="365">
        <f t="shared" si="25"/>
        <v>0</v>
      </c>
      <c r="AX21" s="365">
        <f t="shared" si="26"/>
        <v>0</v>
      </c>
      <c r="AY21" s="365">
        <f t="shared" si="27"/>
        <v>0.3</v>
      </c>
      <c r="AZ21" s="365">
        <f t="shared" si="28"/>
        <v>0</v>
      </c>
      <c r="BA21" s="365">
        <f t="shared" si="29"/>
        <v>8.07</v>
      </c>
      <c r="BB21" s="365">
        <f t="shared" si="12"/>
        <v>6</v>
      </c>
      <c r="BC21" s="365">
        <f t="shared" si="30"/>
        <v>3.5</v>
      </c>
      <c r="BD21" s="363"/>
      <c r="BE21">
        <v>3.5</v>
      </c>
    </row>
    <row r="22" ht="24" spans="1:57">
      <c r="A22" s="284" t="s">
        <v>208</v>
      </c>
      <c r="B22" s="284" t="s">
        <v>199</v>
      </c>
      <c r="C22" s="284" t="s">
        <v>220</v>
      </c>
      <c r="D22" s="284" t="s">
        <v>213</v>
      </c>
      <c r="E22" s="365">
        <f t="shared" si="8"/>
        <v>33.6</v>
      </c>
      <c r="F22" s="365">
        <f t="shared" si="9"/>
        <v>13.15</v>
      </c>
      <c r="G22" s="365">
        <v>9.06</v>
      </c>
      <c r="H22" s="365"/>
      <c r="I22" s="365">
        <v>4.09</v>
      </c>
      <c r="J22" s="365"/>
      <c r="K22" s="365"/>
      <c r="L22" s="365">
        <f t="shared" si="10"/>
        <v>20.45</v>
      </c>
      <c r="M22" s="365">
        <v>2.45</v>
      </c>
      <c r="N22" s="365"/>
      <c r="O22" s="365"/>
      <c r="P22" s="365"/>
      <c r="Q22" s="365"/>
      <c r="R22" s="365"/>
      <c r="S22" s="365">
        <v>18</v>
      </c>
      <c r="T22" s="365">
        <f t="shared" si="5"/>
        <v>-19.97</v>
      </c>
      <c r="U22" s="365">
        <f t="shared" si="13"/>
        <v>-7.4</v>
      </c>
      <c r="V22" s="365">
        <v>-4.91</v>
      </c>
      <c r="W22" s="365"/>
      <c r="X22" s="365">
        <v>-2.49</v>
      </c>
      <c r="Y22" s="365"/>
      <c r="Z22" s="365"/>
      <c r="AA22" s="365">
        <f t="shared" si="14"/>
        <v>-12.57</v>
      </c>
      <c r="AB22" s="365">
        <v>-1.41</v>
      </c>
      <c r="AC22" s="365"/>
      <c r="AD22" s="365"/>
      <c r="AE22" s="365"/>
      <c r="AF22" s="365"/>
      <c r="AG22" s="365"/>
      <c r="AH22" s="365">
        <v>-18</v>
      </c>
      <c r="AI22" s="365">
        <v>2.34</v>
      </c>
      <c r="AJ22" s="365">
        <v>3</v>
      </c>
      <c r="AK22" s="365">
        <v>1.5</v>
      </c>
      <c r="AL22" s="365">
        <f t="shared" si="2"/>
        <v>13.63</v>
      </c>
      <c r="AM22" s="365">
        <f t="shared" si="15"/>
        <v>5.75</v>
      </c>
      <c r="AN22" s="365">
        <f t="shared" si="16"/>
        <v>4.15</v>
      </c>
      <c r="AO22" s="365">
        <f t="shared" si="17"/>
        <v>0</v>
      </c>
      <c r="AP22" s="365">
        <f t="shared" si="18"/>
        <v>1.6</v>
      </c>
      <c r="AQ22" s="365">
        <f t="shared" si="19"/>
        <v>0</v>
      </c>
      <c r="AR22" s="365">
        <f t="shared" si="20"/>
        <v>0</v>
      </c>
      <c r="AS22" s="365">
        <f t="shared" si="21"/>
        <v>7.88</v>
      </c>
      <c r="AT22" s="365">
        <f t="shared" si="22"/>
        <v>1.04</v>
      </c>
      <c r="AU22" s="365">
        <f t="shared" si="23"/>
        <v>0</v>
      </c>
      <c r="AV22" s="365">
        <f t="shared" si="24"/>
        <v>0</v>
      </c>
      <c r="AW22" s="365">
        <f t="shared" si="25"/>
        <v>0</v>
      </c>
      <c r="AX22" s="365">
        <f t="shared" si="26"/>
        <v>0</v>
      </c>
      <c r="AY22" s="365">
        <f t="shared" si="27"/>
        <v>0</v>
      </c>
      <c r="AZ22" s="365">
        <f t="shared" si="28"/>
        <v>0</v>
      </c>
      <c r="BA22" s="365">
        <f t="shared" si="29"/>
        <v>2.34</v>
      </c>
      <c r="BB22" s="365">
        <f t="shared" si="12"/>
        <v>3</v>
      </c>
      <c r="BC22" s="365">
        <f t="shared" si="30"/>
        <v>1.5</v>
      </c>
      <c r="BD22" s="363"/>
      <c r="BE22">
        <v>1.5</v>
      </c>
    </row>
    <row r="23" ht="24" spans="1:57">
      <c r="A23" s="284" t="s">
        <v>221</v>
      </c>
      <c r="B23" s="284" t="s">
        <v>196</v>
      </c>
      <c r="C23" s="284" t="s">
        <v>222</v>
      </c>
      <c r="D23" s="284" t="s">
        <v>207</v>
      </c>
      <c r="E23" s="365">
        <f t="shared" si="8"/>
        <v>0</v>
      </c>
      <c r="F23" s="365">
        <f t="shared" si="9"/>
        <v>0</v>
      </c>
      <c r="G23" s="365"/>
      <c r="H23" s="365"/>
      <c r="I23" s="365"/>
      <c r="J23" s="365"/>
      <c r="K23" s="365"/>
      <c r="L23" s="365">
        <f t="shared" si="10"/>
        <v>0</v>
      </c>
      <c r="M23" s="365"/>
      <c r="N23" s="365"/>
      <c r="O23" s="365"/>
      <c r="P23" s="365"/>
      <c r="Q23" s="365"/>
      <c r="R23" s="365"/>
      <c r="S23" s="365"/>
      <c r="T23" s="365">
        <f t="shared" si="5"/>
        <v>0</v>
      </c>
      <c r="U23" s="365">
        <f t="shared" si="13"/>
        <v>0</v>
      </c>
      <c r="V23" s="365"/>
      <c r="W23" s="365"/>
      <c r="X23" s="365"/>
      <c r="Y23" s="365"/>
      <c r="Z23" s="365"/>
      <c r="AA23" s="365">
        <f t="shared" si="14"/>
        <v>0</v>
      </c>
      <c r="AB23" s="365"/>
      <c r="AC23" s="365"/>
      <c r="AD23" s="365"/>
      <c r="AE23" s="365"/>
      <c r="AF23" s="365"/>
      <c r="AG23" s="365"/>
      <c r="AH23" s="365">
        <v>0</v>
      </c>
      <c r="AI23" s="365"/>
      <c r="AJ23" s="365"/>
      <c r="AK23" s="365"/>
      <c r="AL23" s="365">
        <f t="shared" si="2"/>
        <v>0</v>
      </c>
      <c r="AM23" s="365">
        <f t="shared" si="15"/>
        <v>0</v>
      </c>
      <c r="AN23" s="365">
        <f t="shared" si="16"/>
        <v>0</v>
      </c>
      <c r="AO23" s="365">
        <f t="shared" si="17"/>
        <v>0</v>
      </c>
      <c r="AP23" s="365">
        <f t="shared" si="18"/>
        <v>0</v>
      </c>
      <c r="AQ23" s="365">
        <f t="shared" si="19"/>
        <v>0</v>
      </c>
      <c r="AR23" s="365">
        <f t="shared" si="20"/>
        <v>0</v>
      </c>
      <c r="AS23" s="365">
        <f t="shared" si="21"/>
        <v>0</v>
      </c>
      <c r="AT23" s="365">
        <f t="shared" si="22"/>
        <v>0</v>
      </c>
      <c r="AU23" s="365">
        <f t="shared" si="23"/>
        <v>0</v>
      </c>
      <c r="AV23" s="365">
        <f t="shared" si="24"/>
        <v>0</v>
      </c>
      <c r="AW23" s="365">
        <f t="shared" si="25"/>
        <v>0</v>
      </c>
      <c r="AX23" s="365">
        <f t="shared" si="26"/>
        <v>0</v>
      </c>
      <c r="AY23" s="365">
        <f t="shared" si="27"/>
        <v>0</v>
      </c>
      <c r="AZ23" s="365">
        <f t="shared" si="28"/>
        <v>0</v>
      </c>
      <c r="BA23" s="365">
        <f t="shared" si="29"/>
        <v>0</v>
      </c>
      <c r="BB23" s="365">
        <f t="shared" si="12"/>
        <v>0</v>
      </c>
      <c r="BC23" s="365">
        <f t="shared" si="30"/>
        <v>0</v>
      </c>
      <c r="BD23" s="363"/>
      <c r="BE23">
        <v>24.5742</v>
      </c>
    </row>
    <row r="24" ht="24" spans="1:57">
      <c r="A24" s="284" t="s">
        <v>221</v>
      </c>
      <c r="B24" s="284" t="s">
        <v>199</v>
      </c>
      <c r="C24" s="284" t="s">
        <v>223</v>
      </c>
      <c r="D24" s="284" t="s">
        <v>213</v>
      </c>
      <c r="E24" s="365">
        <f t="shared" si="8"/>
        <v>61.3</v>
      </c>
      <c r="F24" s="365">
        <f t="shared" si="9"/>
        <v>40.82</v>
      </c>
      <c r="G24" s="365">
        <v>30.02</v>
      </c>
      <c r="H24" s="365"/>
      <c r="I24" s="365">
        <v>10.8</v>
      </c>
      <c r="J24" s="365"/>
      <c r="K24" s="365"/>
      <c r="L24" s="365">
        <f t="shared" si="10"/>
        <v>20.48</v>
      </c>
      <c r="M24" s="365">
        <v>6.48</v>
      </c>
      <c r="N24" s="365"/>
      <c r="O24" s="365"/>
      <c r="P24" s="365"/>
      <c r="Q24" s="365"/>
      <c r="R24" s="365"/>
      <c r="S24" s="365">
        <v>14</v>
      </c>
      <c r="T24" s="365">
        <f t="shared" si="5"/>
        <v>16.44</v>
      </c>
      <c r="U24" s="365">
        <f t="shared" si="13"/>
        <v>8.31</v>
      </c>
      <c r="V24" s="365">
        <v>7.02</v>
      </c>
      <c r="W24" s="365"/>
      <c r="X24" s="365">
        <v>1.29</v>
      </c>
      <c r="Y24" s="365"/>
      <c r="Z24" s="365"/>
      <c r="AA24" s="365">
        <f t="shared" si="14"/>
        <v>8.13</v>
      </c>
      <c r="AB24" s="365">
        <v>0.85</v>
      </c>
      <c r="AC24" s="365"/>
      <c r="AD24" s="365"/>
      <c r="AE24" s="365"/>
      <c r="AF24" s="365"/>
      <c r="AG24" s="365"/>
      <c r="AH24" s="365">
        <v>-14</v>
      </c>
      <c r="AI24" s="365">
        <v>9.93</v>
      </c>
      <c r="AJ24" s="365">
        <v>7</v>
      </c>
      <c r="AK24" s="365">
        <v>4.35</v>
      </c>
      <c r="AL24" s="365">
        <f t="shared" si="2"/>
        <v>77.74</v>
      </c>
      <c r="AM24" s="365">
        <f t="shared" si="15"/>
        <v>49.13</v>
      </c>
      <c r="AN24" s="365">
        <f t="shared" si="16"/>
        <v>37.04</v>
      </c>
      <c r="AO24" s="365">
        <f t="shared" si="17"/>
        <v>0</v>
      </c>
      <c r="AP24" s="365">
        <f t="shared" si="18"/>
        <v>12.09</v>
      </c>
      <c r="AQ24" s="365">
        <f t="shared" si="19"/>
        <v>0</v>
      </c>
      <c r="AR24" s="365">
        <f t="shared" si="20"/>
        <v>0</v>
      </c>
      <c r="AS24" s="365">
        <f t="shared" si="21"/>
        <v>28.61</v>
      </c>
      <c r="AT24" s="365">
        <f t="shared" si="22"/>
        <v>7.33</v>
      </c>
      <c r="AU24" s="365">
        <f t="shared" si="23"/>
        <v>0</v>
      </c>
      <c r="AV24" s="365">
        <f t="shared" si="24"/>
        <v>0</v>
      </c>
      <c r="AW24" s="365">
        <f t="shared" si="25"/>
        <v>0</v>
      </c>
      <c r="AX24" s="365">
        <f t="shared" si="26"/>
        <v>0</v>
      </c>
      <c r="AY24" s="365">
        <f t="shared" si="27"/>
        <v>0</v>
      </c>
      <c r="AZ24" s="365">
        <f t="shared" si="28"/>
        <v>0</v>
      </c>
      <c r="BA24" s="365">
        <f t="shared" si="29"/>
        <v>9.93</v>
      </c>
      <c r="BB24" s="365">
        <f t="shared" si="12"/>
        <v>7</v>
      </c>
      <c r="BC24" s="365">
        <f t="shared" si="30"/>
        <v>4.35</v>
      </c>
      <c r="BD24" s="363"/>
      <c r="BE24">
        <v>4.35</v>
      </c>
    </row>
    <row r="25" ht="24" spans="1:57">
      <c r="A25" s="284" t="s">
        <v>221</v>
      </c>
      <c r="B25" s="284" t="s">
        <v>199</v>
      </c>
      <c r="C25" s="284" t="s">
        <v>224</v>
      </c>
      <c r="D25" s="284" t="s">
        <v>213</v>
      </c>
      <c r="E25" s="365">
        <f t="shared" si="8"/>
        <v>77.26</v>
      </c>
      <c r="F25" s="365">
        <f t="shared" si="9"/>
        <v>51.27</v>
      </c>
      <c r="G25" s="365">
        <v>37.43</v>
      </c>
      <c r="H25" s="365"/>
      <c r="I25" s="365">
        <v>13.31</v>
      </c>
      <c r="J25" s="365"/>
      <c r="K25" s="365">
        <v>0.53</v>
      </c>
      <c r="L25" s="365">
        <f t="shared" si="10"/>
        <v>25.99</v>
      </c>
      <c r="M25" s="365">
        <v>7.99</v>
      </c>
      <c r="N25" s="365"/>
      <c r="O25" s="365"/>
      <c r="P25" s="365"/>
      <c r="Q25" s="365"/>
      <c r="R25" s="365"/>
      <c r="S25" s="365">
        <v>18</v>
      </c>
      <c r="T25" s="365">
        <f t="shared" si="5"/>
        <v>13.04</v>
      </c>
      <c r="U25" s="365">
        <f t="shared" si="13"/>
        <v>5.6</v>
      </c>
      <c r="V25" s="365">
        <v>5.6</v>
      </c>
      <c r="W25" s="365"/>
      <c r="X25" s="365"/>
      <c r="Y25" s="365"/>
      <c r="Z25" s="365"/>
      <c r="AA25" s="365">
        <f t="shared" si="14"/>
        <v>7.44</v>
      </c>
      <c r="AB25" s="365">
        <v>0.43</v>
      </c>
      <c r="AC25" s="365"/>
      <c r="AD25" s="365"/>
      <c r="AE25" s="365"/>
      <c r="AF25" s="365"/>
      <c r="AG25" s="365"/>
      <c r="AH25" s="365">
        <v>-18</v>
      </c>
      <c r="AI25" s="365">
        <v>11.01</v>
      </c>
      <c r="AJ25" s="365">
        <v>9</v>
      </c>
      <c r="AK25" s="365">
        <v>5</v>
      </c>
      <c r="AL25" s="365">
        <f t="shared" si="2"/>
        <v>90.3</v>
      </c>
      <c r="AM25" s="365">
        <f t="shared" si="15"/>
        <v>56.87</v>
      </c>
      <c r="AN25" s="365">
        <f t="shared" si="16"/>
        <v>43.03</v>
      </c>
      <c r="AO25" s="365">
        <f t="shared" si="17"/>
        <v>0</v>
      </c>
      <c r="AP25" s="365">
        <f t="shared" si="18"/>
        <v>13.31</v>
      </c>
      <c r="AQ25" s="365">
        <f t="shared" si="19"/>
        <v>0</v>
      </c>
      <c r="AR25" s="365">
        <f t="shared" si="20"/>
        <v>0.53</v>
      </c>
      <c r="AS25" s="365">
        <f t="shared" si="21"/>
        <v>33.43</v>
      </c>
      <c r="AT25" s="365">
        <f t="shared" si="22"/>
        <v>8.42</v>
      </c>
      <c r="AU25" s="365">
        <f t="shared" si="23"/>
        <v>0</v>
      </c>
      <c r="AV25" s="365">
        <f t="shared" si="24"/>
        <v>0</v>
      </c>
      <c r="AW25" s="365">
        <f t="shared" si="25"/>
        <v>0</v>
      </c>
      <c r="AX25" s="365">
        <f t="shared" si="26"/>
        <v>0</v>
      </c>
      <c r="AY25" s="365">
        <f t="shared" si="27"/>
        <v>0</v>
      </c>
      <c r="AZ25" s="365">
        <f t="shared" si="28"/>
        <v>0</v>
      </c>
      <c r="BA25" s="365">
        <f t="shared" si="29"/>
        <v>11.01</v>
      </c>
      <c r="BB25" s="365">
        <f t="shared" si="12"/>
        <v>9</v>
      </c>
      <c r="BC25" s="365">
        <f t="shared" si="30"/>
        <v>5</v>
      </c>
      <c r="BD25" s="363"/>
      <c r="BE25">
        <v>5</v>
      </c>
    </row>
    <row r="26" ht="24" spans="1:57">
      <c r="A26" s="284" t="s">
        <v>221</v>
      </c>
      <c r="B26" s="284" t="s">
        <v>199</v>
      </c>
      <c r="C26" s="284" t="s">
        <v>225</v>
      </c>
      <c r="D26" s="284" t="s">
        <v>213</v>
      </c>
      <c r="E26" s="365">
        <f t="shared" si="8"/>
        <v>167.68</v>
      </c>
      <c r="F26" s="365">
        <f t="shared" si="9"/>
        <v>115.88</v>
      </c>
      <c r="G26" s="365">
        <v>85.32</v>
      </c>
      <c r="H26" s="365">
        <v>0.45</v>
      </c>
      <c r="I26" s="365">
        <v>29.66</v>
      </c>
      <c r="J26" s="365"/>
      <c r="K26" s="365">
        <v>0.45</v>
      </c>
      <c r="L26" s="365">
        <f t="shared" si="10"/>
        <v>51.8</v>
      </c>
      <c r="M26" s="365">
        <v>17.8</v>
      </c>
      <c r="N26" s="365"/>
      <c r="O26" s="365"/>
      <c r="P26" s="365"/>
      <c r="Q26" s="365"/>
      <c r="R26" s="365"/>
      <c r="S26" s="366">
        <v>34</v>
      </c>
      <c r="T26" s="365">
        <f t="shared" si="5"/>
        <v>34.8717</v>
      </c>
      <c r="U26" s="365">
        <f t="shared" si="13"/>
        <v>16.44</v>
      </c>
      <c r="V26" s="365">
        <v>12.84</v>
      </c>
      <c r="W26" s="365"/>
      <c r="X26" s="365">
        <v>3.6</v>
      </c>
      <c r="Y26" s="365"/>
      <c r="Z26" s="365"/>
      <c r="AA26" s="365">
        <f t="shared" si="14"/>
        <v>18.4317</v>
      </c>
      <c r="AB26" s="366">
        <v>1.94</v>
      </c>
      <c r="AC26" s="366"/>
      <c r="AD26" s="366"/>
      <c r="AE26" s="366"/>
      <c r="AF26" s="366"/>
      <c r="AG26" s="366"/>
      <c r="AH26" s="365">
        <v>-34</v>
      </c>
      <c r="AI26" s="366">
        <v>26.7</v>
      </c>
      <c r="AJ26" s="366">
        <v>14</v>
      </c>
      <c r="AK26" s="365">
        <v>9.7917</v>
      </c>
      <c r="AL26" s="365">
        <f t="shared" si="2"/>
        <v>202.5517</v>
      </c>
      <c r="AM26" s="365">
        <f t="shared" si="15"/>
        <v>132.32</v>
      </c>
      <c r="AN26" s="365">
        <f t="shared" si="16"/>
        <v>98.16</v>
      </c>
      <c r="AO26" s="365">
        <f t="shared" si="17"/>
        <v>0.45</v>
      </c>
      <c r="AP26" s="365">
        <f t="shared" si="18"/>
        <v>33.26</v>
      </c>
      <c r="AQ26" s="365">
        <f t="shared" si="19"/>
        <v>0</v>
      </c>
      <c r="AR26" s="365">
        <f t="shared" si="20"/>
        <v>0.45</v>
      </c>
      <c r="AS26" s="365">
        <f t="shared" si="21"/>
        <v>70.2317</v>
      </c>
      <c r="AT26" s="365">
        <f t="shared" si="22"/>
        <v>19.74</v>
      </c>
      <c r="AU26" s="365">
        <f t="shared" si="23"/>
        <v>0</v>
      </c>
      <c r="AV26" s="365">
        <f t="shared" si="24"/>
        <v>0</v>
      </c>
      <c r="AW26" s="365">
        <f t="shared" si="25"/>
        <v>0</v>
      </c>
      <c r="AX26" s="365">
        <f t="shared" si="26"/>
        <v>0</v>
      </c>
      <c r="AY26" s="365">
        <f t="shared" si="27"/>
        <v>0</v>
      </c>
      <c r="AZ26" s="365">
        <f t="shared" si="28"/>
        <v>0</v>
      </c>
      <c r="BA26" s="365">
        <f t="shared" si="29"/>
        <v>26.7</v>
      </c>
      <c r="BB26" s="365">
        <f t="shared" si="12"/>
        <v>14</v>
      </c>
      <c r="BC26" s="365">
        <f t="shared" si="30"/>
        <v>9.7917</v>
      </c>
      <c r="BD26" s="363"/>
      <c r="BE26">
        <v>9.7917</v>
      </c>
    </row>
    <row r="27" ht="24" spans="1:57">
      <c r="A27" s="284" t="s">
        <v>221</v>
      </c>
      <c r="B27" s="284" t="s">
        <v>196</v>
      </c>
      <c r="C27" s="284" t="s">
        <v>226</v>
      </c>
      <c r="D27" s="284" t="s">
        <v>207</v>
      </c>
      <c r="E27" s="365">
        <f t="shared" si="8"/>
        <v>0</v>
      </c>
      <c r="F27" s="365">
        <f t="shared" si="9"/>
        <v>0</v>
      </c>
      <c r="G27" s="365"/>
      <c r="H27" s="365"/>
      <c r="I27" s="365"/>
      <c r="J27" s="365"/>
      <c r="K27" s="365"/>
      <c r="L27" s="365">
        <f t="shared" si="10"/>
        <v>0</v>
      </c>
      <c r="M27" s="365"/>
      <c r="N27" s="365"/>
      <c r="O27" s="365"/>
      <c r="P27" s="365"/>
      <c r="Q27" s="365"/>
      <c r="R27" s="365"/>
      <c r="S27" s="365"/>
      <c r="T27" s="365">
        <f t="shared" si="5"/>
        <v>0</v>
      </c>
      <c r="U27" s="365">
        <f t="shared" si="13"/>
        <v>0</v>
      </c>
      <c r="V27" s="365"/>
      <c r="W27" s="365"/>
      <c r="X27" s="365"/>
      <c r="Y27" s="365"/>
      <c r="Z27" s="365"/>
      <c r="AA27" s="365">
        <f t="shared" si="14"/>
        <v>0</v>
      </c>
      <c r="AB27" s="365"/>
      <c r="AC27" s="365"/>
      <c r="AD27" s="365"/>
      <c r="AE27" s="365"/>
      <c r="AF27" s="365"/>
      <c r="AG27" s="365"/>
      <c r="AH27" s="365">
        <v>0</v>
      </c>
      <c r="AI27" s="365"/>
      <c r="AJ27" s="365"/>
      <c r="AK27" s="365"/>
      <c r="AL27" s="365">
        <f t="shared" si="2"/>
        <v>0</v>
      </c>
      <c r="AM27" s="365">
        <f t="shared" si="15"/>
        <v>0</v>
      </c>
      <c r="AN27" s="365">
        <f t="shared" si="16"/>
        <v>0</v>
      </c>
      <c r="AO27" s="365">
        <f t="shared" si="17"/>
        <v>0</v>
      </c>
      <c r="AP27" s="365">
        <f t="shared" si="18"/>
        <v>0</v>
      </c>
      <c r="AQ27" s="365">
        <f t="shared" si="19"/>
        <v>0</v>
      </c>
      <c r="AR27" s="365">
        <f t="shared" si="20"/>
        <v>0</v>
      </c>
      <c r="AS27" s="365">
        <f t="shared" si="21"/>
        <v>0</v>
      </c>
      <c r="AT27" s="365">
        <f t="shared" si="22"/>
        <v>0</v>
      </c>
      <c r="AU27" s="365">
        <f t="shared" si="23"/>
        <v>0</v>
      </c>
      <c r="AV27" s="365">
        <f t="shared" si="24"/>
        <v>0</v>
      </c>
      <c r="AW27" s="365">
        <f t="shared" si="25"/>
        <v>0</v>
      </c>
      <c r="AX27" s="365">
        <f t="shared" si="26"/>
        <v>0</v>
      </c>
      <c r="AY27" s="365">
        <f t="shared" si="27"/>
        <v>0</v>
      </c>
      <c r="AZ27" s="365">
        <f t="shared" si="28"/>
        <v>0</v>
      </c>
      <c r="BA27" s="365">
        <f t="shared" si="29"/>
        <v>0</v>
      </c>
      <c r="BB27" s="365">
        <f t="shared" si="12"/>
        <v>0</v>
      </c>
      <c r="BC27" s="365">
        <f t="shared" si="30"/>
        <v>0</v>
      </c>
      <c r="BD27" s="363"/>
      <c r="BE27">
        <v>30.6028</v>
      </c>
    </row>
    <row r="28" ht="24" spans="1:57">
      <c r="A28" s="284" t="s">
        <v>221</v>
      </c>
      <c r="B28" s="284" t="s">
        <v>199</v>
      </c>
      <c r="C28" s="284" t="s">
        <v>227</v>
      </c>
      <c r="D28" s="284" t="s">
        <v>213</v>
      </c>
      <c r="E28" s="365">
        <f t="shared" si="8"/>
        <v>31.05</v>
      </c>
      <c r="F28" s="365">
        <f t="shared" si="9"/>
        <v>20.58</v>
      </c>
      <c r="G28" s="365">
        <v>14.08</v>
      </c>
      <c r="H28" s="365"/>
      <c r="I28" s="365">
        <v>5.78</v>
      </c>
      <c r="J28" s="365">
        <v>0.72</v>
      </c>
      <c r="K28" s="365"/>
      <c r="L28" s="365">
        <f t="shared" si="10"/>
        <v>10.47</v>
      </c>
      <c r="M28" s="365">
        <v>3.47</v>
      </c>
      <c r="N28" s="365"/>
      <c r="O28" s="365"/>
      <c r="P28" s="365"/>
      <c r="Q28" s="365"/>
      <c r="R28" s="365"/>
      <c r="S28" s="365">
        <v>7</v>
      </c>
      <c r="T28" s="365">
        <f t="shared" si="5"/>
        <v>12.17</v>
      </c>
      <c r="U28" s="365">
        <f t="shared" si="13"/>
        <v>6.87</v>
      </c>
      <c r="V28" s="365">
        <v>5.11</v>
      </c>
      <c r="W28" s="365"/>
      <c r="X28" s="365">
        <v>1.32</v>
      </c>
      <c r="Y28" s="365">
        <v>0.44</v>
      </c>
      <c r="Z28" s="365"/>
      <c r="AA28" s="365">
        <f t="shared" si="14"/>
        <v>5.3</v>
      </c>
      <c r="AB28" s="365">
        <v>0.84</v>
      </c>
      <c r="AC28" s="365"/>
      <c r="AD28" s="365"/>
      <c r="AE28" s="365"/>
      <c r="AF28" s="365"/>
      <c r="AG28" s="365"/>
      <c r="AH28" s="365">
        <v>-7</v>
      </c>
      <c r="AI28" s="365">
        <v>5.61</v>
      </c>
      <c r="AJ28" s="365">
        <v>3</v>
      </c>
      <c r="AK28" s="365">
        <v>2.85</v>
      </c>
      <c r="AL28" s="365">
        <f t="shared" si="2"/>
        <v>43.22</v>
      </c>
      <c r="AM28" s="365">
        <f t="shared" si="15"/>
        <v>27.45</v>
      </c>
      <c r="AN28" s="365">
        <f t="shared" si="16"/>
        <v>19.19</v>
      </c>
      <c r="AO28" s="365">
        <f t="shared" si="17"/>
        <v>0</v>
      </c>
      <c r="AP28" s="365">
        <f t="shared" si="18"/>
        <v>7.1</v>
      </c>
      <c r="AQ28" s="365">
        <f t="shared" si="19"/>
        <v>1.16</v>
      </c>
      <c r="AR28" s="365">
        <f t="shared" si="20"/>
        <v>0</v>
      </c>
      <c r="AS28" s="365">
        <f t="shared" si="21"/>
        <v>15.77</v>
      </c>
      <c r="AT28" s="365">
        <f t="shared" si="22"/>
        <v>4.31</v>
      </c>
      <c r="AU28" s="365">
        <f t="shared" si="23"/>
        <v>0</v>
      </c>
      <c r="AV28" s="365">
        <f t="shared" si="24"/>
        <v>0</v>
      </c>
      <c r="AW28" s="365">
        <f t="shared" si="25"/>
        <v>0</v>
      </c>
      <c r="AX28" s="365">
        <f t="shared" si="26"/>
        <v>0</v>
      </c>
      <c r="AY28" s="365">
        <f t="shared" si="27"/>
        <v>0</v>
      </c>
      <c r="AZ28" s="365">
        <f t="shared" si="28"/>
        <v>0</v>
      </c>
      <c r="BA28" s="365">
        <f t="shared" si="29"/>
        <v>5.61</v>
      </c>
      <c r="BB28" s="365">
        <f t="shared" si="12"/>
        <v>3</v>
      </c>
      <c r="BC28" s="365">
        <f t="shared" si="30"/>
        <v>2.85</v>
      </c>
      <c r="BD28" s="363"/>
      <c r="BE28">
        <v>2.85</v>
      </c>
    </row>
    <row r="29" ht="24" spans="1:57">
      <c r="A29" s="284" t="s">
        <v>221</v>
      </c>
      <c r="B29" s="284" t="s">
        <v>199</v>
      </c>
      <c r="C29" s="284" t="s">
        <v>228</v>
      </c>
      <c r="D29" s="284" t="s">
        <v>213</v>
      </c>
      <c r="E29" s="365">
        <f t="shared" si="8"/>
        <v>51.67</v>
      </c>
      <c r="F29" s="365">
        <f t="shared" si="9"/>
        <v>33.36</v>
      </c>
      <c r="G29" s="365">
        <v>22.83</v>
      </c>
      <c r="H29" s="365"/>
      <c r="I29" s="365">
        <v>8.85</v>
      </c>
      <c r="J29" s="365">
        <v>1.68</v>
      </c>
      <c r="K29" s="365"/>
      <c r="L29" s="365">
        <f t="shared" si="10"/>
        <v>18.31</v>
      </c>
      <c r="M29" s="365">
        <v>5.31</v>
      </c>
      <c r="N29" s="365"/>
      <c r="O29" s="365"/>
      <c r="P29" s="365"/>
      <c r="Q29" s="365"/>
      <c r="R29" s="365"/>
      <c r="S29" s="365">
        <v>13</v>
      </c>
      <c r="T29" s="365">
        <f t="shared" si="5"/>
        <v>7.72</v>
      </c>
      <c r="U29" s="365">
        <f t="shared" si="13"/>
        <v>3.69</v>
      </c>
      <c r="V29" s="365">
        <v>3.19</v>
      </c>
      <c r="W29" s="365"/>
      <c r="X29" s="365">
        <v>0.5</v>
      </c>
      <c r="Y29" s="365"/>
      <c r="Z29" s="365"/>
      <c r="AA29" s="365">
        <f t="shared" si="14"/>
        <v>4.03</v>
      </c>
      <c r="AB29" s="365">
        <v>0.26</v>
      </c>
      <c r="AC29" s="365"/>
      <c r="AD29" s="365"/>
      <c r="AE29" s="365"/>
      <c r="AF29" s="365"/>
      <c r="AG29" s="365"/>
      <c r="AH29" s="365">
        <v>-13</v>
      </c>
      <c r="AI29" s="365">
        <v>7.77</v>
      </c>
      <c r="AJ29" s="365">
        <v>6</v>
      </c>
      <c r="AK29" s="365">
        <v>3</v>
      </c>
      <c r="AL29" s="365">
        <f t="shared" si="2"/>
        <v>59.39</v>
      </c>
      <c r="AM29" s="365">
        <f t="shared" si="15"/>
        <v>37.05</v>
      </c>
      <c r="AN29" s="365">
        <f t="shared" si="16"/>
        <v>26.02</v>
      </c>
      <c r="AO29" s="365">
        <f t="shared" si="17"/>
        <v>0</v>
      </c>
      <c r="AP29" s="365">
        <f t="shared" si="18"/>
        <v>9.35</v>
      </c>
      <c r="AQ29" s="365">
        <f t="shared" si="19"/>
        <v>1.68</v>
      </c>
      <c r="AR29" s="365">
        <f t="shared" si="20"/>
        <v>0</v>
      </c>
      <c r="AS29" s="365">
        <f t="shared" si="21"/>
        <v>22.34</v>
      </c>
      <c r="AT29" s="365">
        <f t="shared" si="22"/>
        <v>5.57</v>
      </c>
      <c r="AU29" s="365">
        <f t="shared" si="23"/>
        <v>0</v>
      </c>
      <c r="AV29" s="365">
        <f t="shared" si="24"/>
        <v>0</v>
      </c>
      <c r="AW29" s="365">
        <f t="shared" si="25"/>
        <v>0</v>
      </c>
      <c r="AX29" s="365">
        <f t="shared" si="26"/>
        <v>0</v>
      </c>
      <c r="AY29" s="365">
        <f t="shared" si="27"/>
        <v>0</v>
      </c>
      <c r="AZ29" s="365">
        <f t="shared" si="28"/>
        <v>0</v>
      </c>
      <c r="BA29" s="365">
        <f t="shared" si="29"/>
        <v>7.77</v>
      </c>
      <c r="BB29" s="365">
        <f t="shared" si="12"/>
        <v>6</v>
      </c>
      <c r="BC29" s="365">
        <f t="shared" si="30"/>
        <v>3</v>
      </c>
      <c r="BD29" s="363"/>
      <c r="BE29">
        <v>3</v>
      </c>
    </row>
    <row r="30" ht="24" spans="1:57">
      <c r="A30" s="284" t="s">
        <v>221</v>
      </c>
      <c r="B30" s="284" t="s">
        <v>199</v>
      </c>
      <c r="C30" s="284" t="s">
        <v>229</v>
      </c>
      <c r="D30" s="284" t="s">
        <v>213</v>
      </c>
      <c r="E30" s="365">
        <f t="shared" si="8"/>
        <v>274.63</v>
      </c>
      <c r="F30" s="365">
        <f t="shared" si="9"/>
        <v>192.5</v>
      </c>
      <c r="G30" s="365">
        <v>138.15</v>
      </c>
      <c r="H30" s="365"/>
      <c r="I30" s="365">
        <v>46.89</v>
      </c>
      <c r="J30" s="365">
        <v>7.2</v>
      </c>
      <c r="K30" s="365">
        <v>0.26</v>
      </c>
      <c r="L30" s="365">
        <f t="shared" si="10"/>
        <v>82.13</v>
      </c>
      <c r="M30" s="365">
        <v>28.13</v>
      </c>
      <c r="N30" s="365"/>
      <c r="O30" s="365"/>
      <c r="P30" s="365"/>
      <c r="Q30" s="365"/>
      <c r="R30" s="365"/>
      <c r="S30" s="365">
        <v>54</v>
      </c>
      <c r="T30" s="365">
        <f t="shared" si="5"/>
        <v>41.8283</v>
      </c>
      <c r="U30" s="365">
        <f t="shared" si="13"/>
        <v>17.37</v>
      </c>
      <c r="V30" s="365">
        <v>12.29</v>
      </c>
      <c r="W30" s="365"/>
      <c r="X30" s="365">
        <v>4.28</v>
      </c>
      <c r="Y30" s="365">
        <v>0.18</v>
      </c>
      <c r="Z30" s="365">
        <v>0.62</v>
      </c>
      <c r="AA30" s="365">
        <f t="shared" si="14"/>
        <v>24.4583</v>
      </c>
      <c r="AB30" s="365">
        <v>0.2</v>
      </c>
      <c r="AC30" s="365"/>
      <c r="AD30" s="365"/>
      <c r="AE30" s="365"/>
      <c r="AF30" s="365"/>
      <c r="AG30" s="365"/>
      <c r="AH30" s="365">
        <v>-54</v>
      </c>
      <c r="AI30" s="365">
        <v>37.35</v>
      </c>
      <c r="AJ30" s="365">
        <v>25</v>
      </c>
      <c r="AK30" s="365">
        <v>15.9083</v>
      </c>
      <c r="AL30" s="365">
        <f t="shared" si="2"/>
        <v>316.4583</v>
      </c>
      <c r="AM30" s="365">
        <f t="shared" si="15"/>
        <v>209.87</v>
      </c>
      <c r="AN30" s="365">
        <f t="shared" si="16"/>
        <v>150.44</v>
      </c>
      <c r="AO30" s="365">
        <f t="shared" si="17"/>
        <v>0</v>
      </c>
      <c r="AP30" s="365">
        <f t="shared" si="18"/>
        <v>51.17</v>
      </c>
      <c r="AQ30" s="365">
        <f t="shared" si="19"/>
        <v>7.38</v>
      </c>
      <c r="AR30" s="365">
        <f t="shared" si="20"/>
        <v>0.88</v>
      </c>
      <c r="AS30" s="365">
        <f t="shared" si="21"/>
        <v>106.5883</v>
      </c>
      <c r="AT30" s="365">
        <f t="shared" si="22"/>
        <v>28.33</v>
      </c>
      <c r="AU30" s="365">
        <f t="shared" si="23"/>
        <v>0</v>
      </c>
      <c r="AV30" s="365">
        <f t="shared" si="24"/>
        <v>0</v>
      </c>
      <c r="AW30" s="365">
        <f t="shared" si="25"/>
        <v>0</v>
      </c>
      <c r="AX30" s="365">
        <f t="shared" si="26"/>
        <v>0</v>
      </c>
      <c r="AY30" s="365">
        <f t="shared" si="27"/>
        <v>0</v>
      </c>
      <c r="AZ30" s="365">
        <f t="shared" si="28"/>
        <v>0</v>
      </c>
      <c r="BA30" s="365">
        <f t="shared" si="29"/>
        <v>37.35</v>
      </c>
      <c r="BB30" s="365">
        <f t="shared" si="12"/>
        <v>25</v>
      </c>
      <c r="BC30" s="365">
        <f t="shared" si="30"/>
        <v>15.9083</v>
      </c>
      <c r="BD30" s="363"/>
      <c r="BE30">
        <v>15.9083</v>
      </c>
    </row>
    <row r="31" ht="24" spans="1:57">
      <c r="A31" s="284" t="s">
        <v>221</v>
      </c>
      <c r="B31" s="284" t="s">
        <v>196</v>
      </c>
      <c r="C31" s="284" t="s">
        <v>230</v>
      </c>
      <c r="D31" s="284" t="s">
        <v>207</v>
      </c>
      <c r="E31" s="365">
        <f t="shared" si="8"/>
        <v>0</v>
      </c>
      <c r="F31" s="365">
        <f t="shared" si="9"/>
        <v>0</v>
      </c>
      <c r="G31" s="365"/>
      <c r="H31" s="365"/>
      <c r="I31" s="365"/>
      <c r="J31" s="365"/>
      <c r="K31" s="365"/>
      <c r="L31" s="365">
        <f t="shared" si="10"/>
        <v>0</v>
      </c>
      <c r="M31" s="365"/>
      <c r="N31" s="365"/>
      <c r="O31" s="365"/>
      <c r="P31" s="365"/>
      <c r="Q31" s="365"/>
      <c r="R31" s="365"/>
      <c r="S31" s="365"/>
      <c r="T31" s="365">
        <f t="shared" si="5"/>
        <v>0</v>
      </c>
      <c r="U31" s="365">
        <f t="shared" si="13"/>
        <v>0</v>
      </c>
      <c r="V31" s="365"/>
      <c r="W31" s="365"/>
      <c r="X31" s="365"/>
      <c r="Y31" s="365"/>
      <c r="Z31" s="365"/>
      <c r="AA31" s="365">
        <f t="shared" si="14"/>
        <v>0</v>
      </c>
      <c r="AB31" s="365"/>
      <c r="AC31" s="365"/>
      <c r="AD31" s="365"/>
      <c r="AE31" s="365"/>
      <c r="AF31" s="365"/>
      <c r="AG31" s="365"/>
      <c r="AH31" s="365">
        <v>0</v>
      </c>
      <c r="AI31" s="365"/>
      <c r="AJ31" s="365"/>
      <c r="AK31" s="365"/>
      <c r="AL31" s="365">
        <f t="shared" si="2"/>
        <v>0</v>
      </c>
      <c r="AM31" s="365">
        <f t="shared" si="15"/>
        <v>0</v>
      </c>
      <c r="AN31" s="365">
        <f t="shared" si="16"/>
        <v>0</v>
      </c>
      <c r="AO31" s="365">
        <f t="shared" si="17"/>
        <v>0</v>
      </c>
      <c r="AP31" s="365">
        <f t="shared" si="18"/>
        <v>0</v>
      </c>
      <c r="AQ31" s="365">
        <f t="shared" si="19"/>
        <v>0</v>
      </c>
      <c r="AR31" s="365">
        <f t="shared" si="20"/>
        <v>0</v>
      </c>
      <c r="AS31" s="365">
        <f t="shared" si="21"/>
        <v>0</v>
      </c>
      <c r="AT31" s="365">
        <f t="shared" si="22"/>
        <v>0</v>
      </c>
      <c r="AU31" s="365">
        <f t="shared" si="23"/>
        <v>0</v>
      </c>
      <c r="AV31" s="365">
        <f t="shared" si="24"/>
        <v>0</v>
      </c>
      <c r="AW31" s="365">
        <f t="shared" si="25"/>
        <v>0</v>
      </c>
      <c r="AX31" s="365">
        <f t="shared" si="26"/>
        <v>0</v>
      </c>
      <c r="AY31" s="365">
        <f t="shared" si="27"/>
        <v>0</v>
      </c>
      <c r="AZ31" s="365">
        <f t="shared" si="28"/>
        <v>0</v>
      </c>
      <c r="BA31" s="365">
        <f t="shared" si="29"/>
        <v>0</v>
      </c>
      <c r="BB31" s="365">
        <f t="shared" si="12"/>
        <v>0</v>
      </c>
      <c r="BC31" s="365">
        <f t="shared" si="30"/>
        <v>0</v>
      </c>
      <c r="BD31" s="363"/>
      <c r="BE31">
        <v>17.3164</v>
      </c>
    </row>
    <row r="32" ht="24" spans="1:57">
      <c r="A32" s="284" t="s">
        <v>221</v>
      </c>
      <c r="B32" s="284" t="s">
        <v>199</v>
      </c>
      <c r="C32" s="284" t="s">
        <v>231</v>
      </c>
      <c r="D32" s="284" t="s">
        <v>213</v>
      </c>
      <c r="E32" s="365">
        <f t="shared" si="8"/>
        <v>52.19</v>
      </c>
      <c r="F32" s="365">
        <f t="shared" si="9"/>
        <v>31.08</v>
      </c>
      <c r="G32" s="365">
        <v>21.13</v>
      </c>
      <c r="H32" s="365"/>
      <c r="I32" s="365">
        <v>8.51</v>
      </c>
      <c r="J32" s="365">
        <v>1.44</v>
      </c>
      <c r="K32" s="365"/>
      <c r="L32" s="365">
        <f t="shared" si="10"/>
        <v>21.11</v>
      </c>
      <c r="M32" s="365">
        <v>5.11</v>
      </c>
      <c r="N32" s="365"/>
      <c r="O32" s="365"/>
      <c r="P32" s="365"/>
      <c r="Q32" s="365"/>
      <c r="R32" s="365"/>
      <c r="S32" s="365">
        <v>16</v>
      </c>
      <c r="T32" s="365">
        <f t="shared" si="5"/>
        <v>-4.88</v>
      </c>
      <c r="U32" s="365">
        <f t="shared" si="13"/>
        <v>-3.04</v>
      </c>
      <c r="V32" s="365">
        <v>-2.8</v>
      </c>
      <c r="W32" s="365"/>
      <c r="X32" s="365"/>
      <c r="Y32" s="365">
        <v>-0.24</v>
      </c>
      <c r="Z32" s="365"/>
      <c r="AA32" s="365">
        <f t="shared" si="14"/>
        <v>-1.84</v>
      </c>
      <c r="AB32" s="365"/>
      <c r="AC32" s="365"/>
      <c r="AD32" s="365"/>
      <c r="AE32" s="365"/>
      <c r="AF32" s="365"/>
      <c r="AG32" s="365"/>
      <c r="AH32" s="365">
        <v>-16</v>
      </c>
      <c r="AI32" s="365">
        <v>5.31</v>
      </c>
      <c r="AJ32" s="365">
        <v>6</v>
      </c>
      <c r="AK32" s="365">
        <v>2.85</v>
      </c>
      <c r="AL32" s="365">
        <f t="shared" si="2"/>
        <v>47.31</v>
      </c>
      <c r="AM32" s="365">
        <f t="shared" si="15"/>
        <v>28.04</v>
      </c>
      <c r="AN32" s="365">
        <f t="shared" si="16"/>
        <v>18.33</v>
      </c>
      <c r="AO32" s="365">
        <f t="shared" si="17"/>
        <v>0</v>
      </c>
      <c r="AP32" s="365">
        <f t="shared" si="18"/>
        <v>8.51</v>
      </c>
      <c r="AQ32" s="365">
        <f t="shared" si="19"/>
        <v>1.2</v>
      </c>
      <c r="AR32" s="365">
        <f t="shared" si="20"/>
        <v>0</v>
      </c>
      <c r="AS32" s="365">
        <f t="shared" si="21"/>
        <v>19.27</v>
      </c>
      <c r="AT32" s="365">
        <f t="shared" si="22"/>
        <v>5.11</v>
      </c>
      <c r="AU32" s="365">
        <f t="shared" si="23"/>
        <v>0</v>
      </c>
      <c r="AV32" s="365">
        <f t="shared" si="24"/>
        <v>0</v>
      </c>
      <c r="AW32" s="365">
        <f t="shared" si="25"/>
        <v>0</v>
      </c>
      <c r="AX32" s="365">
        <f t="shared" si="26"/>
        <v>0</v>
      </c>
      <c r="AY32" s="365">
        <f t="shared" si="27"/>
        <v>0</v>
      </c>
      <c r="AZ32" s="365">
        <f t="shared" si="28"/>
        <v>0</v>
      </c>
      <c r="BA32" s="365">
        <f t="shared" si="29"/>
        <v>5.31</v>
      </c>
      <c r="BB32" s="365">
        <f t="shared" si="12"/>
        <v>6</v>
      </c>
      <c r="BC32" s="365">
        <f t="shared" si="30"/>
        <v>2.85</v>
      </c>
      <c r="BD32" s="363"/>
      <c r="BE32">
        <v>2.85</v>
      </c>
    </row>
    <row r="33" ht="24" spans="1:57">
      <c r="A33" s="284" t="s">
        <v>221</v>
      </c>
      <c r="B33" s="284" t="s">
        <v>199</v>
      </c>
      <c r="C33" s="284" t="s">
        <v>232</v>
      </c>
      <c r="D33" s="284" t="s">
        <v>213</v>
      </c>
      <c r="E33" s="365">
        <f t="shared" si="8"/>
        <v>71.43</v>
      </c>
      <c r="F33" s="365">
        <f t="shared" si="9"/>
        <v>42.85</v>
      </c>
      <c r="G33" s="365">
        <v>29.7</v>
      </c>
      <c r="H33" s="365"/>
      <c r="I33" s="365">
        <v>10.97</v>
      </c>
      <c r="J33" s="365">
        <v>1.92</v>
      </c>
      <c r="K33" s="365">
        <v>0.26</v>
      </c>
      <c r="L33" s="365">
        <f t="shared" si="10"/>
        <v>28.58</v>
      </c>
      <c r="M33" s="365">
        <v>6.58</v>
      </c>
      <c r="N33" s="365"/>
      <c r="O33" s="365"/>
      <c r="P33" s="365"/>
      <c r="Q33" s="365"/>
      <c r="R33" s="365"/>
      <c r="S33" s="365">
        <v>22</v>
      </c>
      <c r="T33" s="365">
        <f t="shared" si="5"/>
        <v>-2.69</v>
      </c>
      <c r="U33" s="365">
        <f t="shared" si="13"/>
        <v>-0.24</v>
      </c>
      <c r="V33" s="365">
        <v>-0.75</v>
      </c>
      <c r="W33" s="365"/>
      <c r="X33" s="365">
        <v>0.4</v>
      </c>
      <c r="Y33" s="365">
        <v>-0.2</v>
      </c>
      <c r="Z33" s="365">
        <v>0.31</v>
      </c>
      <c r="AA33" s="365">
        <f t="shared" si="14"/>
        <v>-2.45</v>
      </c>
      <c r="AB33" s="365"/>
      <c r="AC33" s="365"/>
      <c r="AD33" s="365"/>
      <c r="AE33" s="365"/>
      <c r="AF33" s="365"/>
      <c r="AG33" s="365"/>
      <c r="AH33" s="365">
        <v>-22</v>
      </c>
      <c r="AI33" s="365">
        <v>8.55</v>
      </c>
      <c r="AJ33" s="365">
        <v>7</v>
      </c>
      <c r="AK33" s="365">
        <v>4</v>
      </c>
      <c r="AL33" s="365">
        <f t="shared" si="2"/>
        <v>68.74</v>
      </c>
      <c r="AM33" s="365">
        <f t="shared" si="15"/>
        <v>42.61</v>
      </c>
      <c r="AN33" s="365">
        <f t="shared" si="16"/>
        <v>28.95</v>
      </c>
      <c r="AO33" s="365">
        <f t="shared" si="17"/>
        <v>0</v>
      </c>
      <c r="AP33" s="365">
        <f t="shared" si="18"/>
        <v>11.37</v>
      </c>
      <c r="AQ33" s="365">
        <f t="shared" si="19"/>
        <v>1.72</v>
      </c>
      <c r="AR33" s="365">
        <f t="shared" si="20"/>
        <v>0.57</v>
      </c>
      <c r="AS33" s="365">
        <f t="shared" si="21"/>
        <v>26.13</v>
      </c>
      <c r="AT33" s="365">
        <f t="shared" si="22"/>
        <v>6.58</v>
      </c>
      <c r="AU33" s="365">
        <f t="shared" si="23"/>
        <v>0</v>
      </c>
      <c r="AV33" s="365">
        <f t="shared" si="24"/>
        <v>0</v>
      </c>
      <c r="AW33" s="365">
        <f t="shared" si="25"/>
        <v>0</v>
      </c>
      <c r="AX33" s="365">
        <f t="shared" si="26"/>
        <v>0</v>
      </c>
      <c r="AY33" s="365">
        <f t="shared" si="27"/>
        <v>0</v>
      </c>
      <c r="AZ33" s="365">
        <f t="shared" si="28"/>
        <v>0</v>
      </c>
      <c r="BA33" s="365">
        <f t="shared" si="29"/>
        <v>8.55</v>
      </c>
      <c r="BB33" s="365">
        <f t="shared" si="12"/>
        <v>7</v>
      </c>
      <c r="BC33" s="365">
        <f t="shared" si="30"/>
        <v>4</v>
      </c>
      <c r="BD33" s="363"/>
      <c r="BE33">
        <v>4</v>
      </c>
    </row>
    <row r="34" ht="24" spans="1:57">
      <c r="A34" s="284" t="s">
        <v>221</v>
      </c>
      <c r="B34" s="284" t="s">
        <v>199</v>
      </c>
      <c r="C34" s="284" t="s">
        <v>233</v>
      </c>
      <c r="D34" s="284" t="s">
        <v>213</v>
      </c>
      <c r="E34" s="365">
        <f t="shared" si="8"/>
        <v>189.67</v>
      </c>
      <c r="F34" s="365">
        <f t="shared" si="9"/>
        <v>114.2</v>
      </c>
      <c r="G34" s="365">
        <v>77.73</v>
      </c>
      <c r="H34" s="365"/>
      <c r="I34" s="365">
        <v>30.78</v>
      </c>
      <c r="J34" s="365">
        <v>4.8</v>
      </c>
      <c r="K34" s="365">
        <v>0.89</v>
      </c>
      <c r="L34" s="365">
        <f t="shared" si="10"/>
        <v>75.47</v>
      </c>
      <c r="M34" s="365">
        <v>18.47</v>
      </c>
      <c r="N34" s="365"/>
      <c r="O34" s="365"/>
      <c r="P34" s="365"/>
      <c r="Q34" s="365"/>
      <c r="R34" s="365"/>
      <c r="S34" s="365">
        <v>57</v>
      </c>
      <c r="T34" s="365">
        <f t="shared" si="5"/>
        <v>11.8934</v>
      </c>
      <c r="U34" s="365">
        <f t="shared" si="13"/>
        <v>12.97</v>
      </c>
      <c r="V34" s="365">
        <v>12.4</v>
      </c>
      <c r="W34" s="365"/>
      <c r="X34" s="365">
        <v>0.31</v>
      </c>
      <c r="Y34" s="365">
        <v>0.26</v>
      </c>
      <c r="Z34" s="365"/>
      <c r="AA34" s="365">
        <f t="shared" si="14"/>
        <v>-1.0766</v>
      </c>
      <c r="AB34" s="365">
        <v>1.74</v>
      </c>
      <c r="AC34" s="365"/>
      <c r="AD34" s="365"/>
      <c r="AE34" s="365"/>
      <c r="AF34" s="365"/>
      <c r="AG34" s="365"/>
      <c r="AH34" s="365">
        <v>-57</v>
      </c>
      <c r="AI34" s="365">
        <v>26.25</v>
      </c>
      <c r="AJ34" s="365">
        <v>17</v>
      </c>
      <c r="AK34" s="365">
        <v>10.9334</v>
      </c>
      <c r="AL34" s="365">
        <f t="shared" si="2"/>
        <v>201.5634</v>
      </c>
      <c r="AM34" s="365">
        <f t="shared" si="15"/>
        <v>127.17</v>
      </c>
      <c r="AN34" s="365">
        <f t="shared" si="16"/>
        <v>90.13</v>
      </c>
      <c r="AO34" s="365">
        <f t="shared" si="17"/>
        <v>0</v>
      </c>
      <c r="AP34" s="365">
        <f t="shared" si="18"/>
        <v>31.09</v>
      </c>
      <c r="AQ34" s="365">
        <f t="shared" si="19"/>
        <v>5.06</v>
      </c>
      <c r="AR34" s="365">
        <f t="shared" si="20"/>
        <v>0.89</v>
      </c>
      <c r="AS34" s="365">
        <f t="shared" si="21"/>
        <v>74.3934</v>
      </c>
      <c r="AT34" s="365">
        <f t="shared" si="22"/>
        <v>20.21</v>
      </c>
      <c r="AU34" s="365">
        <f t="shared" si="23"/>
        <v>0</v>
      </c>
      <c r="AV34" s="365">
        <f t="shared" si="24"/>
        <v>0</v>
      </c>
      <c r="AW34" s="365">
        <f t="shared" si="25"/>
        <v>0</v>
      </c>
      <c r="AX34" s="365">
        <f t="shared" si="26"/>
        <v>0</v>
      </c>
      <c r="AY34" s="365">
        <f t="shared" si="27"/>
        <v>0</v>
      </c>
      <c r="AZ34" s="365">
        <f t="shared" si="28"/>
        <v>0</v>
      </c>
      <c r="BA34" s="365">
        <f t="shared" si="29"/>
        <v>26.25</v>
      </c>
      <c r="BB34" s="365">
        <f t="shared" si="12"/>
        <v>17</v>
      </c>
      <c r="BC34" s="365">
        <f t="shared" si="30"/>
        <v>10.9334</v>
      </c>
      <c r="BD34" s="363"/>
      <c r="BE34">
        <v>10.9334</v>
      </c>
    </row>
    <row r="35" ht="24" spans="1:57">
      <c r="A35" s="284" t="s">
        <v>221</v>
      </c>
      <c r="B35" s="284" t="s">
        <v>196</v>
      </c>
      <c r="C35" s="284" t="s">
        <v>234</v>
      </c>
      <c r="D35" s="284" t="s">
        <v>207</v>
      </c>
      <c r="E35" s="365">
        <f t="shared" si="8"/>
        <v>0</v>
      </c>
      <c r="F35" s="365">
        <f t="shared" si="9"/>
        <v>0</v>
      </c>
      <c r="G35" s="365"/>
      <c r="H35" s="365"/>
      <c r="I35" s="365"/>
      <c r="J35" s="365"/>
      <c r="K35" s="365"/>
      <c r="L35" s="365">
        <f t="shared" si="10"/>
        <v>0</v>
      </c>
      <c r="M35" s="365"/>
      <c r="N35" s="365"/>
      <c r="O35" s="365"/>
      <c r="P35" s="365"/>
      <c r="Q35" s="365"/>
      <c r="R35" s="365"/>
      <c r="S35" s="365"/>
      <c r="T35" s="365">
        <f t="shared" si="5"/>
        <v>0</v>
      </c>
      <c r="U35" s="365">
        <f t="shared" si="13"/>
        <v>0</v>
      </c>
      <c r="V35" s="365"/>
      <c r="W35" s="365"/>
      <c r="X35" s="365"/>
      <c r="Y35" s="365"/>
      <c r="Z35" s="365"/>
      <c r="AA35" s="365">
        <f t="shared" si="14"/>
        <v>0</v>
      </c>
      <c r="AB35" s="365"/>
      <c r="AC35" s="365"/>
      <c r="AD35" s="365"/>
      <c r="AE35" s="365"/>
      <c r="AF35" s="365"/>
      <c r="AG35" s="365"/>
      <c r="AH35" s="365">
        <v>0</v>
      </c>
      <c r="AI35" s="365"/>
      <c r="AJ35" s="365"/>
      <c r="AK35" s="365"/>
      <c r="AL35" s="365">
        <f t="shared" si="2"/>
        <v>0</v>
      </c>
      <c r="AM35" s="365">
        <f t="shared" si="15"/>
        <v>0</v>
      </c>
      <c r="AN35" s="365">
        <f t="shared" si="16"/>
        <v>0</v>
      </c>
      <c r="AO35" s="365">
        <f t="shared" si="17"/>
        <v>0</v>
      </c>
      <c r="AP35" s="365">
        <f t="shared" si="18"/>
        <v>0</v>
      </c>
      <c r="AQ35" s="365">
        <f t="shared" si="19"/>
        <v>0</v>
      </c>
      <c r="AR35" s="365">
        <f t="shared" si="20"/>
        <v>0</v>
      </c>
      <c r="AS35" s="365">
        <f t="shared" si="21"/>
        <v>0</v>
      </c>
      <c r="AT35" s="365">
        <f t="shared" si="22"/>
        <v>0</v>
      </c>
      <c r="AU35" s="365">
        <f t="shared" si="23"/>
        <v>0</v>
      </c>
      <c r="AV35" s="365">
        <f t="shared" si="24"/>
        <v>0</v>
      </c>
      <c r="AW35" s="365">
        <f t="shared" si="25"/>
        <v>0</v>
      </c>
      <c r="AX35" s="365">
        <f t="shared" si="26"/>
        <v>0</v>
      </c>
      <c r="AY35" s="365">
        <f t="shared" si="27"/>
        <v>0</v>
      </c>
      <c r="AZ35" s="365">
        <f t="shared" si="28"/>
        <v>0</v>
      </c>
      <c r="BA35" s="365">
        <f t="shared" si="29"/>
        <v>0</v>
      </c>
      <c r="BB35" s="365">
        <f t="shared" si="12"/>
        <v>0</v>
      </c>
      <c r="BC35" s="365">
        <f t="shared" si="30"/>
        <v>0</v>
      </c>
      <c r="BD35" s="363"/>
      <c r="BE35">
        <v>20.0809</v>
      </c>
    </row>
    <row r="36" ht="24" spans="1:57">
      <c r="A36" s="284" t="s">
        <v>221</v>
      </c>
      <c r="B36" s="284" t="s">
        <v>199</v>
      </c>
      <c r="C36" s="284" t="s">
        <v>235</v>
      </c>
      <c r="D36" s="284" t="s">
        <v>213</v>
      </c>
      <c r="E36" s="365">
        <f t="shared" si="8"/>
        <v>59.52</v>
      </c>
      <c r="F36" s="365">
        <f t="shared" si="9"/>
        <v>34.81</v>
      </c>
      <c r="G36" s="365">
        <v>22.76</v>
      </c>
      <c r="H36" s="365">
        <v>9.53</v>
      </c>
      <c r="I36" s="365"/>
      <c r="J36" s="365">
        <v>2.52</v>
      </c>
      <c r="K36" s="365"/>
      <c r="L36" s="365">
        <f t="shared" si="10"/>
        <v>24.71</v>
      </c>
      <c r="M36" s="365">
        <v>5.71</v>
      </c>
      <c r="N36" s="365"/>
      <c r="O36" s="365"/>
      <c r="P36" s="365"/>
      <c r="Q36" s="365"/>
      <c r="R36" s="365"/>
      <c r="S36" s="365">
        <v>19</v>
      </c>
      <c r="T36" s="365">
        <f t="shared" si="5"/>
        <v>3.4617</v>
      </c>
      <c r="U36" s="365">
        <f t="shared" si="13"/>
        <v>7.1</v>
      </c>
      <c r="V36" s="365">
        <v>5.64</v>
      </c>
      <c r="W36" s="365"/>
      <c r="X36" s="365">
        <v>1.2</v>
      </c>
      <c r="Y36" s="365">
        <v>0.39</v>
      </c>
      <c r="Z36" s="365">
        <v>-0.13</v>
      </c>
      <c r="AA36" s="365">
        <f t="shared" si="14"/>
        <v>-3.6383</v>
      </c>
      <c r="AB36" s="365">
        <v>0.72</v>
      </c>
      <c r="AC36" s="365"/>
      <c r="AD36" s="365"/>
      <c r="AE36" s="365"/>
      <c r="AF36" s="365"/>
      <c r="AG36" s="365"/>
      <c r="AH36" s="365">
        <v>-19</v>
      </c>
      <c r="AI36" s="365">
        <v>8.85</v>
      </c>
      <c r="AJ36" s="365">
        <v>2</v>
      </c>
      <c r="AK36" s="365">
        <v>3.7917</v>
      </c>
      <c r="AL36" s="365">
        <f t="shared" si="2"/>
        <v>62.9817</v>
      </c>
      <c r="AM36" s="365">
        <f t="shared" si="15"/>
        <v>41.91</v>
      </c>
      <c r="AN36" s="365">
        <f t="shared" si="16"/>
        <v>28.4</v>
      </c>
      <c r="AO36" s="365">
        <f t="shared" si="17"/>
        <v>9.53</v>
      </c>
      <c r="AP36" s="365">
        <f t="shared" si="18"/>
        <v>1.2</v>
      </c>
      <c r="AQ36" s="365">
        <f t="shared" si="19"/>
        <v>2.91</v>
      </c>
      <c r="AR36" s="365">
        <f t="shared" si="20"/>
        <v>-0.13</v>
      </c>
      <c r="AS36" s="365">
        <f t="shared" si="21"/>
        <v>21.0717</v>
      </c>
      <c r="AT36" s="365">
        <f t="shared" si="22"/>
        <v>6.43</v>
      </c>
      <c r="AU36" s="365">
        <f t="shared" si="23"/>
        <v>0</v>
      </c>
      <c r="AV36" s="365">
        <f t="shared" si="24"/>
        <v>0</v>
      </c>
      <c r="AW36" s="365">
        <f t="shared" si="25"/>
        <v>0</v>
      </c>
      <c r="AX36" s="365">
        <f t="shared" si="26"/>
        <v>0</v>
      </c>
      <c r="AY36" s="365">
        <f t="shared" si="27"/>
        <v>0</v>
      </c>
      <c r="AZ36" s="365">
        <f t="shared" si="28"/>
        <v>0</v>
      </c>
      <c r="BA36" s="365">
        <f t="shared" si="29"/>
        <v>8.85</v>
      </c>
      <c r="BB36" s="365">
        <f t="shared" si="12"/>
        <v>2</v>
      </c>
      <c r="BC36" s="365">
        <f t="shared" si="30"/>
        <v>3.7917</v>
      </c>
      <c r="BD36" s="363"/>
      <c r="BE36">
        <v>3.7917</v>
      </c>
    </row>
    <row r="37" ht="24" spans="1:57">
      <c r="A37" s="284" t="s">
        <v>221</v>
      </c>
      <c r="B37" s="284" t="s">
        <v>199</v>
      </c>
      <c r="C37" s="284" t="s">
        <v>236</v>
      </c>
      <c r="D37" s="284" t="s">
        <v>213</v>
      </c>
      <c r="E37" s="365">
        <f t="shared" si="8"/>
        <v>88.01</v>
      </c>
      <c r="F37" s="365">
        <f t="shared" si="9"/>
        <v>52.96</v>
      </c>
      <c r="G37" s="365">
        <v>35.18</v>
      </c>
      <c r="H37" s="365">
        <v>13.56</v>
      </c>
      <c r="I37" s="365"/>
      <c r="J37" s="365">
        <v>3.6</v>
      </c>
      <c r="K37" s="365">
        <v>0.62</v>
      </c>
      <c r="L37" s="365">
        <f t="shared" si="10"/>
        <v>35.05</v>
      </c>
      <c r="M37" s="365">
        <v>8.05</v>
      </c>
      <c r="N37" s="365"/>
      <c r="O37" s="365"/>
      <c r="P37" s="365"/>
      <c r="Q37" s="365"/>
      <c r="R37" s="365"/>
      <c r="S37" s="365">
        <v>27</v>
      </c>
      <c r="T37" s="365">
        <f t="shared" si="5"/>
        <v>-18.1</v>
      </c>
      <c r="U37" s="365">
        <f t="shared" si="13"/>
        <v>-6.25</v>
      </c>
      <c r="V37" s="365">
        <v>-3.12</v>
      </c>
      <c r="W37" s="365"/>
      <c r="X37" s="365">
        <v>-2.47</v>
      </c>
      <c r="Y37" s="365">
        <v>-0.66</v>
      </c>
      <c r="Z37" s="365"/>
      <c r="AA37" s="365">
        <f t="shared" si="14"/>
        <v>-11.85</v>
      </c>
      <c r="AB37" s="365">
        <v>-1.48</v>
      </c>
      <c r="AC37" s="365"/>
      <c r="AD37" s="365"/>
      <c r="AE37" s="365"/>
      <c r="AF37" s="365"/>
      <c r="AG37" s="365"/>
      <c r="AH37" s="365">
        <v>-27</v>
      </c>
      <c r="AI37" s="365">
        <v>9.63</v>
      </c>
      <c r="AJ37" s="365">
        <v>2</v>
      </c>
      <c r="AK37" s="365">
        <v>5</v>
      </c>
      <c r="AL37" s="365">
        <f t="shared" si="2"/>
        <v>69.91</v>
      </c>
      <c r="AM37" s="365">
        <f t="shared" si="15"/>
        <v>46.71</v>
      </c>
      <c r="AN37" s="365">
        <f t="shared" si="16"/>
        <v>32.06</v>
      </c>
      <c r="AO37" s="365">
        <f t="shared" si="17"/>
        <v>13.56</v>
      </c>
      <c r="AP37" s="365">
        <f t="shared" si="18"/>
        <v>-2.47</v>
      </c>
      <c r="AQ37" s="365">
        <f t="shared" si="19"/>
        <v>2.94</v>
      </c>
      <c r="AR37" s="365">
        <f t="shared" si="20"/>
        <v>0.62</v>
      </c>
      <c r="AS37" s="365">
        <f t="shared" si="21"/>
        <v>23.2</v>
      </c>
      <c r="AT37" s="365">
        <f t="shared" si="22"/>
        <v>6.57</v>
      </c>
      <c r="AU37" s="365">
        <f t="shared" si="23"/>
        <v>0</v>
      </c>
      <c r="AV37" s="365">
        <f t="shared" si="24"/>
        <v>0</v>
      </c>
      <c r="AW37" s="365">
        <f t="shared" si="25"/>
        <v>0</v>
      </c>
      <c r="AX37" s="365">
        <f t="shared" si="26"/>
        <v>0</v>
      </c>
      <c r="AY37" s="365">
        <f t="shared" si="27"/>
        <v>0</v>
      </c>
      <c r="AZ37" s="365">
        <f t="shared" si="28"/>
        <v>0</v>
      </c>
      <c r="BA37" s="365">
        <f t="shared" si="29"/>
        <v>9.63</v>
      </c>
      <c r="BB37" s="365">
        <f t="shared" si="12"/>
        <v>2</v>
      </c>
      <c r="BC37" s="365">
        <f t="shared" si="30"/>
        <v>5</v>
      </c>
      <c r="BD37" s="363"/>
      <c r="BE37">
        <v>5</v>
      </c>
    </row>
    <row r="38" ht="24" spans="1:57">
      <c r="A38" s="284" t="s">
        <v>221</v>
      </c>
      <c r="B38" s="284" t="s">
        <v>199</v>
      </c>
      <c r="C38" s="284" t="s">
        <v>237</v>
      </c>
      <c r="D38" s="284" t="s">
        <v>213</v>
      </c>
      <c r="E38" s="365">
        <f t="shared" si="8"/>
        <v>198.72</v>
      </c>
      <c r="F38" s="365">
        <f t="shared" si="9"/>
        <v>120.78</v>
      </c>
      <c r="G38" s="365">
        <v>79.86</v>
      </c>
      <c r="H38" s="365">
        <v>32.69</v>
      </c>
      <c r="I38" s="365"/>
      <c r="J38" s="365">
        <v>7.92</v>
      </c>
      <c r="K38" s="365">
        <v>0.31</v>
      </c>
      <c r="L38" s="365">
        <f t="shared" si="10"/>
        <v>77.94</v>
      </c>
      <c r="M38" s="366">
        <v>18.94</v>
      </c>
      <c r="N38" s="365"/>
      <c r="O38" s="365"/>
      <c r="P38" s="365"/>
      <c r="Q38" s="365"/>
      <c r="R38" s="365"/>
      <c r="S38" s="365">
        <v>59</v>
      </c>
      <c r="T38" s="365">
        <f t="shared" si="5"/>
        <v>13.1233</v>
      </c>
      <c r="U38" s="365">
        <f t="shared" si="13"/>
        <v>16.56</v>
      </c>
      <c r="V38" s="365">
        <v>16.02</v>
      </c>
      <c r="W38" s="365"/>
      <c r="X38" s="365">
        <v>1.1</v>
      </c>
      <c r="Y38" s="365">
        <v>-0.36</v>
      </c>
      <c r="Z38" s="365">
        <v>-0.2</v>
      </c>
      <c r="AA38" s="365">
        <f t="shared" si="14"/>
        <v>-3.4367</v>
      </c>
      <c r="AB38" s="365">
        <v>0.66</v>
      </c>
      <c r="AC38" s="365"/>
      <c r="AD38" s="365"/>
      <c r="AE38" s="365"/>
      <c r="AF38" s="365"/>
      <c r="AG38" s="365"/>
      <c r="AH38" s="365">
        <v>-59</v>
      </c>
      <c r="AI38" s="365">
        <v>27.57</v>
      </c>
      <c r="AJ38" s="365">
        <v>16</v>
      </c>
      <c r="AK38" s="365">
        <v>11.3333</v>
      </c>
      <c r="AL38" s="365">
        <f t="shared" si="2"/>
        <v>211.8433</v>
      </c>
      <c r="AM38" s="365">
        <f t="shared" si="15"/>
        <v>137.34</v>
      </c>
      <c r="AN38" s="365">
        <f t="shared" si="16"/>
        <v>95.88</v>
      </c>
      <c r="AO38" s="365">
        <f t="shared" si="17"/>
        <v>32.69</v>
      </c>
      <c r="AP38" s="365">
        <f t="shared" si="18"/>
        <v>1.1</v>
      </c>
      <c r="AQ38" s="365">
        <f t="shared" si="19"/>
        <v>7.56</v>
      </c>
      <c r="AR38" s="365">
        <f t="shared" si="20"/>
        <v>0.11</v>
      </c>
      <c r="AS38" s="365">
        <f t="shared" si="21"/>
        <v>74.5033</v>
      </c>
      <c r="AT38" s="365">
        <f t="shared" si="22"/>
        <v>19.6</v>
      </c>
      <c r="AU38" s="365">
        <f t="shared" si="23"/>
        <v>0</v>
      </c>
      <c r="AV38" s="365">
        <f t="shared" si="24"/>
        <v>0</v>
      </c>
      <c r="AW38" s="365">
        <f t="shared" si="25"/>
        <v>0</v>
      </c>
      <c r="AX38" s="365">
        <f t="shared" si="26"/>
        <v>0</v>
      </c>
      <c r="AY38" s="365">
        <f t="shared" si="27"/>
        <v>0</v>
      </c>
      <c r="AZ38" s="365">
        <f t="shared" si="28"/>
        <v>0</v>
      </c>
      <c r="BA38" s="365">
        <f t="shared" si="29"/>
        <v>27.57</v>
      </c>
      <c r="BB38" s="365">
        <f t="shared" si="12"/>
        <v>16</v>
      </c>
      <c r="BC38" s="365">
        <f t="shared" si="30"/>
        <v>11.3333</v>
      </c>
      <c r="BD38" s="363"/>
      <c r="BE38">
        <v>11.3333</v>
      </c>
    </row>
    <row r="39" ht="24" spans="1:57">
      <c r="A39" s="284" t="s">
        <v>221</v>
      </c>
      <c r="B39" s="284" t="s">
        <v>196</v>
      </c>
      <c r="C39" s="284" t="s">
        <v>238</v>
      </c>
      <c r="D39" s="284" t="s">
        <v>207</v>
      </c>
      <c r="E39" s="365">
        <f t="shared" si="8"/>
        <v>0</v>
      </c>
      <c r="F39" s="365">
        <f t="shared" si="9"/>
        <v>0</v>
      </c>
      <c r="G39" s="365"/>
      <c r="H39" s="365"/>
      <c r="I39" s="365"/>
      <c r="J39" s="365"/>
      <c r="K39" s="365"/>
      <c r="L39" s="365">
        <f t="shared" si="10"/>
        <v>0</v>
      </c>
      <c r="M39" s="365"/>
      <c r="N39" s="365"/>
      <c r="O39" s="365"/>
      <c r="P39" s="365"/>
      <c r="Q39" s="365"/>
      <c r="R39" s="365"/>
      <c r="S39" s="365"/>
      <c r="T39" s="365">
        <f t="shared" si="5"/>
        <v>0</v>
      </c>
      <c r="U39" s="365">
        <f t="shared" si="13"/>
        <v>0</v>
      </c>
      <c r="V39" s="365"/>
      <c r="W39" s="365"/>
      <c r="X39" s="365"/>
      <c r="Y39" s="365"/>
      <c r="Z39" s="365"/>
      <c r="AA39" s="365">
        <f t="shared" si="14"/>
        <v>0</v>
      </c>
      <c r="AB39" s="365"/>
      <c r="AC39" s="365"/>
      <c r="AD39" s="365"/>
      <c r="AE39" s="365"/>
      <c r="AF39" s="365"/>
      <c r="AG39" s="365"/>
      <c r="AH39" s="365">
        <v>0</v>
      </c>
      <c r="AI39" s="365"/>
      <c r="AJ39" s="365"/>
      <c r="AK39" s="365"/>
      <c r="AL39" s="365">
        <f t="shared" si="2"/>
        <v>0</v>
      </c>
      <c r="AM39" s="365">
        <f t="shared" si="15"/>
        <v>0</v>
      </c>
      <c r="AN39" s="365">
        <f t="shared" si="16"/>
        <v>0</v>
      </c>
      <c r="AO39" s="365">
        <f t="shared" si="17"/>
        <v>0</v>
      </c>
      <c r="AP39" s="365">
        <f t="shared" si="18"/>
        <v>0</v>
      </c>
      <c r="AQ39" s="365">
        <f t="shared" si="19"/>
        <v>0</v>
      </c>
      <c r="AR39" s="365">
        <f t="shared" si="20"/>
        <v>0</v>
      </c>
      <c r="AS39" s="365">
        <f t="shared" si="21"/>
        <v>0</v>
      </c>
      <c r="AT39" s="365">
        <f t="shared" si="22"/>
        <v>0</v>
      </c>
      <c r="AU39" s="365">
        <f t="shared" si="23"/>
        <v>0</v>
      </c>
      <c r="AV39" s="365">
        <f t="shared" si="24"/>
        <v>0</v>
      </c>
      <c r="AW39" s="365">
        <f t="shared" si="25"/>
        <v>0</v>
      </c>
      <c r="AX39" s="365">
        <f t="shared" si="26"/>
        <v>0</v>
      </c>
      <c r="AY39" s="365">
        <f t="shared" si="27"/>
        <v>0</v>
      </c>
      <c r="AZ39" s="365">
        <f t="shared" si="28"/>
        <v>0</v>
      </c>
      <c r="BA39" s="365">
        <f t="shared" si="29"/>
        <v>0</v>
      </c>
      <c r="BB39" s="365">
        <f t="shared" si="12"/>
        <v>0</v>
      </c>
      <c r="BC39" s="365">
        <f t="shared" si="30"/>
        <v>0</v>
      </c>
      <c r="BD39" s="363"/>
      <c r="BE39">
        <v>21.1908</v>
      </c>
    </row>
    <row r="40" ht="24" spans="1:57">
      <c r="A40" s="284" t="s">
        <v>221</v>
      </c>
      <c r="B40" s="284" t="s">
        <v>199</v>
      </c>
      <c r="C40" s="284" t="s">
        <v>239</v>
      </c>
      <c r="D40" s="284" t="s">
        <v>213</v>
      </c>
      <c r="E40" s="365">
        <f t="shared" si="8"/>
        <v>45.49</v>
      </c>
      <c r="F40" s="365">
        <f t="shared" si="9"/>
        <v>27.18</v>
      </c>
      <c r="G40" s="365">
        <v>18.8</v>
      </c>
      <c r="H40" s="365"/>
      <c r="I40" s="365">
        <v>7.18</v>
      </c>
      <c r="J40" s="365">
        <v>1.2</v>
      </c>
      <c r="K40" s="365"/>
      <c r="L40" s="365">
        <f t="shared" si="10"/>
        <v>18.31</v>
      </c>
      <c r="M40" s="365">
        <v>4.31</v>
      </c>
      <c r="N40" s="365"/>
      <c r="O40" s="365"/>
      <c r="P40" s="365"/>
      <c r="Q40" s="365"/>
      <c r="R40" s="365"/>
      <c r="S40" s="365">
        <v>14</v>
      </c>
      <c r="T40" s="365">
        <f t="shared" si="5"/>
        <v>2.97</v>
      </c>
      <c r="U40" s="365">
        <f t="shared" si="13"/>
        <v>2.51</v>
      </c>
      <c r="V40" s="365">
        <v>2.51</v>
      </c>
      <c r="W40" s="365"/>
      <c r="X40" s="365"/>
      <c r="Y40" s="365"/>
      <c r="Z40" s="365"/>
      <c r="AA40" s="365">
        <f t="shared" si="14"/>
        <v>0.46</v>
      </c>
      <c r="AB40" s="365"/>
      <c r="AC40" s="365"/>
      <c r="AD40" s="365"/>
      <c r="AE40" s="365"/>
      <c r="AF40" s="365"/>
      <c r="AG40" s="365"/>
      <c r="AH40" s="365">
        <v>-14</v>
      </c>
      <c r="AI40" s="365">
        <v>5.61</v>
      </c>
      <c r="AJ40" s="365">
        <v>6</v>
      </c>
      <c r="AK40" s="365">
        <v>2.85</v>
      </c>
      <c r="AL40" s="365">
        <f t="shared" si="2"/>
        <v>48.46</v>
      </c>
      <c r="AM40" s="365">
        <f t="shared" si="15"/>
        <v>29.69</v>
      </c>
      <c r="AN40" s="365">
        <f t="shared" si="16"/>
        <v>21.31</v>
      </c>
      <c r="AO40" s="365">
        <f t="shared" si="17"/>
        <v>0</v>
      </c>
      <c r="AP40" s="365">
        <f t="shared" si="18"/>
        <v>7.18</v>
      </c>
      <c r="AQ40" s="365">
        <f t="shared" si="19"/>
        <v>1.2</v>
      </c>
      <c r="AR40" s="365">
        <f t="shared" si="20"/>
        <v>0</v>
      </c>
      <c r="AS40" s="365">
        <f t="shared" si="21"/>
        <v>18.77</v>
      </c>
      <c r="AT40" s="365">
        <f t="shared" si="22"/>
        <v>4.31</v>
      </c>
      <c r="AU40" s="365">
        <f t="shared" si="23"/>
        <v>0</v>
      </c>
      <c r="AV40" s="365">
        <f t="shared" si="24"/>
        <v>0</v>
      </c>
      <c r="AW40" s="365">
        <f t="shared" si="25"/>
        <v>0</v>
      </c>
      <c r="AX40" s="365">
        <f t="shared" si="26"/>
        <v>0</v>
      </c>
      <c r="AY40" s="365">
        <f t="shared" si="27"/>
        <v>0</v>
      </c>
      <c r="AZ40" s="365">
        <f t="shared" si="28"/>
        <v>0</v>
      </c>
      <c r="BA40" s="365">
        <f t="shared" si="29"/>
        <v>5.61</v>
      </c>
      <c r="BB40" s="365">
        <f t="shared" si="12"/>
        <v>6</v>
      </c>
      <c r="BC40" s="365">
        <f t="shared" si="30"/>
        <v>2.85</v>
      </c>
      <c r="BD40" s="363"/>
      <c r="BE40">
        <v>2.85</v>
      </c>
    </row>
    <row r="41" ht="24" spans="1:57">
      <c r="A41" s="284" t="s">
        <v>221</v>
      </c>
      <c r="B41" s="284" t="s">
        <v>199</v>
      </c>
      <c r="C41" s="284" t="s">
        <v>240</v>
      </c>
      <c r="D41" s="284" t="s">
        <v>213</v>
      </c>
      <c r="E41" s="365">
        <f t="shared" si="8"/>
        <v>59.77</v>
      </c>
      <c r="F41" s="365">
        <f t="shared" si="9"/>
        <v>35.16</v>
      </c>
      <c r="G41" s="365">
        <v>23.55</v>
      </c>
      <c r="H41" s="365"/>
      <c r="I41" s="365">
        <v>9.4</v>
      </c>
      <c r="J41" s="365">
        <v>1.68</v>
      </c>
      <c r="K41" s="365">
        <v>0.53</v>
      </c>
      <c r="L41" s="365">
        <f t="shared" si="10"/>
        <v>24.61</v>
      </c>
      <c r="M41" s="365">
        <v>5.61</v>
      </c>
      <c r="N41" s="365"/>
      <c r="O41" s="365"/>
      <c r="P41" s="365"/>
      <c r="Q41" s="365"/>
      <c r="R41" s="365"/>
      <c r="S41" s="365">
        <v>19</v>
      </c>
      <c r="T41" s="365">
        <f t="shared" si="5"/>
        <v>8.4117</v>
      </c>
      <c r="U41" s="365">
        <f t="shared" si="13"/>
        <v>6.02</v>
      </c>
      <c r="V41" s="365">
        <v>2.77</v>
      </c>
      <c r="W41" s="365"/>
      <c r="X41" s="365">
        <v>3.18</v>
      </c>
      <c r="Y41" s="365">
        <v>-0.14</v>
      </c>
      <c r="Z41" s="365">
        <v>0.21</v>
      </c>
      <c r="AA41" s="365">
        <f t="shared" ref="AA41:AA72" si="31">SUM(AB41:AK41)</f>
        <v>2.3917</v>
      </c>
      <c r="AB41" s="365">
        <v>1.93</v>
      </c>
      <c r="AC41" s="365"/>
      <c r="AD41" s="365"/>
      <c r="AE41" s="365"/>
      <c r="AF41" s="365"/>
      <c r="AG41" s="365"/>
      <c r="AH41" s="365">
        <v>-19</v>
      </c>
      <c r="AI41" s="365">
        <v>8.07</v>
      </c>
      <c r="AJ41" s="365">
        <v>8</v>
      </c>
      <c r="AK41" s="365">
        <v>3.3917</v>
      </c>
      <c r="AL41" s="365">
        <f t="shared" si="2"/>
        <v>68.1817</v>
      </c>
      <c r="AM41" s="365">
        <f t="shared" ref="AM41:AM72" si="32">SUM(AN41:AR41)</f>
        <v>41.18</v>
      </c>
      <c r="AN41" s="365">
        <f t="shared" ref="AN41:AN72" si="33">G41+V41</f>
        <v>26.32</v>
      </c>
      <c r="AO41" s="365">
        <f t="shared" ref="AO41:AO72" si="34">H41+W41</f>
        <v>0</v>
      </c>
      <c r="AP41" s="365">
        <f t="shared" ref="AP41:AP72" si="35">I41+X41</f>
        <v>12.58</v>
      </c>
      <c r="AQ41" s="365">
        <f t="shared" ref="AQ41:AQ72" si="36">J41+Y41</f>
        <v>1.54</v>
      </c>
      <c r="AR41" s="365">
        <f t="shared" ref="AR41:AR72" si="37">K41+Z41</f>
        <v>0.74</v>
      </c>
      <c r="AS41" s="365">
        <f t="shared" si="21"/>
        <v>27.0017</v>
      </c>
      <c r="AT41" s="365">
        <f t="shared" ref="AT41:AT72" si="38">M41+AB41</f>
        <v>7.54</v>
      </c>
      <c r="AU41" s="365">
        <f t="shared" ref="AU41:AU72" si="39">N41+AC41</f>
        <v>0</v>
      </c>
      <c r="AV41" s="365">
        <f t="shared" ref="AV41:AV72" si="40">O41+AD41</f>
        <v>0</v>
      </c>
      <c r="AW41" s="365">
        <f t="shared" ref="AW41:AW72" si="41">P41+AE41</f>
        <v>0</v>
      </c>
      <c r="AX41" s="365">
        <f t="shared" ref="AX41:AX72" si="42">Q41+AF41</f>
        <v>0</v>
      </c>
      <c r="AY41" s="365">
        <f t="shared" ref="AY41:AY72" si="43">R41+AG41</f>
        <v>0</v>
      </c>
      <c r="AZ41" s="365">
        <f t="shared" ref="AZ41:AZ72" si="44">S41+AH41</f>
        <v>0</v>
      </c>
      <c r="BA41" s="365">
        <f t="shared" ref="BA41:BA72" si="45">AI41</f>
        <v>8.07</v>
      </c>
      <c r="BB41" s="365">
        <f t="shared" si="12"/>
        <v>8</v>
      </c>
      <c r="BC41" s="365">
        <f t="shared" ref="BC41:BC72" si="46">AK41</f>
        <v>3.3917</v>
      </c>
      <c r="BD41" s="363"/>
      <c r="BE41">
        <v>3.3917</v>
      </c>
    </row>
    <row r="42" ht="24" spans="1:57">
      <c r="A42" s="284" t="s">
        <v>221</v>
      </c>
      <c r="B42" s="284" t="s">
        <v>199</v>
      </c>
      <c r="C42" s="284" t="s">
        <v>241</v>
      </c>
      <c r="D42" s="284" t="s">
        <v>213</v>
      </c>
      <c r="E42" s="365">
        <f t="shared" si="8"/>
        <v>288.18</v>
      </c>
      <c r="F42" s="365">
        <f t="shared" si="9"/>
        <v>176.89</v>
      </c>
      <c r="G42" s="365">
        <v>123.29</v>
      </c>
      <c r="H42" s="365"/>
      <c r="I42" s="365">
        <v>45.32</v>
      </c>
      <c r="J42" s="365">
        <v>6.72</v>
      </c>
      <c r="K42" s="365">
        <v>1.56</v>
      </c>
      <c r="L42" s="365">
        <f t="shared" si="10"/>
        <v>111.29</v>
      </c>
      <c r="M42" s="365">
        <v>27.29</v>
      </c>
      <c r="N42" s="365"/>
      <c r="O42" s="365"/>
      <c r="P42" s="365"/>
      <c r="Q42" s="365"/>
      <c r="R42" s="365"/>
      <c r="S42" s="365">
        <v>84</v>
      </c>
      <c r="T42" s="365">
        <f t="shared" si="5"/>
        <v>5.185</v>
      </c>
      <c r="U42" s="365">
        <f t="shared" si="13"/>
        <v>12.62</v>
      </c>
      <c r="V42" s="365">
        <v>12.09</v>
      </c>
      <c r="W42" s="365"/>
      <c r="X42" s="365">
        <v>0.77</v>
      </c>
      <c r="Y42" s="365">
        <v>-0.22</v>
      </c>
      <c r="Z42" s="365">
        <v>-0.02</v>
      </c>
      <c r="AA42" s="365">
        <f t="shared" si="31"/>
        <v>-7.435</v>
      </c>
      <c r="AB42" s="365">
        <v>-0.28</v>
      </c>
      <c r="AC42" s="365"/>
      <c r="AD42" s="365"/>
      <c r="AE42" s="365"/>
      <c r="AF42" s="365"/>
      <c r="AG42" s="365"/>
      <c r="AH42" s="365">
        <v>-84</v>
      </c>
      <c r="AI42" s="365">
        <v>36.345</v>
      </c>
      <c r="AJ42" s="365">
        <v>25</v>
      </c>
      <c r="AK42" s="365">
        <v>15.5</v>
      </c>
      <c r="AL42" s="365">
        <f t="shared" si="2"/>
        <v>293.365</v>
      </c>
      <c r="AM42" s="365">
        <f t="shared" si="32"/>
        <v>189.51</v>
      </c>
      <c r="AN42" s="365">
        <f t="shared" si="33"/>
        <v>135.38</v>
      </c>
      <c r="AO42" s="365">
        <f t="shared" si="34"/>
        <v>0</v>
      </c>
      <c r="AP42" s="365">
        <f t="shared" si="35"/>
        <v>46.09</v>
      </c>
      <c r="AQ42" s="365">
        <f t="shared" si="36"/>
        <v>6.5</v>
      </c>
      <c r="AR42" s="365">
        <f t="shared" si="37"/>
        <v>1.54</v>
      </c>
      <c r="AS42" s="365">
        <f t="shared" si="21"/>
        <v>103.855</v>
      </c>
      <c r="AT42" s="365">
        <f t="shared" si="38"/>
        <v>27.01</v>
      </c>
      <c r="AU42" s="365">
        <f t="shared" si="39"/>
        <v>0</v>
      </c>
      <c r="AV42" s="365">
        <f t="shared" si="40"/>
        <v>0</v>
      </c>
      <c r="AW42" s="365">
        <f t="shared" si="41"/>
        <v>0</v>
      </c>
      <c r="AX42" s="365">
        <f t="shared" si="42"/>
        <v>0</v>
      </c>
      <c r="AY42" s="365">
        <f t="shared" si="43"/>
        <v>0</v>
      </c>
      <c r="AZ42" s="365">
        <f t="shared" si="44"/>
        <v>0</v>
      </c>
      <c r="BA42" s="365">
        <f t="shared" si="45"/>
        <v>36.345</v>
      </c>
      <c r="BB42" s="365">
        <f t="shared" si="12"/>
        <v>25</v>
      </c>
      <c r="BC42" s="365">
        <f t="shared" si="46"/>
        <v>15.5</v>
      </c>
      <c r="BD42" s="363"/>
      <c r="BE42">
        <v>15.5</v>
      </c>
    </row>
    <row r="43" ht="24" spans="1:57">
      <c r="A43" s="284" t="s">
        <v>221</v>
      </c>
      <c r="B43" s="284" t="s">
        <v>196</v>
      </c>
      <c r="C43" s="284" t="s">
        <v>242</v>
      </c>
      <c r="D43" s="284" t="s">
        <v>207</v>
      </c>
      <c r="E43" s="365">
        <f t="shared" si="8"/>
        <v>0</v>
      </c>
      <c r="F43" s="365">
        <f t="shared" si="9"/>
        <v>0</v>
      </c>
      <c r="G43" s="365"/>
      <c r="H43" s="365"/>
      <c r="I43" s="365"/>
      <c r="J43" s="365"/>
      <c r="K43" s="365"/>
      <c r="L43" s="365">
        <f t="shared" si="10"/>
        <v>0</v>
      </c>
      <c r="M43" s="365"/>
      <c r="N43" s="365"/>
      <c r="O43" s="365"/>
      <c r="P43" s="365"/>
      <c r="Q43" s="365"/>
      <c r="R43" s="365"/>
      <c r="S43" s="365"/>
      <c r="T43" s="365">
        <f t="shared" si="5"/>
        <v>0</v>
      </c>
      <c r="U43" s="365">
        <f t="shared" si="13"/>
        <v>0</v>
      </c>
      <c r="V43" s="365"/>
      <c r="W43" s="365"/>
      <c r="X43" s="365"/>
      <c r="Y43" s="365"/>
      <c r="Z43" s="365"/>
      <c r="AA43" s="365">
        <f t="shared" si="31"/>
        <v>0</v>
      </c>
      <c r="AB43" s="365"/>
      <c r="AC43" s="365"/>
      <c r="AD43" s="365"/>
      <c r="AE43" s="365"/>
      <c r="AF43" s="365"/>
      <c r="AG43" s="365"/>
      <c r="AH43" s="365">
        <v>0</v>
      </c>
      <c r="AI43" s="365"/>
      <c r="AJ43" s="365"/>
      <c r="AK43" s="365"/>
      <c r="AL43" s="365">
        <f t="shared" si="2"/>
        <v>0</v>
      </c>
      <c r="AM43" s="365">
        <f t="shared" si="32"/>
        <v>0</v>
      </c>
      <c r="AN43" s="365">
        <f t="shared" si="33"/>
        <v>0</v>
      </c>
      <c r="AO43" s="365">
        <f t="shared" si="34"/>
        <v>0</v>
      </c>
      <c r="AP43" s="365">
        <f t="shared" si="35"/>
        <v>0</v>
      </c>
      <c r="AQ43" s="365">
        <f t="shared" si="36"/>
        <v>0</v>
      </c>
      <c r="AR43" s="365">
        <f t="shared" si="37"/>
        <v>0</v>
      </c>
      <c r="AS43" s="365">
        <f t="shared" si="21"/>
        <v>0</v>
      </c>
      <c r="AT43" s="365">
        <f t="shared" si="38"/>
        <v>0</v>
      </c>
      <c r="AU43" s="365">
        <f t="shared" si="39"/>
        <v>0</v>
      </c>
      <c r="AV43" s="365">
        <f t="shared" si="40"/>
        <v>0</v>
      </c>
      <c r="AW43" s="365">
        <f t="shared" si="41"/>
        <v>0</v>
      </c>
      <c r="AX43" s="365">
        <f t="shared" si="42"/>
        <v>0</v>
      </c>
      <c r="AY43" s="365">
        <f t="shared" si="43"/>
        <v>0</v>
      </c>
      <c r="AZ43" s="365">
        <f t="shared" si="44"/>
        <v>0</v>
      </c>
      <c r="BA43" s="365">
        <f t="shared" si="45"/>
        <v>0</v>
      </c>
      <c r="BB43" s="365">
        <f t="shared" si="12"/>
        <v>0</v>
      </c>
      <c r="BC43" s="365">
        <f t="shared" si="46"/>
        <v>0</v>
      </c>
      <c r="BD43" s="363"/>
      <c r="BE43">
        <v>11.2184</v>
      </c>
    </row>
    <row r="44" ht="24" spans="1:57">
      <c r="A44" s="284" t="s">
        <v>221</v>
      </c>
      <c r="B44" s="284" t="s">
        <v>199</v>
      </c>
      <c r="C44" s="284" t="s">
        <v>243</v>
      </c>
      <c r="D44" s="284" t="s">
        <v>213</v>
      </c>
      <c r="E44" s="365">
        <f t="shared" si="8"/>
        <v>31.08</v>
      </c>
      <c r="F44" s="365">
        <f t="shared" si="9"/>
        <v>18.81</v>
      </c>
      <c r="G44" s="365">
        <v>11.43</v>
      </c>
      <c r="H44" s="365"/>
      <c r="I44" s="365">
        <v>5.46</v>
      </c>
      <c r="J44" s="365">
        <v>1.92</v>
      </c>
      <c r="K44" s="365"/>
      <c r="L44" s="365">
        <f t="shared" si="10"/>
        <v>12.27</v>
      </c>
      <c r="M44" s="365">
        <v>3.27</v>
      </c>
      <c r="N44" s="365"/>
      <c r="O44" s="365"/>
      <c r="P44" s="365"/>
      <c r="Q44" s="365"/>
      <c r="R44" s="365"/>
      <c r="S44" s="365">
        <v>9</v>
      </c>
      <c r="T44" s="365">
        <f t="shared" si="5"/>
        <v>8.22</v>
      </c>
      <c r="U44" s="365">
        <f t="shared" si="13"/>
        <v>5.19</v>
      </c>
      <c r="V44" s="365">
        <v>2.1</v>
      </c>
      <c r="W44" s="365"/>
      <c r="X44" s="365">
        <v>3.39</v>
      </c>
      <c r="Y44" s="365">
        <v>-0.3</v>
      </c>
      <c r="Z44" s="365"/>
      <c r="AA44" s="365">
        <f t="shared" si="31"/>
        <v>3.03</v>
      </c>
      <c r="AB44" s="365">
        <v>0.65</v>
      </c>
      <c r="AC44" s="365"/>
      <c r="AD44" s="365"/>
      <c r="AE44" s="365"/>
      <c r="AF44" s="365"/>
      <c r="AG44" s="365"/>
      <c r="AH44" s="365">
        <v>-9</v>
      </c>
      <c r="AI44" s="365">
        <v>6.78</v>
      </c>
      <c r="AJ44" s="365">
        <v>2</v>
      </c>
      <c r="AK44" s="365">
        <v>2.6</v>
      </c>
      <c r="AL44" s="365">
        <f t="shared" si="2"/>
        <v>39.3</v>
      </c>
      <c r="AM44" s="365">
        <f t="shared" si="32"/>
        <v>24</v>
      </c>
      <c r="AN44" s="365">
        <f t="shared" si="33"/>
        <v>13.53</v>
      </c>
      <c r="AO44" s="365">
        <f t="shared" si="34"/>
        <v>0</v>
      </c>
      <c r="AP44" s="365">
        <f t="shared" si="35"/>
        <v>8.85</v>
      </c>
      <c r="AQ44" s="365">
        <f t="shared" si="36"/>
        <v>1.62</v>
      </c>
      <c r="AR44" s="365">
        <f t="shared" si="37"/>
        <v>0</v>
      </c>
      <c r="AS44" s="365">
        <f t="shared" si="21"/>
        <v>15.3</v>
      </c>
      <c r="AT44" s="365">
        <f t="shared" si="38"/>
        <v>3.92</v>
      </c>
      <c r="AU44" s="365">
        <f t="shared" si="39"/>
        <v>0</v>
      </c>
      <c r="AV44" s="365">
        <f t="shared" si="40"/>
        <v>0</v>
      </c>
      <c r="AW44" s="365">
        <f t="shared" si="41"/>
        <v>0</v>
      </c>
      <c r="AX44" s="365">
        <f t="shared" si="42"/>
        <v>0</v>
      </c>
      <c r="AY44" s="365">
        <f t="shared" si="43"/>
        <v>0</v>
      </c>
      <c r="AZ44" s="365">
        <f t="shared" si="44"/>
        <v>0</v>
      </c>
      <c r="BA44" s="365">
        <f t="shared" si="45"/>
        <v>6.78</v>
      </c>
      <c r="BB44" s="365">
        <f t="shared" si="12"/>
        <v>2</v>
      </c>
      <c r="BC44" s="365">
        <f t="shared" si="46"/>
        <v>2.6</v>
      </c>
      <c r="BD44" s="363"/>
      <c r="BE44">
        <v>2.6</v>
      </c>
    </row>
    <row r="45" ht="24" spans="1:57">
      <c r="A45" s="284" t="s">
        <v>221</v>
      </c>
      <c r="B45" s="284" t="s">
        <v>199</v>
      </c>
      <c r="C45" s="284" t="s">
        <v>244</v>
      </c>
      <c r="D45" s="284" t="s">
        <v>213</v>
      </c>
      <c r="E45" s="365">
        <f t="shared" si="8"/>
        <v>40.48</v>
      </c>
      <c r="F45" s="365">
        <f t="shared" si="9"/>
        <v>25.38</v>
      </c>
      <c r="G45" s="365">
        <v>15.62</v>
      </c>
      <c r="H45" s="365"/>
      <c r="I45" s="365">
        <v>6.83</v>
      </c>
      <c r="J45" s="365">
        <v>2.4</v>
      </c>
      <c r="K45" s="365">
        <v>0.53</v>
      </c>
      <c r="L45" s="365">
        <f t="shared" si="10"/>
        <v>15.1</v>
      </c>
      <c r="M45" s="365">
        <v>4.1</v>
      </c>
      <c r="N45" s="365"/>
      <c r="O45" s="365"/>
      <c r="P45" s="365"/>
      <c r="Q45" s="365"/>
      <c r="R45" s="365"/>
      <c r="S45" s="365">
        <v>11</v>
      </c>
      <c r="T45" s="365">
        <f t="shared" si="5"/>
        <v>8.6517</v>
      </c>
      <c r="U45" s="365">
        <f t="shared" si="13"/>
        <v>6.51</v>
      </c>
      <c r="V45" s="365">
        <v>5.18</v>
      </c>
      <c r="W45" s="365"/>
      <c r="X45" s="365">
        <v>1.15</v>
      </c>
      <c r="Y45" s="365">
        <v>0.18</v>
      </c>
      <c r="Z45" s="365"/>
      <c r="AA45" s="365">
        <f t="shared" si="31"/>
        <v>2.1417</v>
      </c>
      <c r="AB45" s="365">
        <v>0.21</v>
      </c>
      <c r="AC45" s="365"/>
      <c r="AD45" s="365"/>
      <c r="AE45" s="365"/>
      <c r="AF45" s="365"/>
      <c r="AG45" s="365"/>
      <c r="AH45" s="365">
        <v>-11</v>
      </c>
      <c r="AI45" s="365">
        <v>6.39</v>
      </c>
      <c r="AJ45" s="365">
        <v>4</v>
      </c>
      <c r="AK45" s="365">
        <v>2.5417</v>
      </c>
      <c r="AL45" s="365">
        <f t="shared" si="2"/>
        <v>49.1317</v>
      </c>
      <c r="AM45" s="365">
        <f t="shared" si="32"/>
        <v>31.89</v>
      </c>
      <c r="AN45" s="365">
        <f t="shared" si="33"/>
        <v>20.8</v>
      </c>
      <c r="AO45" s="365">
        <f t="shared" si="34"/>
        <v>0</v>
      </c>
      <c r="AP45" s="365">
        <f t="shared" si="35"/>
        <v>7.98</v>
      </c>
      <c r="AQ45" s="365">
        <f t="shared" si="36"/>
        <v>2.58</v>
      </c>
      <c r="AR45" s="365">
        <f t="shared" si="37"/>
        <v>0.53</v>
      </c>
      <c r="AS45" s="365">
        <f t="shared" si="21"/>
        <v>17.2417</v>
      </c>
      <c r="AT45" s="365">
        <f t="shared" si="38"/>
        <v>4.31</v>
      </c>
      <c r="AU45" s="365">
        <f t="shared" si="39"/>
        <v>0</v>
      </c>
      <c r="AV45" s="365">
        <f t="shared" si="40"/>
        <v>0</v>
      </c>
      <c r="AW45" s="365">
        <f t="shared" si="41"/>
        <v>0</v>
      </c>
      <c r="AX45" s="365">
        <f t="shared" si="42"/>
        <v>0</v>
      </c>
      <c r="AY45" s="365">
        <f t="shared" si="43"/>
        <v>0</v>
      </c>
      <c r="AZ45" s="365">
        <f t="shared" si="44"/>
        <v>0</v>
      </c>
      <c r="BA45" s="365">
        <f t="shared" si="45"/>
        <v>6.39</v>
      </c>
      <c r="BB45" s="365">
        <f t="shared" si="12"/>
        <v>4</v>
      </c>
      <c r="BC45" s="365">
        <f t="shared" si="46"/>
        <v>2.5417</v>
      </c>
      <c r="BD45" s="363"/>
      <c r="BE45">
        <v>2.5417</v>
      </c>
    </row>
    <row r="46" ht="24" spans="1:57">
      <c r="A46" s="284" t="s">
        <v>221</v>
      </c>
      <c r="B46" s="284" t="s">
        <v>199</v>
      </c>
      <c r="C46" s="284" t="s">
        <v>245</v>
      </c>
      <c r="D46" s="284" t="s">
        <v>213</v>
      </c>
      <c r="E46" s="365">
        <f t="shared" si="8"/>
        <v>102.02</v>
      </c>
      <c r="F46" s="365">
        <f t="shared" si="9"/>
        <v>62.44</v>
      </c>
      <c r="G46" s="365">
        <v>37.95</v>
      </c>
      <c r="H46" s="365">
        <v>0.31</v>
      </c>
      <c r="I46" s="365">
        <v>17.63</v>
      </c>
      <c r="J46" s="365">
        <v>6.24</v>
      </c>
      <c r="K46" s="365">
        <v>0.31</v>
      </c>
      <c r="L46" s="365">
        <f t="shared" si="10"/>
        <v>39.58</v>
      </c>
      <c r="M46" s="365">
        <v>10.58</v>
      </c>
      <c r="N46" s="365"/>
      <c r="O46" s="365"/>
      <c r="P46" s="365"/>
      <c r="Q46" s="365"/>
      <c r="R46" s="365"/>
      <c r="S46" s="365">
        <v>29</v>
      </c>
      <c r="T46" s="365">
        <f t="shared" si="5"/>
        <v>8.7834</v>
      </c>
      <c r="U46" s="365">
        <f t="shared" si="13"/>
        <v>4.38</v>
      </c>
      <c r="V46" s="365">
        <v>2.87</v>
      </c>
      <c r="W46" s="365"/>
      <c r="X46" s="365">
        <v>2.65</v>
      </c>
      <c r="Y46" s="365">
        <v>-1.14</v>
      </c>
      <c r="Z46" s="365"/>
      <c r="AA46" s="365">
        <f t="shared" si="31"/>
        <v>4.4034</v>
      </c>
      <c r="AB46" s="365">
        <v>0.1</v>
      </c>
      <c r="AC46" s="365"/>
      <c r="AD46" s="365"/>
      <c r="AE46" s="365"/>
      <c r="AF46" s="365"/>
      <c r="AG46" s="365"/>
      <c r="AH46" s="365">
        <v>-29</v>
      </c>
      <c r="AI46" s="365">
        <v>15.72</v>
      </c>
      <c r="AJ46" s="365">
        <v>11</v>
      </c>
      <c r="AK46" s="365">
        <v>6.5834</v>
      </c>
      <c r="AL46" s="365">
        <f t="shared" si="2"/>
        <v>110.8034</v>
      </c>
      <c r="AM46" s="365">
        <f t="shared" si="32"/>
        <v>66.82</v>
      </c>
      <c r="AN46" s="365">
        <f t="shared" si="33"/>
        <v>40.82</v>
      </c>
      <c r="AO46" s="365">
        <f t="shared" si="34"/>
        <v>0.31</v>
      </c>
      <c r="AP46" s="365">
        <f t="shared" si="35"/>
        <v>20.28</v>
      </c>
      <c r="AQ46" s="365">
        <f t="shared" si="36"/>
        <v>5.1</v>
      </c>
      <c r="AR46" s="365">
        <f t="shared" si="37"/>
        <v>0.31</v>
      </c>
      <c r="AS46" s="365">
        <f t="shared" si="21"/>
        <v>43.9834</v>
      </c>
      <c r="AT46" s="365">
        <f t="shared" si="38"/>
        <v>10.68</v>
      </c>
      <c r="AU46" s="365">
        <f t="shared" si="39"/>
        <v>0</v>
      </c>
      <c r="AV46" s="365">
        <f t="shared" si="40"/>
        <v>0</v>
      </c>
      <c r="AW46" s="365">
        <f t="shared" si="41"/>
        <v>0</v>
      </c>
      <c r="AX46" s="365">
        <f t="shared" si="42"/>
        <v>0</v>
      </c>
      <c r="AY46" s="365">
        <f t="shared" si="43"/>
        <v>0</v>
      </c>
      <c r="AZ46" s="365">
        <f t="shared" si="44"/>
        <v>0</v>
      </c>
      <c r="BA46" s="365">
        <f t="shared" si="45"/>
        <v>15.72</v>
      </c>
      <c r="BB46" s="365">
        <f t="shared" si="12"/>
        <v>11</v>
      </c>
      <c r="BC46" s="365">
        <f t="shared" si="46"/>
        <v>6.5834</v>
      </c>
      <c r="BD46" s="363"/>
      <c r="BE46">
        <v>6.5834</v>
      </c>
    </row>
    <row r="47" ht="24" spans="1:57">
      <c r="A47" s="284" t="s">
        <v>221</v>
      </c>
      <c r="B47" s="284" t="s">
        <v>196</v>
      </c>
      <c r="C47" s="284" t="s">
        <v>246</v>
      </c>
      <c r="D47" s="284" t="s">
        <v>207</v>
      </c>
      <c r="E47" s="365">
        <f t="shared" si="8"/>
        <v>0</v>
      </c>
      <c r="F47" s="365">
        <f t="shared" si="9"/>
        <v>0</v>
      </c>
      <c r="G47" s="365"/>
      <c r="H47" s="365"/>
      <c r="I47" s="365"/>
      <c r="J47" s="365"/>
      <c r="K47" s="365"/>
      <c r="L47" s="365">
        <f t="shared" si="10"/>
        <v>0</v>
      </c>
      <c r="M47" s="365"/>
      <c r="N47" s="365"/>
      <c r="O47" s="365"/>
      <c r="P47" s="365"/>
      <c r="Q47" s="365"/>
      <c r="R47" s="365"/>
      <c r="S47" s="365"/>
      <c r="T47" s="365">
        <f t="shared" si="5"/>
        <v>0</v>
      </c>
      <c r="U47" s="365">
        <f t="shared" si="13"/>
        <v>0</v>
      </c>
      <c r="V47" s="365"/>
      <c r="W47" s="365"/>
      <c r="X47" s="365"/>
      <c r="Y47" s="365"/>
      <c r="Z47" s="365"/>
      <c r="AA47" s="365">
        <f t="shared" si="31"/>
        <v>0</v>
      </c>
      <c r="AB47" s="365"/>
      <c r="AC47" s="365"/>
      <c r="AD47" s="365"/>
      <c r="AE47" s="365"/>
      <c r="AF47" s="365"/>
      <c r="AG47" s="365"/>
      <c r="AH47" s="365">
        <v>0</v>
      </c>
      <c r="AI47" s="365"/>
      <c r="AJ47" s="365"/>
      <c r="AK47" s="365"/>
      <c r="AL47" s="365">
        <f t="shared" si="2"/>
        <v>0</v>
      </c>
      <c r="AM47" s="365">
        <f t="shared" si="32"/>
        <v>0</v>
      </c>
      <c r="AN47" s="365">
        <f t="shared" si="33"/>
        <v>0</v>
      </c>
      <c r="AO47" s="365">
        <f t="shared" si="34"/>
        <v>0</v>
      </c>
      <c r="AP47" s="365">
        <f t="shared" si="35"/>
        <v>0</v>
      </c>
      <c r="AQ47" s="365">
        <f t="shared" si="36"/>
        <v>0</v>
      </c>
      <c r="AR47" s="365">
        <f t="shared" si="37"/>
        <v>0</v>
      </c>
      <c r="AS47" s="365">
        <f t="shared" si="21"/>
        <v>0</v>
      </c>
      <c r="AT47" s="365">
        <f t="shared" si="38"/>
        <v>0</v>
      </c>
      <c r="AU47" s="365">
        <f t="shared" si="39"/>
        <v>0</v>
      </c>
      <c r="AV47" s="365">
        <f t="shared" si="40"/>
        <v>0</v>
      </c>
      <c r="AW47" s="365">
        <f t="shared" si="41"/>
        <v>0</v>
      </c>
      <c r="AX47" s="365">
        <f t="shared" si="42"/>
        <v>0</v>
      </c>
      <c r="AY47" s="365">
        <f t="shared" si="43"/>
        <v>0</v>
      </c>
      <c r="AZ47" s="365">
        <f t="shared" si="44"/>
        <v>0</v>
      </c>
      <c r="BA47" s="365">
        <f t="shared" si="45"/>
        <v>0</v>
      </c>
      <c r="BB47" s="365">
        <f t="shared" si="12"/>
        <v>0</v>
      </c>
      <c r="BC47" s="365">
        <f t="shared" si="46"/>
        <v>0</v>
      </c>
      <c r="BD47" s="363"/>
      <c r="BE47">
        <v>11.6946</v>
      </c>
    </row>
    <row r="48" ht="24" spans="1:57">
      <c r="A48" s="284" t="s">
        <v>221</v>
      </c>
      <c r="B48" s="284" t="s">
        <v>199</v>
      </c>
      <c r="C48" s="284" t="s">
        <v>247</v>
      </c>
      <c r="D48" s="284" t="s">
        <v>213</v>
      </c>
      <c r="E48" s="365">
        <f t="shared" si="8"/>
        <v>42.04</v>
      </c>
      <c r="F48" s="365">
        <f t="shared" si="9"/>
        <v>23.66</v>
      </c>
      <c r="G48" s="365">
        <v>14.37</v>
      </c>
      <c r="H48" s="365">
        <v>0.07</v>
      </c>
      <c r="I48" s="365">
        <v>7.3</v>
      </c>
      <c r="J48" s="365">
        <v>1.92</v>
      </c>
      <c r="K48" s="365"/>
      <c r="L48" s="365">
        <f t="shared" si="10"/>
        <v>18.38</v>
      </c>
      <c r="M48" s="365">
        <v>4.38</v>
      </c>
      <c r="N48" s="365"/>
      <c r="O48" s="365"/>
      <c r="P48" s="365"/>
      <c r="Q48" s="365"/>
      <c r="R48" s="365"/>
      <c r="S48" s="365">
        <v>14</v>
      </c>
      <c r="T48" s="365">
        <f t="shared" si="5"/>
        <v>-4.6583</v>
      </c>
      <c r="U48" s="365">
        <f t="shared" si="13"/>
        <v>-2.18</v>
      </c>
      <c r="V48" s="365">
        <v>-3.57</v>
      </c>
      <c r="W48" s="365"/>
      <c r="X48" s="365">
        <v>1.15</v>
      </c>
      <c r="Y48" s="365">
        <v>0.14</v>
      </c>
      <c r="Z48" s="365">
        <v>0.1</v>
      </c>
      <c r="AA48" s="365">
        <f t="shared" si="31"/>
        <v>-2.4783</v>
      </c>
      <c r="AB48" s="365">
        <v>-0.83</v>
      </c>
      <c r="AC48" s="365"/>
      <c r="AD48" s="365"/>
      <c r="AE48" s="365"/>
      <c r="AF48" s="365"/>
      <c r="AG48" s="365"/>
      <c r="AH48" s="365">
        <v>-14</v>
      </c>
      <c r="AI48" s="365">
        <v>5.31</v>
      </c>
      <c r="AJ48" s="365">
        <v>5</v>
      </c>
      <c r="AK48" s="365">
        <v>2.0417</v>
      </c>
      <c r="AL48" s="365">
        <f t="shared" si="2"/>
        <v>37.3817</v>
      </c>
      <c r="AM48" s="365">
        <f t="shared" si="32"/>
        <v>21.48</v>
      </c>
      <c r="AN48" s="365">
        <f t="shared" si="33"/>
        <v>10.8</v>
      </c>
      <c r="AO48" s="365">
        <f t="shared" si="34"/>
        <v>0.07</v>
      </c>
      <c r="AP48" s="365">
        <f t="shared" si="35"/>
        <v>8.45</v>
      </c>
      <c r="AQ48" s="365">
        <f t="shared" si="36"/>
        <v>2.06</v>
      </c>
      <c r="AR48" s="365">
        <f t="shared" si="37"/>
        <v>0.1</v>
      </c>
      <c r="AS48" s="365">
        <f t="shared" si="21"/>
        <v>15.9017</v>
      </c>
      <c r="AT48" s="365">
        <f t="shared" si="38"/>
        <v>3.55</v>
      </c>
      <c r="AU48" s="365">
        <f t="shared" si="39"/>
        <v>0</v>
      </c>
      <c r="AV48" s="365">
        <f t="shared" si="40"/>
        <v>0</v>
      </c>
      <c r="AW48" s="365">
        <f t="shared" si="41"/>
        <v>0</v>
      </c>
      <c r="AX48" s="365">
        <f t="shared" si="42"/>
        <v>0</v>
      </c>
      <c r="AY48" s="365">
        <f t="shared" si="43"/>
        <v>0</v>
      </c>
      <c r="AZ48" s="365">
        <f t="shared" si="44"/>
        <v>0</v>
      </c>
      <c r="BA48" s="365">
        <f t="shared" si="45"/>
        <v>5.31</v>
      </c>
      <c r="BB48" s="365">
        <f t="shared" si="12"/>
        <v>5</v>
      </c>
      <c r="BC48" s="365">
        <f t="shared" si="46"/>
        <v>2.0417</v>
      </c>
      <c r="BD48" s="363"/>
      <c r="BE48">
        <v>2.0417</v>
      </c>
    </row>
    <row r="49" ht="24" spans="1:57">
      <c r="A49" s="284" t="s">
        <v>221</v>
      </c>
      <c r="B49" s="284" t="s">
        <v>199</v>
      </c>
      <c r="C49" s="284" t="s">
        <v>248</v>
      </c>
      <c r="D49" s="284" t="s">
        <v>213</v>
      </c>
      <c r="E49" s="365">
        <f t="shared" si="8"/>
        <v>32.69</v>
      </c>
      <c r="F49" s="365">
        <f t="shared" si="9"/>
        <v>18.54</v>
      </c>
      <c r="G49" s="365">
        <v>11.11</v>
      </c>
      <c r="H49" s="365"/>
      <c r="I49" s="365">
        <v>5.25</v>
      </c>
      <c r="J49" s="365">
        <v>1.92</v>
      </c>
      <c r="K49" s="365">
        <v>0.26</v>
      </c>
      <c r="L49" s="365">
        <f t="shared" si="10"/>
        <v>14.15</v>
      </c>
      <c r="M49" s="365">
        <v>3.15</v>
      </c>
      <c r="N49" s="365"/>
      <c r="O49" s="365"/>
      <c r="P49" s="365"/>
      <c r="Q49" s="365"/>
      <c r="R49" s="365"/>
      <c r="S49" s="365">
        <v>11</v>
      </c>
      <c r="T49" s="365">
        <f t="shared" si="5"/>
        <v>1.75</v>
      </c>
      <c r="U49" s="365">
        <f t="shared" si="13"/>
        <v>2.28</v>
      </c>
      <c r="V49" s="365">
        <v>1.14</v>
      </c>
      <c r="W49" s="365"/>
      <c r="X49" s="365">
        <v>0.96</v>
      </c>
      <c r="Y49" s="365">
        <v>0.18</v>
      </c>
      <c r="Z49" s="365"/>
      <c r="AA49" s="365">
        <f t="shared" si="31"/>
        <v>-0.53</v>
      </c>
      <c r="AB49" s="365">
        <v>-0.06</v>
      </c>
      <c r="AC49" s="365"/>
      <c r="AD49" s="365"/>
      <c r="AE49" s="365"/>
      <c r="AF49" s="365"/>
      <c r="AG49" s="365"/>
      <c r="AH49" s="365">
        <v>-11</v>
      </c>
      <c r="AI49" s="365">
        <v>4.53</v>
      </c>
      <c r="AJ49" s="365">
        <v>4</v>
      </c>
      <c r="AK49" s="365">
        <v>2</v>
      </c>
      <c r="AL49" s="365">
        <f t="shared" si="2"/>
        <v>34.44</v>
      </c>
      <c r="AM49" s="365">
        <f t="shared" si="32"/>
        <v>20.82</v>
      </c>
      <c r="AN49" s="365">
        <f t="shared" si="33"/>
        <v>12.25</v>
      </c>
      <c r="AO49" s="365">
        <f t="shared" si="34"/>
        <v>0</v>
      </c>
      <c r="AP49" s="365">
        <f t="shared" si="35"/>
        <v>6.21</v>
      </c>
      <c r="AQ49" s="365">
        <f t="shared" si="36"/>
        <v>2.1</v>
      </c>
      <c r="AR49" s="365">
        <f t="shared" si="37"/>
        <v>0.26</v>
      </c>
      <c r="AS49" s="365">
        <f t="shared" si="21"/>
        <v>13.62</v>
      </c>
      <c r="AT49" s="365">
        <f t="shared" si="38"/>
        <v>3.09</v>
      </c>
      <c r="AU49" s="365">
        <f t="shared" si="39"/>
        <v>0</v>
      </c>
      <c r="AV49" s="365">
        <f t="shared" si="40"/>
        <v>0</v>
      </c>
      <c r="AW49" s="365">
        <f t="shared" si="41"/>
        <v>0</v>
      </c>
      <c r="AX49" s="365">
        <f t="shared" si="42"/>
        <v>0</v>
      </c>
      <c r="AY49" s="365">
        <f t="shared" si="43"/>
        <v>0</v>
      </c>
      <c r="AZ49" s="365">
        <f t="shared" si="44"/>
        <v>0</v>
      </c>
      <c r="BA49" s="365">
        <f t="shared" si="45"/>
        <v>4.53</v>
      </c>
      <c r="BB49" s="365">
        <f t="shared" si="12"/>
        <v>4</v>
      </c>
      <c r="BC49" s="365">
        <f t="shared" si="46"/>
        <v>2</v>
      </c>
      <c r="BD49" s="363"/>
      <c r="BE49">
        <v>2</v>
      </c>
    </row>
    <row r="50" ht="24" spans="1:57">
      <c r="A50" s="284" t="s">
        <v>221</v>
      </c>
      <c r="B50" s="284" t="s">
        <v>199</v>
      </c>
      <c r="C50" s="284" t="s">
        <v>249</v>
      </c>
      <c r="D50" s="284" t="s">
        <v>213</v>
      </c>
      <c r="E50" s="365">
        <f t="shared" si="8"/>
        <v>124.13</v>
      </c>
      <c r="F50" s="365">
        <f t="shared" si="9"/>
        <v>71.16</v>
      </c>
      <c r="G50" s="365">
        <v>43.95</v>
      </c>
      <c r="H50" s="365">
        <v>0.24</v>
      </c>
      <c r="I50" s="365">
        <v>19.94</v>
      </c>
      <c r="J50" s="365">
        <v>6.72</v>
      </c>
      <c r="K50" s="365">
        <v>0.31</v>
      </c>
      <c r="L50" s="365">
        <f t="shared" si="10"/>
        <v>52.97</v>
      </c>
      <c r="M50" s="365">
        <v>11.97</v>
      </c>
      <c r="N50" s="365"/>
      <c r="O50" s="365"/>
      <c r="P50" s="365"/>
      <c r="Q50" s="365"/>
      <c r="R50" s="365"/>
      <c r="S50" s="365">
        <v>41</v>
      </c>
      <c r="T50" s="365">
        <f t="shared" si="5"/>
        <v>8.8851</v>
      </c>
      <c r="U50" s="365">
        <f t="shared" si="13"/>
        <v>9.64</v>
      </c>
      <c r="V50" s="365">
        <v>2.54</v>
      </c>
      <c r="W50" s="365"/>
      <c r="X50" s="365">
        <v>4.91</v>
      </c>
      <c r="Y50" s="365">
        <v>1.32</v>
      </c>
      <c r="Z50" s="365">
        <v>0.87</v>
      </c>
      <c r="AA50" s="365">
        <f t="shared" si="31"/>
        <v>-0.7549</v>
      </c>
      <c r="AB50" s="365">
        <v>0.5</v>
      </c>
      <c r="AC50" s="365"/>
      <c r="AD50" s="365"/>
      <c r="AE50" s="365"/>
      <c r="AF50" s="365"/>
      <c r="AG50" s="365"/>
      <c r="AH50" s="365">
        <v>-41</v>
      </c>
      <c r="AI50" s="365">
        <v>19.77</v>
      </c>
      <c r="AJ50" s="365">
        <v>12</v>
      </c>
      <c r="AK50" s="365">
        <v>7.9751</v>
      </c>
      <c r="AL50" s="365">
        <f t="shared" si="2"/>
        <v>133.0151</v>
      </c>
      <c r="AM50" s="365">
        <f t="shared" si="32"/>
        <v>80.8</v>
      </c>
      <c r="AN50" s="365">
        <f t="shared" si="33"/>
        <v>46.49</v>
      </c>
      <c r="AO50" s="365">
        <f t="shared" si="34"/>
        <v>0.24</v>
      </c>
      <c r="AP50" s="365">
        <f t="shared" si="35"/>
        <v>24.85</v>
      </c>
      <c r="AQ50" s="365">
        <f t="shared" si="36"/>
        <v>8.04</v>
      </c>
      <c r="AR50" s="365">
        <f t="shared" si="37"/>
        <v>1.18</v>
      </c>
      <c r="AS50" s="365">
        <f t="shared" si="21"/>
        <v>52.2151</v>
      </c>
      <c r="AT50" s="365">
        <f t="shared" si="38"/>
        <v>12.47</v>
      </c>
      <c r="AU50" s="365">
        <f t="shared" si="39"/>
        <v>0</v>
      </c>
      <c r="AV50" s="365">
        <f t="shared" si="40"/>
        <v>0</v>
      </c>
      <c r="AW50" s="365">
        <f t="shared" si="41"/>
        <v>0</v>
      </c>
      <c r="AX50" s="365">
        <f t="shared" si="42"/>
        <v>0</v>
      </c>
      <c r="AY50" s="365">
        <f t="shared" si="43"/>
        <v>0</v>
      </c>
      <c r="AZ50" s="365">
        <f t="shared" si="44"/>
        <v>0</v>
      </c>
      <c r="BA50" s="365">
        <f t="shared" si="45"/>
        <v>19.77</v>
      </c>
      <c r="BB50" s="365">
        <f t="shared" si="12"/>
        <v>12</v>
      </c>
      <c r="BC50" s="365">
        <f t="shared" si="46"/>
        <v>7.9751</v>
      </c>
      <c r="BD50" s="363"/>
      <c r="BE50">
        <v>7.9751</v>
      </c>
    </row>
    <row r="51" ht="24" spans="1:57">
      <c r="A51" s="284" t="s">
        <v>221</v>
      </c>
      <c r="B51" s="284" t="s">
        <v>196</v>
      </c>
      <c r="C51" s="284" t="s">
        <v>250</v>
      </c>
      <c r="D51" s="284" t="s">
        <v>207</v>
      </c>
      <c r="E51" s="365">
        <f t="shared" si="8"/>
        <v>0</v>
      </c>
      <c r="F51" s="365">
        <f t="shared" si="9"/>
        <v>0</v>
      </c>
      <c r="G51" s="365"/>
      <c r="H51" s="365"/>
      <c r="I51" s="365"/>
      <c r="J51" s="365"/>
      <c r="K51" s="365"/>
      <c r="L51" s="365">
        <f t="shared" si="10"/>
        <v>0</v>
      </c>
      <c r="M51" s="365"/>
      <c r="N51" s="365"/>
      <c r="O51" s="365"/>
      <c r="P51" s="365"/>
      <c r="Q51" s="365"/>
      <c r="R51" s="365"/>
      <c r="S51" s="365"/>
      <c r="T51" s="365">
        <f t="shared" si="5"/>
        <v>0</v>
      </c>
      <c r="U51" s="365">
        <f t="shared" si="13"/>
        <v>0</v>
      </c>
      <c r="V51" s="365"/>
      <c r="W51" s="365"/>
      <c r="X51" s="365"/>
      <c r="Y51" s="365"/>
      <c r="Z51" s="365"/>
      <c r="AA51" s="365">
        <f t="shared" si="31"/>
        <v>0</v>
      </c>
      <c r="AB51" s="365"/>
      <c r="AC51" s="365"/>
      <c r="AD51" s="365"/>
      <c r="AE51" s="365"/>
      <c r="AF51" s="365"/>
      <c r="AG51" s="365"/>
      <c r="AH51" s="365">
        <v>0</v>
      </c>
      <c r="AI51" s="365"/>
      <c r="AJ51" s="365"/>
      <c r="AK51" s="365"/>
      <c r="AL51" s="365">
        <f t="shared" si="2"/>
        <v>0</v>
      </c>
      <c r="AM51" s="365">
        <f t="shared" si="32"/>
        <v>0</v>
      </c>
      <c r="AN51" s="365">
        <f t="shared" si="33"/>
        <v>0</v>
      </c>
      <c r="AO51" s="365">
        <f t="shared" si="34"/>
        <v>0</v>
      </c>
      <c r="AP51" s="365">
        <f t="shared" si="35"/>
        <v>0</v>
      </c>
      <c r="AQ51" s="365">
        <f t="shared" si="36"/>
        <v>0</v>
      </c>
      <c r="AR51" s="365">
        <f t="shared" si="37"/>
        <v>0</v>
      </c>
      <c r="AS51" s="365">
        <f t="shared" si="21"/>
        <v>0</v>
      </c>
      <c r="AT51" s="365">
        <f t="shared" si="38"/>
        <v>0</v>
      </c>
      <c r="AU51" s="365">
        <f t="shared" si="39"/>
        <v>0</v>
      </c>
      <c r="AV51" s="365">
        <f t="shared" si="40"/>
        <v>0</v>
      </c>
      <c r="AW51" s="365">
        <f t="shared" si="41"/>
        <v>0</v>
      </c>
      <c r="AX51" s="365">
        <f t="shared" si="42"/>
        <v>0</v>
      </c>
      <c r="AY51" s="365">
        <f t="shared" si="43"/>
        <v>0</v>
      </c>
      <c r="AZ51" s="365">
        <f t="shared" si="44"/>
        <v>0</v>
      </c>
      <c r="BA51" s="365">
        <f t="shared" si="45"/>
        <v>0</v>
      </c>
      <c r="BB51" s="365">
        <f t="shared" si="12"/>
        <v>0</v>
      </c>
      <c r="BC51" s="365">
        <f t="shared" si="46"/>
        <v>0</v>
      </c>
      <c r="BD51" s="363"/>
      <c r="BE51">
        <v>12.1774</v>
      </c>
    </row>
    <row r="52" ht="24" spans="1:57">
      <c r="A52" s="284" t="s">
        <v>221</v>
      </c>
      <c r="B52" s="284" t="s">
        <v>199</v>
      </c>
      <c r="C52" s="284" t="s">
        <v>251</v>
      </c>
      <c r="D52" s="284" t="s">
        <v>213</v>
      </c>
      <c r="E52" s="365">
        <f t="shared" si="8"/>
        <v>47.73</v>
      </c>
      <c r="F52" s="365">
        <f t="shared" si="9"/>
        <v>28.94</v>
      </c>
      <c r="G52" s="365">
        <v>18.07</v>
      </c>
      <c r="H52" s="365"/>
      <c r="I52" s="365">
        <v>7.99</v>
      </c>
      <c r="J52" s="365">
        <v>2.88</v>
      </c>
      <c r="K52" s="365"/>
      <c r="L52" s="365">
        <f t="shared" si="10"/>
        <v>18.79</v>
      </c>
      <c r="M52" s="365">
        <v>4.79</v>
      </c>
      <c r="N52" s="365"/>
      <c r="O52" s="365"/>
      <c r="P52" s="365"/>
      <c r="Q52" s="365"/>
      <c r="R52" s="365"/>
      <c r="S52" s="365">
        <v>14</v>
      </c>
      <c r="T52" s="365">
        <f t="shared" si="5"/>
        <v>3.5375</v>
      </c>
      <c r="U52" s="365">
        <f t="shared" si="13"/>
        <v>2.734</v>
      </c>
      <c r="V52" s="365">
        <v>2.5</v>
      </c>
      <c r="W52" s="365"/>
      <c r="X52" s="365">
        <v>0.31</v>
      </c>
      <c r="Y52" s="365"/>
      <c r="Z52" s="365">
        <v>-0.076</v>
      </c>
      <c r="AA52" s="365">
        <f t="shared" si="31"/>
        <v>0.803500000000001</v>
      </c>
      <c r="AB52" s="365">
        <v>0.1135</v>
      </c>
      <c r="AC52" s="365"/>
      <c r="AD52" s="365"/>
      <c r="AE52" s="365"/>
      <c r="AF52" s="365"/>
      <c r="AG52" s="365"/>
      <c r="AH52" s="365">
        <v>-14</v>
      </c>
      <c r="AI52" s="365">
        <v>6.69</v>
      </c>
      <c r="AJ52" s="365">
        <v>5</v>
      </c>
      <c r="AK52" s="365">
        <v>3</v>
      </c>
      <c r="AL52" s="365">
        <f t="shared" si="2"/>
        <v>51.2675</v>
      </c>
      <c r="AM52" s="365">
        <f t="shared" si="32"/>
        <v>31.674</v>
      </c>
      <c r="AN52" s="365">
        <f t="shared" si="33"/>
        <v>20.57</v>
      </c>
      <c r="AO52" s="365">
        <f t="shared" si="34"/>
        <v>0</v>
      </c>
      <c r="AP52" s="365">
        <f t="shared" si="35"/>
        <v>8.3</v>
      </c>
      <c r="AQ52" s="365">
        <f t="shared" si="36"/>
        <v>2.88</v>
      </c>
      <c r="AR52" s="365">
        <f t="shared" si="37"/>
        <v>-0.076</v>
      </c>
      <c r="AS52" s="365">
        <f t="shared" si="21"/>
        <v>19.5935</v>
      </c>
      <c r="AT52" s="365">
        <f t="shared" si="38"/>
        <v>4.9035</v>
      </c>
      <c r="AU52" s="365">
        <f t="shared" si="39"/>
        <v>0</v>
      </c>
      <c r="AV52" s="365">
        <f t="shared" si="40"/>
        <v>0</v>
      </c>
      <c r="AW52" s="365">
        <f t="shared" si="41"/>
        <v>0</v>
      </c>
      <c r="AX52" s="365">
        <f t="shared" si="42"/>
        <v>0</v>
      </c>
      <c r="AY52" s="365">
        <f t="shared" si="43"/>
        <v>0</v>
      </c>
      <c r="AZ52" s="365">
        <f t="shared" si="44"/>
        <v>0</v>
      </c>
      <c r="BA52" s="365">
        <f t="shared" si="45"/>
        <v>6.69</v>
      </c>
      <c r="BB52" s="365">
        <f t="shared" si="12"/>
        <v>5</v>
      </c>
      <c r="BC52" s="365">
        <f t="shared" si="46"/>
        <v>3</v>
      </c>
      <c r="BD52" s="363"/>
      <c r="BE52">
        <v>3</v>
      </c>
    </row>
    <row r="53" ht="24" spans="1:57">
      <c r="A53" s="284" t="s">
        <v>221</v>
      </c>
      <c r="B53" s="284" t="s">
        <v>199</v>
      </c>
      <c r="C53" s="284" t="s">
        <v>252</v>
      </c>
      <c r="D53" s="284" t="s">
        <v>213</v>
      </c>
      <c r="E53" s="365">
        <f t="shared" si="8"/>
        <v>39.13</v>
      </c>
      <c r="F53" s="365">
        <f t="shared" si="9"/>
        <v>24.16</v>
      </c>
      <c r="G53" s="365">
        <v>14.88</v>
      </c>
      <c r="H53" s="365"/>
      <c r="I53" s="365">
        <v>6.62</v>
      </c>
      <c r="J53" s="365">
        <v>2.4</v>
      </c>
      <c r="K53" s="365">
        <v>0.26</v>
      </c>
      <c r="L53" s="365">
        <f t="shared" si="10"/>
        <v>14.97</v>
      </c>
      <c r="M53" s="365">
        <v>3.97</v>
      </c>
      <c r="N53" s="365"/>
      <c r="O53" s="365"/>
      <c r="P53" s="365"/>
      <c r="Q53" s="365"/>
      <c r="R53" s="365"/>
      <c r="S53" s="365">
        <v>11</v>
      </c>
      <c r="T53" s="365">
        <f t="shared" si="5"/>
        <v>4.7202</v>
      </c>
      <c r="U53" s="365">
        <f t="shared" si="13"/>
        <v>3.1</v>
      </c>
      <c r="V53" s="365">
        <v>1.97</v>
      </c>
      <c r="W53" s="365"/>
      <c r="X53" s="365">
        <v>1.13</v>
      </c>
      <c r="Y53" s="365"/>
      <c r="Z53" s="365"/>
      <c r="AA53" s="365">
        <f t="shared" si="31"/>
        <v>1.6202</v>
      </c>
      <c r="AB53" s="365">
        <v>0.3852</v>
      </c>
      <c r="AC53" s="365"/>
      <c r="AD53" s="365"/>
      <c r="AE53" s="365"/>
      <c r="AF53" s="365"/>
      <c r="AG53" s="365"/>
      <c r="AH53" s="365">
        <v>-11</v>
      </c>
      <c r="AI53" s="365">
        <v>5.61</v>
      </c>
      <c r="AJ53" s="365">
        <v>4</v>
      </c>
      <c r="AK53" s="365">
        <v>2.625</v>
      </c>
      <c r="AL53" s="365">
        <f t="shared" si="2"/>
        <v>43.8502</v>
      </c>
      <c r="AM53" s="365">
        <f t="shared" si="32"/>
        <v>27.26</v>
      </c>
      <c r="AN53" s="365">
        <f t="shared" si="33"/>
        <v>16.85</v>
      </c>
      <c r="AO53" s="365">
        <f t="shared" si="34"/>
        <v>0</v>
      </c>
      <c r="AP53" s="365">
        <f t="shared" si="35"/>
        <v>7.75</v>
      </c>
      <c r="AQ53" s="365">
        <f t="shared" si="36"/>
        <v>2.4</v>
      </c>
      <c r="AR53" s="365">
        <f t="shared" si="37"/>
        <v>0.26</v>
      </c>
      <c r="AS53" s="365">
        <f t="shared" si="21"/>
        <v>16.5902</v>
      </c>
      <c r="AT53" s="365">
        <f t="shared" si="38"/>
        <v>4.3552</v>
      </c>
      <c r="AU53" s="365">
        <f t="shared" si="39"/>
        <v>0</v>
      </c>
      <c r="AV53" s="365">
        <f t="shared" si="40"/>
        <v>0</v>
      </c>
      <c r="AW53" s="365">
        <f t="shared" si="41"/>
        <v>0</v>
      </c>
      <c r="AX53" s="365">
        <f t="shared" si="42"/>
        <v>0</v>
      </c>
      <c r="AY53" s="365">
        <f t="shared" si="43"/>
        <v>0</v>
      </c>
      <c r="AZ53" s="365">
        <f t="shared" si="44"/>
        <v>0</v>
      </c>
      <c r="BA53" s="365">
        <f t="shared" si="45"/>
        <v>5.61</v>
      </c>
      <c r="BB53" s="365">
        <f t="shared" si="12"/>
        <v>4</v>
      </c>
      <c r="BC53" s="365">
        <f t="shared" si="46"/>
        <v>2.625</v>
      </c>
      <c r="BD53" s="363"/>
      <c r="BE53">
        <v>2.625</v>
      </c>
    </row>
    <row r="54" ht="24" spans="1:57">
      <c r="A54" s="284" t="s">
        <v>221</v>
      </c>
      <c r="B54" s="284" t="s">
        <v>199</v>
      </c>
      <c r="C54" s="284" t="s">
        <v>253</v>
      </c>
      <c r="D54" s="284" t="s">
        <v>213</v>
      </c>
      <c r="E54" s="365">
        <f t="shared" si="8"/>
        <v>137.57</v>
      </c>
      <c r="F54" s="365">
        <f t="shared" si="9"/>
        <v>85.92</v>
      </c>
      <c r="G54" s="365">
        <v>54.53</v>
      </c>
      <c r="H54" s="365">
        <v>0.38</v>
      </c>
      <c r="I54" s="365">
        <v>22.75</v>
      </c>
      <c r="J54" s="365">
        <v>7.68</v>
      </c>
      <c r="K54" s="365">
        <v>0.58</v>
      </c>
      <c r="L54" s="365">
        <f t="shared" si="10"/>
        <v>51.65</v>
      </c>
      <c r="M54" s="365">
        <v>13.65</v>
      </c>
      <c r="N54" s="365"/>
      <c r="O54" s="365"/>
      <c r="P54" s="365"/>
      <c r="Q54" s="365"/>
      <c r="R54" s="365"/>
      <c r="S54" s="365">
        <v>38</v>
      </c>
      <c r="T54" s="365">
        <f t="shared" si="5"/>
        <v>31.9551</v>
      </c>
      <c r="U54" s="365">
        <f t="shared" si="13"/>
        <v>22.83</v>
      </c>
      <c r="V54" s="365">
        <v>18.06</v>
      </c>
      <c r="W54" s="365"/>
      <c r="X54" s="365">
        <v>3.51</v>
      </c>
      <c r="Y54" s="365">
        <v>1.52</v>
      </c>
      <c r="Z54" s="365">
        <v>-0.26</v>
      </c>
      <c r="AA54" s="365">
        <f t="shared" si="31"/>
        <v>9.1251</v>
      </c>
      <c r="AB54" s="365">
        <v>3.27</v>
      </c>
      <c r="AC54" s="365"/>
      <c r="AD54" s="365"/>
      <c r="AE54" s="365"/>
      <c r="AF54" s="365"/>
      <c r="AG54" s="365"/>
      <c r="AH54" s="365">
        <v>-38</v>
      </c>
      <c r="AI54" s="365">
        <v>22.23</v>
      </c>
      <c r="AJ54" s="365">
        <v>13</v>
      </c>
      <c r="AK54" s="365">
        <v>8.6251</v>
      </c>
      <c r="AL54" s="365">
        <f t="shared" si="2"/>
        <v>169.5251</v>
      </c>
      <c r="AM54" s="365">
        <f t="shared" si="32"/>
        <v>108.75</v>
      </c>
      <c r="AN54" s="365">
        <f t="shared" si="33"/>
        <v>72.59</v>
      </c>
      <c r="AO54" s="365">
        <f t="shared" si="34"/>
        <v>0.38</v>
      </c>
      <c r="AP54" s="365">
        <f t="shared" si="35"/>
        <v>26.26</v>
      </c>
      <c r="AQ54" s="365">
        <f t="shared" si="36"/>
        <v>9.2</v>
      </c>
      <c r="AR54" s="365">
        <f t="shared" si="37"/>
        <v>0.32</v>
      </c>
      <c r="AS54" s="365">
        <f t="shared" si="21"/>
        <v>60.7751</v>
      </c>
      <c r="AT54" s="365">
        <f t="shared" si="38"/>
        <v>16.92</v>
      </c>
      <c r="AU54" s="365">
        <f t="shared" si="39"/>
        <v>0</v>
      </c>
      <c r="AV54" s="365">
        <f t="shared" si="40"/>
        <v>0</v>
      </c>
      <c r="AW54" s="365">
        <f t="shared" si="41"/>
        <v>0</v>
      </c>
      <c r="AX54" s="365">
        <f t="shared" si="42"/>
        <v>0</v>
      </c>
      <c r="AY54" s="365">
        <f t="shared" si="43"/>
        <v>0</v>
      </c>
      <c r="AZ54" s="365">
        <f t="shared" si="44"/>
        <v>0</v>
      </c>
      <c r="BA54" s="365">
        <f t="shared" si="45"/>
        <v>22.23</v>
      </c>
      <c r="BB54" s="365">
        <f t="shared" si="12"/>
        <v>13</v>
      </c>
      <c r="BC54" s="365">
        <f t="shared" si="46"/>
        <v>8.6251</v>
      </c>
      <c r="BD54" s="363"/>
      <c r="BE54">
        <v>8.6251</v>
      </c>
    </row>
    <row r="55" ht="24" spans="1:57">
      <c r="A55" s="284" t="s">
        <v>221</v>
      </c>
      <c r="B55" s="284" t="s">
        <v>196</v>
      </c>
      <c r="C55" s="284" t="s">
        <v>254</v>
      </c>
      <c r="D55" s="284" t="s">
        <v>207</v>
      </c>
      <c r="E55" s="365">
        <f t="shared" si="8"/>
        <v>0</v>
      </c>
      <c r="F55" s="365">
        <f t="shared" si="9"/>
        <v>0</v>
      </c>
      <c r="G55" s="365"/>
      <c r="H55" s="365"/>
      <c r="I55" s="365"/>
      <c r="J55" s="365"/>
      <c r="K55" s="365"/>
      <c r="L55" s="365">
        <f t="shared" si="10"/>
        <v>0</v>
      </c>
      <c r="M55" s="365"/>
      <c r="N55" s="365"/>
      <c r="O55" s="365"/>
      <c r="P55" s="365"/>
      <c r="Q55" s="365"/>
      <c r="R55" s="365"/>
      <c r="S55" s="365"/>
      <c r="T55" s="365">
        <f t="shared" si="5"/>
        <v>0</v>
      </c>
      <c r="U55" s="365">
        <f t="shared" si="13"/>
        <v>0</v>
      </c>
      <c r="V55" s="365"/>
      <c r="W55" s="365"/>
      <c r="X55" s="365"/>
      <c r="Y55" s="365"/>
      <c r="Z55" s="365"/>
      <c r="AA55" s="365">
        <f t="shared" si="31"/>
        <v>0</v>
      </c>
      <c r="AB55" s="365"/>
      <c r="AC55" s="365"/>
      <c r="AD55" s="365"/>
      <c r="AE55" s="365"/>
      <c r="AF55" s="365"/>
      <c r="AG55" s="365"/>
      <c r="AH55" s="365">
        <v>0</v>
      </c>
      <c r="AI55" s="365"/>
      <c r="AJ55" s="365"/>
      <c r="AK55" s="365"/>
      <c r="AL55" s="365">
        <f t="shared" si="2"/>
        <v>0</v>
      </c>
      <c r="AM55" s="365">
        <f t="shared" si="32"/>
        <v>0</v>
      </c>
      <c r="AN55" s="365">
        <f t="shared" si="33"/>
        <v>0</v>
      </c>
      <c r="AO55" s="365">
        <f t="shared" si="34"/>
        <v>0</v>
      </c>
      <c r="AP55" s="365">
        <f t="shared" si="35"/>
        <v>0</v>
      </c>
      <c r="AQ55" s="365">
        <f t="shared" si="36"/>
        <v>0</v>
      </c>
      <c r="AR55" s="365">
        <f t="shared" si="37"/>
        <v>0</v>
      </c>
      <c r="AS55" s="365">
        <f t="shared" si="21"/>
        <v>0</v>
      </c>
      <c r="AT55" s="365">
        <f t="shared" si="38"/>
        <v>0</v>
      </c>
      <c r="AU55" s="365">
        <f t="shared" si="39"/>
        <v>0</v>
      </c>
      <c r="AV55" s="365">
        <f t="shared" si="40"/>
        <v>0</v>
      </c>
      <c r="AW55" s="365">
        <f t="shared" si="41"/>
        <v>0</v>
      </c>
      <c r="AX55" s="365">
        <f t="shared" si="42"/>
        <v>0</v>
      </c>
      <c r="AY55" s="365">
        <f t="shared" si="43"/>
        <v>0</v>
      </c>
      <c r="AZ55" s="365">
        <f t="shared" si="44"/>
        <v>0</v>
      </c>
      <c r="BA55" s="365">
        <f t="shared" si="45"/>
        <v>0</v>
      </c>
      <c r="BB55" s="365">
        <f t="shared" si="12"/>
        <v>0</v>
      </c>
      <c r="BC55" s="365">
        <f t="shared" si="46"/>
        <v>0</v>
      </c>
      <c r="BD55" s="363"/>
      <c r="BE55">
        <v>30.0754</v>
      </c>
    </row>
    <row r="56" ht="24" spans="1:57">
      <c r="A56" s="284" t="s">
        <v>221</v>
      </c>
      <c r="B56" s="284" t="s">
        <v>199</v>
      </c>
      <c r="C56" s="284" t="s">
        <v>255</v>
      </c>
      <c r="D56" s="284" t="s">
        <v>213</v>
      </c>
      <c r="E56" s="365">
        <f t="shared" si="8"/>
        <v>79.74</v>
      </c>
      <c r="F56" s="365">
        <f t="shared" si="9"/>
        <v>48.82</v>
      </c>
      <c r="G56" s="365">
        <v>33.22</v>
      </c>
      <c r="H56" s="365"/>
      <c r="I56" s="365">
        <v>13.2</v>
      </c>
      <c r="J56" s="365">
        <v>2.4</v>
      </c>
      <c r="K56" s="365"/>
      <c r="L56" s="365">
        <f t="shared" si="10"/>
        <v>30.92</v>
      </c>
      <c r="M56" s="365">
        <v>7.92</v>
      </c>
      <c r="N56" s="365"/>
      <c r="O56" s="365"/>
      <c r="P56" s="365"/>
      <c r="Q56" s="365"/>
      <c r="R56" s="365"/>
      <c r="S56" s="365">
        <v>23</v>
      </c>
      <c r="T56" s="365">
        <f t="shared" si="5"/>
        <v>11.1217</v>
      </c>
      <c r="U56" s="365">
        <f t="shared" si="13"/>
        <v>8.27</v>
      </c>
      <c r="V56" s="365">
        <v>6.81</v>
      </c>
      <c r="W56" s="365"/>
      <c r="X56" s="365">
        <v>1.2</v>
      </c>
      <c r="Y56" s="365">
        <v>0.26</v>
      </c>
      <c r="Z56" s="365"/>
      <c r="AA56" s="365">
        <f t="shared" si="31"/>
        <v>2.8517</v>
      </c>
      <c r="AB56" s="365">
        <v>0.72</v>
      </c>
      <c r="AC56" s="365"/>
      <c r="AD56" s="365"/>
      <c r="AE56" s="365"/>
      <c r="AF56" s="365"/>
      <c r="AG56" s="365"/>
      <c r="AH56" s="365">
        <v>-23</v>
      </c>
      <c r="AI56" s="365">
        <v>12.09</v>
      </c>
      <c r="AJ56" s="365">
        <v>8</v>
      </c>
      <c r="AK56" s="365">
        <v>5.0417</v>
      </c>
      <c r="AL56" s="365">
        <f t="shared" si="2"/>
        <v>90.8617</v>
      </c>
      <c r="AM56" s="365">
        <f t="shared" si="32"/>
        <v>57.09</v>
      </c>
      <c r="AN56" s="365">
        <f t="shared" si="33"/>
        <v>40.03</v>
      </c>
      <c r="AO56" s="365">
        <f t="shared" si="34"/>
        <v>0</v>
      </c>
      <c r="AP56" s="365">
        <f t="shared" si="35"/>
        <v>14.4</v>
      </c>
      <c r="AQ56" s="365">
        <f t="shared" si="36"/>
        <v>2.66</v>
      </c>
      <c r="AR56" s="365">
        <f t="shared" si="37"/>
        <v>0</v>
      </c>
      <c r="AS56" s="365">
        <f t="shared" si="21"/>
        <v>33.7717</v>
      </c>
      <c r="AT56" s="365">
        <f t="shared" si="38"/>
        <v>8.64</v>
      </c>
      <c r="AU56" s="365">
        <f t="shared" si="39"/>
        <v>0</v>
      </c>
      <c r="AV56" s="365">
        <f t="shared" si="40"/>
        <v>0</v>
      </c>
      <c r="AW56" s="365">
        <f t="shared" si="41"/>
        <v>0</v>
      </c>
      <c r="AX56" s="365">
        <f t="shared" si="42"/>
        <v>0</v>
      </c>
      <c r="AY56" s="365">
        <f t="shared" si="43"/>
        <v>0</v>
      </c>
      <c r="AZ56" s="365">
        <f t="shared" si="44"/>
        <v>0</v>
      </c>
      <c r="BA56" s="365">
        <f t="shared" si="45"/>
        <v>12.09</v>
      </c>
      <c r="BB56" s="365">
        <f t="shared" si="12"/>
        <v>8</v>
      </c>
      <c r="BC56" s="365">
        <f t="shared" si="46"/>
        <v>5.0417</v>
      </c>
      <c r="BD56" s="363"/>
      <c r="BE56">
        <v>5.0417</v>
      </c>
    </row>
    <row r="57" ht="24" spans="1:57">
      <c r="A57" s="284" t="s">
        <v>221</v>
      </c>
      <c r="B57" s="284" t="s">
        <v>199</v>
      </c>
      <c r="C57" s="284" t="s">
        <v>256</v>
      </c>
      <c r="D57" s="284" t="s">
        <v>213</v>
      </c>
      <c r="E57" s="365">
        <f t="shared" si="8"/>
        <v>79.25</v>
      </c>
      <c r="F57" s="365">
        <f t="shared" si="9"/>
        <v>48.44</v>
      </c>
      <c r="G57" s="365">
        <v>32.83</v>
      </c>
      <c r="H57" s="365"/>
      <c r="I57" s="365">
        <v>13.19</v>
      </c>
      <c r="J57" s="365">
        <v>2.16</v>
      </c>
      <c r="K57" s="365">
        <v>0.26</v>
      </c>
      <c r="L57" s="365">
        <f t="shared" si="10"/>
        <v>30.81</v>
      </c>
      <c r="M57" s="365">
        <v>7.81</v>
      </c>
      <c r="N57" s="365"/>
      <c r="O57" s="365"/>
      <c r="P57" s="365"/>
      <c r="Q57" s="365"/>
      <c r="R57" s="365"/>
      <c r="S57" s="365">
        <v>23</v>
      </c>
      <c r="T57" s="365">
        <f t="shared" si="5"/>
        <v>10.2917</v>
      </c>
      <c r="U57" s="365">
        <f t="shared" si="13"/>
        <v>7.57</v>
      </c>
      <c r="V57" s="365">
        <v>5.6</v>
      </c>
      <c r="W57" s="365"/>
      <c r="X57" s="365">
        <v>1.79</v>
      </c>
      <c r="Y57" s="365">
        <v>0.18</v>
      </c>
      <c r="Z57" s="365"/>
      <c r="AA57" s="365">
        <f t="shared" si="31"/>
        <v>2.7217</v>
      </c>
      <c r="AB57" s="365">
        <v>0.59</v>
      </c>
      <c r="AC57" s="365"/>
      <c r="AD57" s="365"/>
      <c r="AE57" s="365"/>
      <c r="AF57" s="365"/>
      <c r="AG57" s="365"/>
      <c r="AH57" s="365">
        <v>-23</v>
      </c>
      <c r="AI57" s="365">
        <v>12.09</v>
      </c>
      <c r="AJ57" s="365">
        <v>8</v>
      </c>
      <c r="AK57" s="365">
        <v>5.0417</v>
      </c>
      <c r="AL57" s="365">
        <f t="shared" si="2"/>
        <v>89.5417</v>
      </c>
      <c r="AM57" s="365">
        <f t="shared" si="32"/>
        <v>56.01</v>
      </c>
      <c r="AN57" s="365">
        <f t="shared" si="33"/>
        <v>38.43</v>
      </c>
      <c r="AO57" s="365">
        <f t="shared" si="34"/>
        <v>0</v>
      </c>
      <c r="AP57" s="365">
        <f t="shared" si="35"/>
        <v>14.98</v>
      </c>
      <c r="AQ57" s="365">
        <f t="shared" si="36"/>
        <v>2.34</v>
      </c>
      <c r="AR57" s="365">
        <f t="shared" si="37"/>
        <v>0.26</v>
      </c>
      <c r="AS57" s="365">
        <f t="shared" si="21"/>
        <v>33.5317</v>
      </c>
      <c r="AT57" s="365">
        <f t="shared" si="38"/>
        <v>8.4</v>
      </c>
      <c r="AU57" s="365">
        <f t="shared" si="39"/>
        <v>0</v>
      </c>
      <c r="AV57" s="365">
        <f t="shared" si="40"/>
        <v>0</v>
      </c>
      <c r="AW57" s="365">
        <f t="shared" si="41"/>
        <v>0</v>
      </c>
      <c r="AX57" s="365">
        <f t="shared" si="42"/>
        <v>0</v>
      </c>
      <c r="AY57" s="365">
        <f t="shared" si="43"/>
        <v>0</v>
      </c>
      <c r="AZ57" s="365">
        <f t="shared" si="44"/>
        <v>0</v>
      </c>
      <c r="BA57" s="365">
        <f t="shared" si="45"/>
        <v>12.09</v>
      </c>
      <c r="BB57" s="365">
        <f t="shared" si="12"/>
        <v>8</v>
      </c>
      <c r="BC57" s="365">
        <f t="shared" si="46"/>
        <v>5.0417</v>
      </c>
      <c r="BD57" s="363"/>
      <c r="BE57">
        <v>5.0417</v>
      </c>
    </row>
    <row r="58" ht="24" spans="1:57">
      <c r="A58" s="284" t="s">
        <v>221</v>
      </c>
      <c r="B58" s="284" t="s">
        <v>199</v>
      </c>
      <c r="C58" s="284" t="s">
        <v>257</v>
      </c>
      <c r="D58" s="284" t="s">
        <v>213</v>
      </c>
      <c r="E58" s="365">
        <f t="shared" si="8"/>
        <v>227.11</v>
      </c>
      <c r="F58" s="365">
        <f t="shared" si="9"/>
        <v>149.09</v>
      </c>
      <c r="G58" s="365">
        <v>104.29</v>
      </c>
      <c r="H58" s="365"/>
      <c r="I58" s="365">
        <v>36.7</v>
      </c>
      <c r="J58" s="365">
        <v>5.76</v>
      </c>
      <c r="K58" s="365">
        <v>2.34</v>
      </c>
      <c r="L58" s="365">
        <f t="shared" si="10"/>
        <v>78.02</v>
      </c>
      <c r="M58" s="365">
        <v>22.02</v>
      </c>
      <c r="N58" s="365"/>
      <c r="O58" s="365"/>
      <c r="P58" s="365"/>
      <c r="Q58" s="365"/>
      <c r="R58" s="365"/>
      <c r="S58" s="365">
        <v>56</v>
      </c>
      <c r="T58" s="365">
        <f t="shared" si="5"/>
        <v>5.2334</v>
      </c>
      <c r="U58" s="365">
        <f t="shared" si="13"/>
        <v>1.4</v>
      </c>
      <c r="V58" s="365">
        <v>-1.84</v>
      </c>
      <c r="W58" s="365"/>
      <c r="X58" s="365">
        <v>2.94</v>
      </c>
      <c r="Y58" s="365">
        <v>-0.43</v>
      </c>
      <c r="Z58" s="365">
        <v>0.73</v>
      </c>
      <c r="AA58" s="365">
        <f t="shared" si="31"/>
        <v>3.8334</v>
      </c>
      <c r="AB58" s="365">
        <v>-2.1</v>
      </c>
      <c r="AC58" s="365"/>
      <c r="AD58" s="365"/>
      <c r="AE58" s="365"/>
      <c r="AF58" s="365"/>
      <c r="AG58" s="365"/>
      <c r="AH58" s="365">
        <v>-56</v>
      </c>
      <c r="AI58" s="365">
        <v>28.35</v>
      </c>
      <c r="AJ58" s="365">
        <v>22</v>
      </c>
      <c r="AK58" s="365">
        <v>11.5834</v>
      </c>
      <c r="AL58" s="365">
        <f t="shared" si="2"/>
        <v>232.3434</v>
      </c>
      <c r="AM58" s="365">
        <f t="shared" si="32"/>
        <v>150.49</v>
      </c>
      <c r="AN58" s="365">
        <f t="shared" si="33"/>
        <v>102.45</v>
      </c>
      <c r="AO58" s="365">
        <f t="shared" si="34"/>
        <v>0</v>
      </c>
      <c r="AP58" s="365">
        <f t="shared" si="35"/>
        <v>39.64</v>
      </c>
      <c r="AQ58" s="365">
        <f t="shared" si="36"/>
        <v>5.33</v>
      </c>
      <c r="AR58" s="365">
        <f t="shared" si="37"/>
        <v>3.07</v>
      </c>
      <c r="AS58" s="365">
        <f t="shared" si="21"/>
        <v>81.8534</v>
      </c>
      <c r="AT58" s="365">
        <f t="shared" si="38"/>
        <v>19.92</v>
      </c>
      <c r="AU58" s="365">
        <f t="shared" si="39"/>
        <v>0</v>
      </c>
      <c r="AV58" s="365">
        <f t="shared" si="40"/>
        <v>0</v>
      </c>
      <c r="AW58" s="365">
        <f t="shared" si="41"/>
        <v>0</v>
      </c>
      <c r="AX58" s="365">
        <f t="shared" si="42"/>
        <v>0</v>
      </c>
      <c r="AY58" s="365">
        <f t="shared" si="43"/>
        <v>0</v>
      </c>
      <c r="AZ58" s="365">
        <f t="shared" si="44"/>
        <v>0</v>
      </c>
      <c r="BA58" s="365">
        <f t="shared" si="45"/>
        <v>28.35</v>
      </c>
      <c r="BB58" s="365">
        <f t="shared" si="12"/>
        <v>22</v>
      </c>
      <c r="BC58" s="365">
        <f t="shared" si="46"/>
        <v>11.5834</v>
      </c>
      <c r="BD58" s="363"/>
      <c r="BE58">
        <v>11.5834</v>
      </c>
    </row>
    <row r="59" ht="24" spans="1:57">
      <c r="A59" s="284" t="s">
        <v>221</v>
      </c>
      <c r="B59" s="284" t="s">
        <v>196</v>
      </c>
      <c r="C59" s="284" t="s">
        <v>258</v>
      </c>
      <c r="D59" s="284" t="s">
        <v>207</v>
      </c>
      <c r="E59" s="365">
        <f t="shared" si="8"/>
        <v>0</v>
      </c>
      <c r="F59" s="365">
        <f t="shared" si="9"/>
        <v>0</v>
      </c>
      <c r="G59" s="365"/>
      <c r="H59" s="365"/>
      <c r="I59" s="365"/>
      <c r="J59" s="365"/>
      <c r="K59" s="365"/>
      <c r="L59" s="365">
        <f t="shared" si="10"/>
        <v>0</v>
      </c>
      <c r="M59" s="365"/>
      <c r="N59" s="365"/>
      <c r="O59" s="365"/>
      <c r="P59" s="365"/>
      <c r="Q59" s="365"/>
      <c r="R59" s="365"/>
      <c r="S59" s="365"/>
      <c r="T59" s="365">
        <f t="shared" si="5"/>
        <v>0</v>
      </c>
      <c r="U59" s="365">
        <f t="shared" si="13"/>
        <v>0</v>
      </c>
      <c r="V59" s="365"/>
      <c r="W59" s="365"/>
      <c r="X59" s="365"/>
      <c r="Y59" s="365"/>
      <c r="Z59" s="365"/>
      <c r="AA59" s="365">
        <f t="shared" si="31"/>
        <v>0</v>
      </c>
      <c r="AB59" s="365"/>
      <c r="AC59" s="365"/>
      <c r="AD59" s="365"/>
      <c r="AE59" s="365"/>
      <c r="AF59" s="365"/>
      <c r="AG59" s="365"/>
      <c r="AH59" s="365">
        <v>0</v>
      </c>
      <c r="AI59" s="365"/>
      <c r="AJ59" s="365"/>
      <c r="AK59" s="365"/>
      <c r="AL59" s="365">
        <f t="shared" si="2"/>
        <v>0</v>
      </c>
      <c r="AM59" s="365">
        <f t="shared" si="32"/>
        <v>0</v>
      </c>
      <c r="AN59" s="365">
        <f t="shared" si="33"/>
        <v>0</v>
      </c>
      <c r="AO59" s="365">
        <f t="shared" si="34"/>
        <v>0</v>
      </c>
      <c r="AP59" s="365">
        <f t="shared" si="35"/>
        <v>0</v>
      </c>
      <c r="AQ59" s="365">
        <f t="shared" si="36"/>
        <v>0</v>
      </c>
      <c r="AR59" s="365">
        <f t="shared" si="37"/>
        <v>0</v>
      </c>
      <c r="AS59" s="365">
        <f t="shared" si="21"/>
        <v>0</v>
      </c>
      <c r="AT59" s="365">
        <f t="shared" si="38"/>
        <v>0</v>
      </c>
      <c r="AU59" s="365">
        <f t="shared" si="39"/>
        <v>0</v>
      </c>
      <c r="AV59" s="365">
        <f t="shared" si="40"/>
        <v>0</v>
      </c>
      <c r="AW59" s="365">
        <f t="shared" si="41"/>
        <v>0</v>
      </c>
      <c r="AX59" s="365">
        <f t="shared" si="42"/>
        <v>0</v>
      </c>
      <c r="AY59" s="365">
        <f t="shared" si="43"/>
        <v>0</v>
      </c>
      <c r="AZ59" s="365">
        <f t="shared" si="44"/>
        <v>0</v>
      </c>
      <c r="BA59" s="365">
        <f t="shared" si="45"/>
        <v>0</v>
      </c>
      <c r="BB59" s="365">
        <f t="shared" si="12"/>
        <v>0</v>
      </c>
      <c r="BC59" s="365">
        <f t="shared" si="46"/>
        <v>0</v>
      </c>
      <c r="BD59" s="363"/>
      <c r="BE59">
        <v>16.7626</v>
      </c>
    </row>
    <row r="60" ht="24" spans="1:57">
      <c r="A60" s="284" t="s">
        <v>221</v>
      </c>
      <c r="B60" s="284" t="s">
        <v>199</v>
      </c>
      <c r="C60" s="284" t="s">
        <v>259</v>
      </c>
      <c r="D60" s="284" t="s">
        <v>213</v>
      </c>
      <c r="E60" s="365">
        <f t="shared" si="8"/>
        <v>55.88</v>
      </c>
      <c r="F60" s="365">
        <f t="shared" si="9"/>
        <v>35.56</v>
      </c>
      <c r="G60" s="365">
        <v>22.68</v>
      </c>
      <c r="H60" s="365">
        <v>0.55</v>
      </c>
      <c r="I60" s="365">
        <v>10.53</v>
      </c>
      <c r="J60" s="365">
        <v>1.8</v>
      </c>
      <c r="K60" s="365"/>
      <c r="L60" s="365">
        <f t="shared" si="10"/>
        <v>20.32</v>
      </c>
      <c r="M60" s="365">
        <v>6.32</v>
      </c>
      <c r="N60" s="365"/>
      <c r="O60" s="365"/>
      <c r="P60" s="365"/>
      <c r="Q60" s="365"/>
      <c r="R60" s="365"/>
      <c r="S60" s="365">
        <v>14</v>
      </c>
      <c r="T60" s="365">
        <f t="shared" si="5"/>
        <v>6.8017</v>
      </c>
      <c r="U60" s="365">
        <f t="shared" si="13"/>
        <v>0.0699999999999998</v>
      </c>
      <c r="V60" s="365">
        <v>-2.5</v>
      </c>
      <c r="W60" s="365"/>
      <c r="X60" s="365">
        <v>2.05</v>
      </c>
      <c r="Y60" s="365">
        <v>0.39</v>
      </c>
      <c r="Z60" s="365">
        <v>0.13</v>
      </c>
      <c r="AA60" s="365">
        <f t="shared" si="31"/>
        <v>6.7317</v>
      </c>
      <c r="AB60" s="365">
        <v>-0.46</v>
      </c>
      <c r="AC60" s="365"/>
      <c r="AD60" s="365"/>
      <c r="AE60" s="365"/>
      <c r="AF60" s="365"/>
      <c r="AG60" s="365"/>
      <c r="AH60" s="365">
        <v>-14</v>
      </c>
      <c r="AI60" s="365">
        <v>8.65</v>
      </c>
      <c r="AJ60" s="365">
        <v>9</v>
      </c>
      <c r="AK60" s="365">
        <v>3.5417</v>
      </c>
      <c r="AL60" s="365">
        <f t="shared" si="2"/>
        <v>62.6817</v>
      </c>
      <c r="AM60" s="365">
        <f t="shared" si="32"/>
        <v>35.63</v>
      </c>
      <c r="AN60" s="365">
        <f t="shared" si="33"/>
        <v>20.18</v>
      </c>
      <c r="AO60" s="365">
        <f t="shared" si="34"/>
        <v>0.55</v>
      </c>
      <c r="AP60" s="365">
        <f t="shared" si="35"/>
        <v>12.58</v>
      </c>
      <c r="AQ60" s="365">
        <f t="shared" si="36"/>
        <v>2.19</v>
      </c>
      <c r="AR60" s="365">
        <f t="shared" si="37"/>
        <v>0.13</v>
      </c>
      <c r="AS60" s="365">
        <f t="shared" si="21"/>
        <v>27.0517</v>
      </c>
      <c r="AT60" s="365">
        <f t="shared" si="38"/>
        <v>5.86</v>
      </c>
      <c r="AU60" s="365">
        <f t="shared" si="39"/>
        <v>0</v>
      </c>
      <c r="AV60" s="365">
        <f t="shared" si="40"/>
        <v>0</v>
      </c>
      <c r="AW60" s="365">
        <f t="shared" si="41"/>
        <v>0</v>
      </c>
      <c r="AX60" s="365">
        <f t="shared" si="42"/>
        <v>0</v>
      </c>
      <c r="AY60" s="365">
        <f t="shared" si="43"/>
        <v>0</v>
      </c>
      <c r="AZ60" s="365">
        <f t="shared" si="44"/>
        <v>0</v>
      </c>
      <c r="BA60" s="365">
        <f t="shared" si="45"/>
        <v>8.65</v>
      </c>
      <c r="BB60" s="365">
        <f t="shared" si="12"/>
        <v>9</v>
      </c>
      <c r="BC60" s="365">
        <f t="shared" si="46"/>
        <v>3.5417</v>
      </c>
      <c r="BD60" s="363"/>
      <c r="BE60">
        <v>3.5417</v>
      </c>
    </row>
    <row r="61" ht="24" spans="1:57">
      <c r="A61" s="284" t="s">
        <v>221</v>
      </c>
      <c r="B61" s="284" t="s">
        <v>199</v>
      </c>
      <c r="C61" s="284" t="s">
        <v>260</v>
      </c>
      <c r="D61" s="284" t="s">
        <v>213</v>
      </c>
      <c r="E61" s="365">
        <f t="shared" si="8"/>
        <v>54</v>
      </c>
      <c r="F61" s="365">
        <f t="shared" si="9"/>
        <v>35.21</v>
      </c>
      <c r="G61" s="365">
        <v>23.04</v>
      </c>
      <c r="H61" s="365"/>
      <c r="I61" s="365">
        <v>9.65</v>
      </c>
      <c r="J61" s="365">
        <v>2.52</v>
      </c>
      <c r="K61" s="365"/>
      <c r="L61" s="365">
        <f t="shared" si="10"/>
        <v>18.79</v>
      </c>
      <c r="M61" s="365">
        <v>5.79</v>
      </c>
      <c r="N61" s="365"/>
      <c r="O61" s="365"/>
      <c r="P61" s="365"/>
      <c r="Q61" s="365"/>
      <c r="R61" s="365"/>
      <c r="S61" s="365">
        <v>13</v>
      </c>
      <c r="T61" s="365">
        <f t="shared" si="5"/>
        <v>14.995</v>
      </c>
      <c r="U61" s="365">
        <f t="shared" si="13"/>
        <v>8.4</v>
      </c>
      <c r="V61" s="365">
        <v>6.4</v>
      </c>
      <c r="W61" s="365"/>
      <c r="X61" s="365">
        <v>1.64</v>
      </c>
      <c r="Y61" s="365">
        <v>0.36</v>
      </c>
      <c r="Z61" s="365"/>
      <c r="AA61" s="365">
        <f t="shared" si="31"/>
        <v>6.595</v>
      </c>
      <c r="AB61" s="365">
        <v>1.12</v>
      </c>
      <c r="AC61" s="365"/>
      <c r="AD61" s="365"/>
      <c r="AE61" s="365"/>
      <c r="AF61" s="365"/>
      <c r="AG61" s="365"/>
      <c r="AH61" s="365">
        <v>-13</v>
      </c>
      <c r="AI61" s="365">
        <v>8.85</v>
      </c>
      <c r="AJ61" s="365">
        <v>6</v>
      </c>
      <c r="AK61" s="365">
        <v>3.625</v>
      </c>
      <c r="AL61" s="365">
        <f t="shared" si="2"/>
        <v>68.995</v>
      </c>
      <c r="AM61" s="365">
        <f t="shared" si="32"/>
        <v>43.61</v>
      </c>
      <c r="AN61" s="365">
        <f t="shared" si="33"/>
        <v>29.44</v>
      </c>
      <c r="AO61" s="365">
        <f t="shared" si="34"/>
        <v>0</v>
      </c>
      <c r="AP61" s="365">
        <f t="shared" si="35"/>
        <v>11.29</v>
      </c>
      <c r="AQ61" s="365">
        <f t="shared" si="36"/>
        <v>2.88</v>
      </c>
      <c r="AR61" s="365">
        <f t="shared" si="37"/>
        <v>0</v>
      </c>
      <c r="AS61" s="365">
        <f t="shared" si="21"/>
        <v>25.385</v>
      </c>
      <c r="AT61" s="365">
        <f t="shared" si="38"/>
        <v>6.91</v>
      </c>
      <c r="AU61" s="365">
        <f t="shared" si="39"/>
        <v>0</v>
      </c>
      <c r="AV61" s="365">
        <f t="shared" si="40"/>
        <v>0</v>
      </c>
      <c r="AW61" s="365">
        <f t="shared" si="41"/>
        <v>0</v>
      </c>
      <c r="AX61" s="365">
        <f t="shared" si="42"/>
        <v>0</v>
      </c>
      <c r="AY61" s="365">
        <f t="shared" si="43"/>
        <v>0</v>
      </c>
      <c r="AZ61" s="365">
        <f t="shared" si="44"/>
        <v>0</v>
      </c>
      <c r="BA61" s="365">
        <f t="shared" si="45"/>
        <v>8.85</v>
      </c>
      <c r="BB61" s="365">
        <f t="shared" si="12"/>
        <v>6</v>
      </c>
      <c r="BC61" s="365">
        <f t="shared" si="46"/>
        <v>3.625</v>
      </c>
      <c r="BD61" s="363"/>
      <c r="BE61">
        <v>3.625</v>
      </c>
    </row>
    <row r="62" ht="24" spans="1:57">
      <c r="A62" s="284" t="s">
        <v>221</v>
      </c>
      <c r="B62" s="284" t="s">
        <v>199</v>
      </c>
      <c r="C62" s="284" t="s">
        <v>261</v>
      </c>
      <c r="D62" s="284" t="s">
        <v>213</v>
      </c>
      <c r="E62" s="365">
        <f t="shared" si="8"/>
        <v>119.5</v>
      </c>
      <c r="F62" s="365">
        <f t="shared" si="9"/>
        <v>79.74</v>
      </c>
      <c r="G62" s="365">
        <v>51.68</v>
      </c>
      <c r="H62" s="365">
        <v>0.46</v>
      </c>
      <c r="I62" s="365">
        <v>21.26</v>
      </c>
      <c r="J62" s="365">
        <v>5.4</v>
      </c>
      <c r="K62" s="365">
        <v>0.94</v>
      </c>
      <c r="L62" s="365">
        <f t="shared" si="10"/>
        <v>39.76</v>
      </c>
      <c r="M62" s="365">
        <v>12.76</v>
      </c>
      <c r="N62" s="365"/>
      <c r="O62" s="365"/>
      <c r="P62" s="365"/>
      <c r="Q62" s="365"/>
      <c r="R62" s="365"/>
      <c r="S62" s="365">
        <v>27</v>
      </c>
      <c r="T62" s="365">
        <f t="shared" si="5"/>
        <v>27.1984</v>
      </c>
      <c r="U62" s="365">
        <f t="shared" si="13"/>
        <v>13.04</v>
      </c>
      <c r="V62" s="365">
        <v>4.89</v>
      </c>
      <c r="W62" s="365">
        <v>0.05</v>
      </c>
      <c r="X62" s="365">
        <v>6.65</v>
      </c>
      <c r="Y62" s="365">
        <v>0.78</v>
      </c>
      <c r="Z62" s="365">
        <v>0.67</v>
      </c>
      <c r="AA62" s="365">
        <f t="shared" si="31"/>
        <v>14.1584</v>
      </c>
      <c r="AB62" s="365">
        <v>1.59</v>
      </c>
      <c r="AC62" s="365"/>
      <c r="AD62" s="365"/>
      <c r="AE62" s="365"/>
      <c r="AF62" s="365"/>
      <c r="AG62" s="365"/>
      <c r="AH62" s="365">
        <v>-27</v>
      </c>
      <c r="AI62" s="365">
        <v>20.86</v>
      </c>
      <c r="AJ62" s="365">
        <v>11</v>
      </c>
      <c r="AK62" s="365">
        <v>7.7084</v>
      </c>
      <c r="AL62" s="365">
        <f t="shared" si="2"/>
        <v>146.6984</v>
      </c>
      <c r="AM62" s="365">
        <f t="shared" si="32"/>
        <v>92.78</v>
      </c>
      <c r="AN62" s="365">
        <f t="shared" si="33"/>
        <v>56.57</v>
      </c>
      <c r="AO62" s="365">
        <f t="shared" si="34"/>
        <v>0.51</v>
      </c>
      <c r="AP62" s="365">
        <f t="shared" si="35"/>
        <v>27.91</v>
      </c>
      <c r="AQ62" s="365">
        <f t="shared" si="36"/>
        <v>6.18</v>
      </c>
      <c r="AR62" s="365">
        <f t="shared" si="37"/>
        <v>1.61</v>
      </c>
      <c r="AS62" s="365">
        <f t="shared" si="21"/>
        <v>53.9184</v>
      </c>
      <c r="AT62" s="365">
        <f t="shared" si="38"/>
        <v>14.35</v>
      </c>
      <c r="AU62" s="365">
        <f t="shared" si="39"/>
        <v>0</v>
      </c>
      <c r="AV62" s="365">
        <f t="shared" si="40"/>
        <v>0</v>
      </c>
      <c r="AW62" s="365">
        <f t="shared" si="41"/>
        <v>0</v>
      </c>
      <c r="AX62" s="365">
        <f t="shared" si="42"/>
        <v>0</v>
      </c>
      <c r="AY62" s="365">
        <f t="shared" si="43"/>
        <v>0</v>
      </c>
      <c r="AZ62" s="365">
        <f t="shared" si="44"/>
        <v>0</v>
      </c>
      <c r="BA62" s="365">
        <f t="shared" si="45"/>
        <v>20.86</v>
      </c>
      <c r="BB62" s="365">
        <f t="shared" si="12"/>
        <v>11</v>
      </c>
      <c r="BC62" s="365">
        <f t="shared" si="46"/>
        <v>7.7084</v>
      </c>
      <c r="BD62" s="363"/>
      <c r="BE62">
        <v>7.7084</v>
      </c>
    </row>
    <row r="63" ht="24" spans="1:57">
      <c r="A63" s="284" t="s">
        <v>221</v>
      </c>
      <c r="B63" s="284" t="s">
        <v>196</v>
      </c>
      <c r="C63" s="284" t="s">
        <v>262</v>
      </c>
      <c r="D63" s="284" t="s">
        <v>207</v>
      </c>
      <c r="E63" s="365">
        <f t="shared" si="8"/>
        <v>0</v>
      </c>
      <c r="F63" s="365">
        <f t="shared" si="9"/>
        <v>0</v>
      </c>
      <c r="G63" s="365"/>
      <c r="H63" s="365"/>
      <c r="I63" s="365"/>
      <c r="J63" s="365"/>
      <c r="K63" s="365"/>
      <c r="L63" s="365">
        <f t="shared" si="10"/>
        <v>0</v>
      </c>
      <c r="M63" s="365"/>
      <c r="N63" s="365"/>
      <c r="O63" s="365"/>
      <c r="P63" s="365"/>
      <c r="Q63" s="365"/>
      <c r="R63" s="365"/>
      <c r="S63" s="365"/>
      <c r="T63" s="365">
        <f t="shared" si="5"/>
        <v>0</v>
      </c>
      <c r="U63" s="365">
        <f t="shared" si="13"/>
        <v>0</v>
      </c>
      <c r="V63" s="365"/>
      <c r="W63" s="365"/>
      <c r="X63" s="365"/>
      <c r="Y63" s="365"/>
      <c r="Z63" s="365"/>
      <c r="AA63" s="365">
        <f t="shared" si="31"/>
        <v>0</v>
      </c>
      <c r="AB63" s="365"/>
      <c r="AC63" s="365"/>
      <c r="AD63" s="365"/>
      <c r="AE63" s="365"/>
      <c r="AF63" s="365"/>
      <c r="AG63" s="365"/>
      <c r="AH63" s="365">
        <v>0</v>
      </c>
      <c r="AI63" s="365"/>
      <c r="AJ63" s="365"/>
      <c r="AK63" s="365"/>
      <c r="AL63" s="365">
        <f t="shared" si="2"/>
        <v>0</v>
      </c>
      <c r="AM63" s="365">
        <f t="shared" si="32"/>
        <v>0</v>
      </c>
      <c r="AN63" s="365">
        <f t="shared" si="33"/>
        <v>0</v>
      </c>
      <c r="AO63" s="365">
        <f t="shared" si="34"/>
        <v>0</v>
      </c>
      <c r="AP63" s="365">
        <f t="shared" si="35"/>
        <v>0</v>
      </c>
      <c r="AQ63" s="365">
        <f t="shared" si="36"/>
        <v>0</v>
      </c>
      <c r="AR63" s="365">
        <f t="shared" si="37"/>
        <v>0</v>
      </c>
      <c r="AS63" s="365">
        <f t="shared" si="21"/>
        <v>0</v>
      </c>
      <c r="AT63" s="365">
        <f t="shared" si="38"/>
        <v>0</v>
      </c>
      <c r="AU63" s="365">
        <f t="shared" si="39"/>
        <v>0</v>
      </c>
      <c r="AV63" s="365">
        <f t="shared" si="40"/>
        <v>0</v>
      </c>
      <c r="AW63" s="365">
        <f t="shared" si="41"/>
        <v>0</v>
      </c>
      <c r="AX63" s="365">
        <f t="shared" si="42"/>
        <v>0</v>
      </c>
      <c r="AY63" s="365">
        <f t="shared" si="43"/>
        <v>0</v>
      </c>
      <c r="AZ63" s="365">
        <f t="shared" si="44"/>
        <v>0</v>
      </c>
      <c r="BA63" s="365">
        <f t="shared" si="45"/>
        <v>0</v>
      </c>
      <c r="BB63" s="365">
        <f t="shared" si="12"/>
        <v>0</v>
      </c>
      <c r="BC63" s="365">
        <f t="shared" si="46"/>
        <v>0</v>
      </c>
      <c r="BD63" s="363"/>
      <c r="BE63">
        <v>27.8844</v>
      </c>
    </row>
    <row r="64" ht="24" spans="1:57">
      <c r="A64" s="284" t="s">
        <v>221</v>
      </c>
      <c r="B64" s="284" t="s">
        <v>199</v>
      </c>
      <c r="C64" s="284" t="s">
        <v>263</v>
      </c>
      <c r="D64" s="284" t="s">
        <v>213</v>
      </c>
      <c r="E64" s="365">
        <f t="shared" si="8"/>
        <v>63.12</v>
      </c>
      <c r="F64" s="365">
        <f t="shared" si="9"/>
        <v>38.54</v>
      </c>
      <c r="G64" s="365">
        <v>25.89</v>
      </c>
      <c r="H64" s="365"/>
      <c r="I64" s="365">
        <v>10.97</v>
      </c>
      <c r="J64" s="365">
        <v>1.68</v>
      </c>
      <c r="K64" s="365"/>
      <c r="L64" s="365">
        <f t="shared" si="10"/>
        <v>24.58</v>
      </c>
      <c r="M64" s="365">
        <v>6.58</v>
      </c>
      <c r="N64" s="365"/>
      <c r="O64" s="365"/>
      <c r="P64" s="365"/>
      <c r="Q64" s="365"/>
      <c r="R64" s="365"/>
      <c r="S64" s="365">
        <v>18</v>
      </c>
      <c r="T64" s="365">
        <f t="shared" si="5"/>
        <v>0.819999999999999</v>
      </c>
      <c r="U64" s="365">
        <f t="shared" si="13"/>
        <v>-1.9</v>
      </c>
      <c r="V64" s="365">
        <v>-2.15</v>
      </c>
      <c r="W64" s="365"/>
      <c r="X64" s="365">
        <v>0.25</v>
      </c>
      <c r="Y64" s="365"/>
      <c r="Z64" s="365"/>
      <c r="AA64" s="365">
        <f t="shared" si="31"/>
        <v>2.72</v>
      </c>
      <c r="AB64" s="365">
        <v>0.56</v>
      </c>
      <c r="AC64" s="365"/>
      <c r="AD64" s="365"/>
      <c r="AE64" s="365"/>
      <c r="AF64" s="365"/>
      <c r="AG64" s="365"/>
      <c r="AH64" s="365">
        <v>-18</v>
      </c>
      <c r="AI64" s="365">
        <v>8.16</v>
      </c>
      <c r="AJ64" s="365">
        <v>8</v>
      </c>
      <c r="AK64" s="365">
        <v>4</v>
      </c>
      <c r="AL64" s="365">
        <f t="shared" si="2"/>
        <v>63.94</v>
      </c>
      <c r="AM64" s="365">
        <f t="shared" si="32"/>
        <v>36.64</v>
      </c>
      <c r="AN64" s="365">
        <f t="shared" si="33"/>
        <v>23.74</v>
      </c>
      <c r="AO64" s="365">
        <f t="shared" si="34"/>
        <v>0</v>
      </c>
      <c r="AP64" s="365">
        <f t="shared" si="35"/>
        <v>11.22</v>
      </c>
      <c r="AQ64" s="365">
        <f t="shared" si="36"/>
        <v>1.68</v>
      </c>
      <c r="AR64" s="365">
        <f t="shared" si="37"/>
        <v>0</v>
      </c>
      <c r="AS64" s="365">
        <f t="shared" si="21"/>
        <v>27.3</v>
      </c>
      <c r="AT64" s="365">
        <f t="shared" si="38"/>
        <v>7.14</v>
      </c>
      <c r="AU64" s="365">
        <f t="shared" si="39"/>
        <v>0</v>
      </c>
      <c r="AV64" s="365">
        <f t="shared" si="40"/>
        <v>0</v>
      </c>
      <c r="AW64" s="365">
        <f t="shared" si="41"/>
        <v>0</v>
      </c>
      <c r="AX64" s="365">
        <f t="shared" si="42"/>
        <v>0</v>
      </c>
      <c r="AY64" s="365">
        <f t="shared" si="43"/>
        <v>0</v>
      </c>
      <c r="AZ64" s="365">
        <f t="shared" si="44"/>
        <v>0</v>
      </c>
      <c r="BA64" s="365">
        <f t="shared" si="45"/>
        <v>8.16</v>
      </c>
      <c r="BB64" s="365">
        <f t="shared" si="12"/>
        <v>8</v>
      </c>
      <c r="BC64" s="365">
        <f t="shared" si="46"/>
        <v>4</v>
      </c>
      <c r="BD64" s="363"/>
      <c r="BE64">
        <v>4</v>
      </c>
    </row>
    <row r="65" ht="24" spans="1:57">
      <c r="A65" s="284" t="s">
        <v>221</v>
      </c>
      <c r="B65" s="284" t="s">
        <v>199</v>
      </c>
      <c r="C65" s="284" t="s">
        <v>264</v>
      </c>
      <c r="D65" s="284" t="s">
        <v>213</v>
      </c>
      <c r="E65" s="365">
        <f t="shared" si="8"/>
        <v>85.84</v>
      </c>
      <c r="F65" s="365">
        <f t="shared" si="9"/>
        <v>52.26</v>
      </c>
      <c r="G65" s="365">
        <v>35.32</v>
      </c>
      <c r="H65" s="365"/>
      <c r="I65" s="365">
        <v>14.3</v>
      </c>
      <c r="J65" s="365">
        <v>2.64</v>
      </c>
      <c r="K65" s="365"/>
      <c r="L65" s="365">
        <f t="shared" si="10"/>
        <v>33.58</v>
      </c>
      <c r="M65" s="365">
        <v>8.58</v>
      </c>
      <c r="N65" s="365"/>
      <c r="O65" s="365"/>
      <c r="P65" s="365"/>
      <c r="Q65" s="365"/>
      <c r="R65" s="365"/>
      <c r="S65" s="365">
        <v>25</v>
      </c>
      <c r="T65" s="365">
        <f t="shared" si="5"/>
        <v>8.845</v>
      </c>
      <c r="U65" s="365">
        <f t="shared" si="13"/>
        <v>5.89</v>
      </c>
      <c r="V65" s="365">
        <v>2.56</v>
      </c>
      <c r="W65" s="365"/>
      <c r="X65" s="365">
        <v>2.63</v>
      </c>
      <c r="Y65" s="365">
        <v>0.36</v>
      </c>
      <c r="Z65" s="365">
        <v>0.34</v>
      </c>
      <c r="AA65" s="365">
        <f t="shared" si="31"/>
        <v>2.955</v>
      </c>
      <c r="AB65" s="365">
        <v>0.66</v>
      </c>
      <c r="AC65" s="365"/>
      <c r="AD65" s="365"/>
      <c r="AE65" s="365"/>
      <c r="AF65" s="365"/>
      <c r="AG65" s="365"/>
      <c r="AH65" s="365">
        <v>-25</v>
      </c>
      <c r="AI65" s="365">
        <v>13.17</v>
      </c>
      <c r="AJ65" s="365">
        <v>9</v>
      </c>
      <c r="AK65" s="365">
        <v>5.125</v>
      </c>
      <c r="AL65" s="365">
        <f t="shared" si="2"/>
        <v>94.685</v>
      </c>
      <c r="AM65" s="365">
        <f t="shared" si="32"/>
        <v>58.15</v>
      </c>
      <c r="AN65" s="365">
        <f t="shared" si="33"/>
        <v>37.88</v>
      </c>
      <c r="AO65" s="365">
        <f t="shared" si="34"/>
        <v>0</v>
      </c>
      <c r="AP65" s="365">
        <f t="shared" si="35"/>
        <v>16.93</v>
      </c>
      <c r="AQ65" s="365">
        <f t="shared" si="36"/>
        <v>3</v>
      </c>
      <c r="AR65" s="365">
        <f t="shared" si="37"/>
        <v>0.34</v>
      </c>
      <c r="AS65" s="365">
        <f t="shared" si="21"/>
        <v>36.535</v>
      </c>
      <c r="AT65" s="365">
        <f t="shared" si="38"/>
        <v>9.24</v>
      </c>
      <c r="AU65" s="365">
        <f t="shared" si="39"/>
        <v>0</v>
      </c>
      <c r="AV65" s="365">
        <f t="shared" si="40"/>
        <v>0</v>
      </c>
      <c r="AW65" s="365">
        <f t="shared" si="41"/>
        <v>0</v>
      </c>
      <c r="AX65" s="365">
        <f t="shared" si="42"/>
        <v>0</v>
      </c>
      <c r="AY65" s="365">
        <f t="shared" si="43"/>
        <v>0</v>
      </c>
      <c r="AZ65" s="365">
        <f t="shared" si="44"/>
        <v>0</v>
      </c>
      <c r="BA65" s="365">
        <f t="shared" si="45"/>
        <v>13.17</v>
      </c>
      <c r="BB65" s="365">
        <f t="shared" si="12"/>
        <v>9</v>
      </c>
      <c r="BC65" s="365">
        <f t="shared" si="46"/>
        <v>5.125</v>
      </c>
      <c r="BD65" s="363"/>
      <c r="BE65">
        <v>5.125</v>
      </c>
    </row>
    <row r="66" ht="24" spans="1:57">
      <c r="A66" s="284" t="s">
        <v>221</v>
      </c>
      <c r="B66" s="284" t="s">
        <v>199</v>
      </c>
      <c r="C66" s="284" t="s">
        <v>265</v>
      </c>
      <c r="D66" s="284" t="s">
        <v>213</v>
      </c>
      <c r="E66" s="365">
        <f t="shared" si="8"/>
        <v>200.92</v>
      </c>
      <c r="F66" s="365">
        <f t="shared" si="9"/>
        <v>126.11</v>
      </c>
      <c r="G66" s="365">
        <v>83.61</v>
      </c>
      <c r="H66" s="365">
        <v>0.81</v>
      </c>
      <c r="I66" s="365">
        <v>34.68</v>
      </c>
      <c r="J66" s="365">
        <v>5.76</v>
      </c>
      <c r="K66" s="365">
        <v>1.25</v>
      </c>
      <c r="L66" s="365">
        <f t="shared" si="10"/>
        <v>74.81</v>
      </c>
      <c r="M66" s="365">
        <v>20.81</v>
      </c>
      <c r="N66" s="365"/>
      <c r="O66" s="365"/>
      <c r="P66" s="365"/>
      <c r="Q66" s="365"/>
      <c r="R66" s="365"/>
      <c r="S66" s="365">
        <v>54</v>
      </c>
      <c r="T66" s="365">
        <f t="shared" si="5"/>
        <v>35.6701</v>
      </c>
      <c r="U66" s="365">
        <f t="shared" si="13"/>
        <v>25.29</v>
      </c>
      <c r="V66" s="365">
        <v>18.03</v>
      </c>
      <c r="W66" s="365"/>
      <c r="X66" s="365">
        <v>6.35</v>
      </c>
      <c r="Y66" s="365">
        <v>0.42</v>
      </c>
      <c r="Z66" s="365">
        <v>0.49</v>
      </c>
      <c r="AA66" s="365">
        <f t="shared" si="31"/>
        <v>10.3801</v>
      </c>
      <c r="AB66" s="365">
        <v>2.54</v>
      </c>
      <c r="AC66" s="365"/>
      <c r="AD66" s="365"/>
      <c r="AE66" s="365"/>
      <c r="AF66" s="365"/>
      <c r="AG66" s="365"/>
      <c r="AH66" s="365">
        <v>-54</v>
      </c>
      <c r="AI66" s="365">
        <v>30.84</v>
      </c>
      <c r="AJ66" s="365">
        <v>19</v>
      </c>
      <c r="AK66" s="365">
        <v>12.0001</v>
      </c>
      <c r="AL66" s="365">
        <f t="shared" si="2"/>
        <v>236.5901</v>
      </c>
      <c r="AM66" s="365">
        <f t="shared" si="32"/>
        <v>151.4</v>
      </c>
      <c r="AN66" s="365">
        <f t="shared" si="33"/>
        <v>101.64</v>
      </c>
      <c r="AO66" s="365">
        <f t="shared" si="34"/>
        <v>0.81</v>
      </c>
      <c r="AP66" s="365">
        <f t="shared" si="35"/>
        <v>41.03</v>
      </c>
      <c r="AQ66" s="365">
        <f t="shared" si="36"/>
        <v>6.18</v>
      </c>
      <c r="AR66" s="365">
        <f t="shared" si="37"/>
        <v>1.74</v>
      </c>
      <c r="AS66" s="365">
        <f t="shared" si="21"/>
        <v>85.1901</v>
      </c>
      <c r="AT66" s="365">
        <f t="shared" si="38"/>
        <v>23.35</v>
      </c>
      <c r="AU66" s="365">
        <f t="shared" si="39"/>
        <v>0</v>
      </c>
      <c r="AV66" s="365">
        <f t="shared" si="40"/>
        <v>0</v>
      </c>
      <c r="AW66" s="365">
        <f t="shared" si="41"/>
        <v>0</v>
      </c>
      <c r="AX66" s="365">
        <f t="shared" si="42"/>
        <v>0</v>
      </c>
      <c r="AY66" s="365">
        <f t="shared" si="43"/>
        <v>0</v>
      </c>
      <c r="AZ66" s="365">
        <f t="shared" si="44"/>
        <v>0</v>
      </c>
      <c r="BA66" s="365">
        <f t="shared" si="45"/>
        <v>30.84</v>
      </c>
      <c r="BB66" s="365">
        <f t="shared" si="12"/>
        <v>19</v>
      </c>
      <c r="BC66" s="365">
        <f t="shared" si="46"/>
        <v>12.0001</v>
      </c>
      <c r="BD66" s="363"/>
      <c r="BE66">
        <v>12.0001</v>
      </c>
    </row>
    <row r="67" ht="24" spans="1:57">
      <c r="A67" s="284" t="s">
        <v>221</v>
      </c>
      <c r="B67" s="284" t="s">
        <v>196</v>
      </c>
      <c r="C67" s="284" t="s">
        <v>266</v>
      </c>
      <c r="D67" s="284" t="s">
        <v>207</v>
      </c>
      <c r="E67" s="365">
        <f t="shared" si="8"/>
        <v>0</v>
      </c>
      <c r="F67" s="365">
        <f t="shared" si="9"/>
        <v>0</v>
      </c>
      <c r="G67" s="365"/>
      <c r="H67" s="365"/>
      <c r="I67" s="365"/>
      <c r="J67" s="365"/>
      <c r="K67" s="365"/>
      <c r="L67" s="365">
        <f t="shared" si="10"/>
        <v>0</v>
      </c>
      <c r="M67" s="365"/>
      <c r="N67" s="365"/>
      <c r="O67" s="365"/>
      <c r="P67" s="365"/>
      <c r="Q67" s="365"/>
      <c r="R67" s="365"/>
      <c r="S67" s="365"/>
      <c r="T67" s="365">
        <f t="shared" si="5"/>
        <v>0</v>
      </c>
      <c r="U67" s="365">
        <f t="shared" si="13"/>
        <v>0</v>
      </c>
      <c r="V67" s="365"/>
      <c r="W67" s="365"/>
      <c r="X67" s="365"/>
      <c r="Y67" s="365"/>
      <c r="Z67" s="365"/>
      <c r="AA67" s="365">
        <f t="shared" si="31"/>
        <v>0</v>
      </c>
      <c r="AB67" s="365"/>
      <c r="AC67" s="365"/>
      <c r="AD67" s="365"/>
      <c r="AE67" s="365"/>
      <c r="AF67" s="365"/>
      <c r="AG67" s="365"/>
      <c r="AH67" s="365">
        <v>0</v>
      </c>
      <c r="AI67" s="365"/>
      <c r="AJ67" s="365"/>
      <c r="AK67" s="365"/>
      <c r="AL67" s="365">
        <f t="shared" si="2"/>
        <v>0</v>
      </c>
      <c r="AM67" s="365">
        <f t="shared" si="32"/>
        <v>0</v>
      </c>
      <c r="AN67" s="365">
        <f t="shared" si="33"/>
        <v>0</v>
      </c>
      <c r="AO67" s="365">
        <f t="shared" si="34"/>
        <v>0</v>
      </c>
      <c r="AP67" s="365">
        <f t="shared" si="35"/>
        <v>0</v>
      </c>
      <c r="AQ67" s="365">
        <f t="shared" si="36"/>
        <v>0</v>
      </c>
      <c r="AR67" s="365">
        <f t="shared" si="37"/>
        <v>0</v>
      </c>
      <c r="AS67" s="365">
        <f t="shared" si="21"/>
        <v>0</v>
      </c>
      <c r="AT67" s="365">
        <f t="shared" si="38"/>
        <v>0</v>
      </c>
      <c r="AU67" s="365">
        <f t="shared" si="39"/>
        <v>0</v>
      </c>
      <c r="AV67" s="365">
        <f t="shared" si="40"/>
        <v>0</v>
      </c>
      <c r="AW67" s="365">
        <f t="shared" si="41"/>
        <v>0</v>
      </c>
      <c r="AX67" s="365">
        <f t="shared" si="42"/>
        <v>0</v>
      </c>
      <c r="AY67" s="365">
        <f t="shared" si="43"/>
        <v>0</v>
      </c>
      <c r="AZ67" s="365">
        <f t="shared" si="44"/>
        <v>0</v>
      </c>
      <c r="BA67" s="365">
        <f t="shared" si="45"/>
        <v>0</v>
      </c>
      <c r="BB67" s="365">
        <f t="shared" si="12"/>
        <v>0</v>
      </c>
      <c r="BC67" s="365">
        <f t="shared" si="46"/>
        <v>0</v>
      </c>
      <c r="BD67" s="363"/>
      <c r="BE67">
        <v>20.4691</v>
      </c>
    </row>
    <row r="68" ht="24" spans="1:57">
      <c r="A68" s="284" t="s">
        <v>221</v>
      </c>
      <c r="B68" s="284" t="s">
        <v>199</v>
      </c>
      <c r="C68" s="284" t="s">
        <v>267</v>
      </c>
      <c r="D68" s="284" t="s">
        <v>213</v>
      </c>
      <c r="E68" s="365">
        <f t="shared" si="8"/>
        <v>47.24</v>
      </c>
      <c r="F68" s="365">
        <f t="shared" si="9"/>
        <v>31.21</v>
      </c>
      <c r="G68" s="365">
        <v>21.03</v>
      </c>
      <c r="H68" s="365"/>
      <c r="I68" s="365">
        <v>8.38</v>
      </c>
      <c r="J68" s="365">
        <v>1.8</v>
      </c>
      <c r="K68" s="365"/>
      <c r="L68" s="365">
        <f t="shared" si="10"/>
        <v>16.03</v>
      </c>
      <c r="M68" s="365">
        <v>5.03</v>
      </c>
      <c r="N68" s="365"/>
      <c r="O68" s="365"/>
      <c r="P68" s="365"/>
      <c r="Q68" s="365"/>
      <c r="R68" s="365"/>
      <c r="S68" s="365">
        <v>11</v>
      </c>
      <c r="T68" s="365">
        <f t="shared" si="5"/>
        <v>10.1017</v>
      </c>
      <c r="U68" s="365">
        <f t="shared" si="13"/>
        <v>4.46</v>
      </c>
      <c r="V68" s="365">
        <v>1.2</v>
      </c>
      <c r="W68" s="365"/>
      <c r="X68" s="365">
        <v>2.74</v>
      </c>
      <c r="Y68" s="365">
        <v>0.52</v>
      </c>
      <c r="Z68" s="365"/>
      <c r="AA68" s="365">
        <f t="shared" si="31"/>
        <v>5.6417</v>
      </c>
      <c r="AB68" s="365">
        <v>0.45</v>
      </c>
      <c r="AC68" s="365"/>
      <c r="AD68" s="365"/>
      <c r="AE68" s="365"/>
      <c r="AF68" s="365"/>
      <c r="AG68" s="365"/>
      <c r="AH68" s="365">
        <v>-11</v>
      </c>
      <c r="AI68" s="365">
        <v>8.55</v>
      </c>
      <c r="AJ68" s="365">
        <v>4</v>
      </c>
      <c r="AK68" s="365">
        <v>3.6417</v>
      </c>
      <c r="AL68" s="365">
        <f t="shared" si="2"/>
        <v>57.3417</v>
      </c>
      <c r="AM68" s="365">
        <f t="shared" si="32"/>
        <v>35.67</v>
      </c>
      <c r="AN68" s="365">
        <f t="shared" si="33"/>
        <v>22.23</v>
      </c>
      <c r="AO68" s="365">
        <f t="shared" si="34"/>
        <v>0</v>
      </c>
      <c r="AP68" s="365">
        <f t="shared" si="35"/>
        <v>11.12</v>
      </c>
      <c r="AQ68" s="365">
        <f t="shared" si="36"/>
        <v>2.32</v>
      </c>
      <c r="AR68" s="365">
        <f t="shared" si="37"/>
        <v>0</v>
      </c>
      <c r="AS68" s="365">
        <f t="shared" si="21"/>
        <v>21.6717</v>
      </c>
      <c r="AT68" s="365">
        <f t="shared" si="38"/>
        <v>5.48</v>
      </c>
      <c r="AU68" s="365">
        <f t="shared" si="39"/>
        <v>0</v>
      </c>
      <c r="AV68" s="365">
        <f t="shared" si="40"/>
        <v>0</v>
      </c>
      <c r="AW68" s="365">
        <f t="shared" si="41"/>
        <v>0</v>
      </c>
      <c r="AX68" s="365">
        <f t="shared" si="42"/>
        <v>0</v>
      </c>
      <c r="AY68" s="365">
        <f t="shared" si="43"/>
        <v>0</v>
      </c>
      <c r="AZ68" s="365">
        <f t="shared" si="44"/>
        <v>0</v>
      </c>
      <c r="BA68" s="365">
        <f t="shared" si="45"/>
        <v>8.55</v>
      </c>
      <c r="BB68" s="365">
        <f t="shared" si="12"/>
        <v>4</v>
      </c>
      <c r="BC68" s="365">
        <f t="shared" si="46"/>
        <v>3.6417</v>
      </c>
      <c r="BD68" s="363"/>
      <c r="BE68">
        <v>3.6417</v>
      </c>
    </row>
    <row r="69" ht="24" spans="1:57">
      <c r="A69" s="284" t="s">
        <v>221</v>
      </c>
      <c r="B69" s="284" t="s">
        <v>199</v>
      </c>
      <c r="C69" s="284" t="s">
        <v>268</v>
      </c>
      <c r="D69" s="284" t="s">
        <v>213</v>
      </c>
      <c r="E69" s="365">
        <f t="shared" si="8"/>
        <v>39.31</v>
      </c>
      <c r="F69" s="365">
        <f t="shared" si="9"/>
        <v>24.31</v>
      </c>
      <c r="G69" s="365">
        <v>15.84</v>
      </c>
      <c r="H69" s="365"/>
      <c r="I69" s="365">
        <v>6.67</v>
      </c>
      <c r="J69" s="365">
        <v>1.8</v>
      </c>
      <c r="K69" s="365"/>
      <c r="L69" s="365">
        <f t="shared" si="10"/>
        <v>15</v>
      </c>
      <c r="M69" s="365">
        <v>4</v>
      </c>
      <c r="N69" s="365"/>
      <c r="O69" s="365"/>
      <c r="P69" s="365"/>
      <c r="Q69" s="365"/>
      <c r="R69" s="365"/>
      <c r="S69" s="365">
        <v>11</v>
      </c>
      <c r="T69" s="365">
        <f t="shared" si="5"/>
        <v>10.6917</v>
      </c>
      <c r="U69" s="365">
        <f t="shared" si="13"/>
        <v>6.64</v>
      </c>
      <c r="V69" s="365">
        <v>5.05</v>
      </c>
      <c r="W69" s="365"/>
      <c r="X69" s="365">
        <v>1.37</v>
      </c>
      <c r="Y69" s="365">
        <v>0.22</v>
      </c>
      <c r="Z69" s="365"/>
      <c r="AA69" s="365">
        <f t="shared" si="31"/>
        <v>4.0517</v>
      </c>
      <c r="AB69" s="365">
        <v>0.82</v>
      </c>
      <c r="AC69" s="365"/>
      <c r="AD69" s="365"/>
      <c r="AE69" s="365"/>
      <c r="AF69" s="365"/>
      <c r="AG69" s="365"/>
      <c r="AH69" s="365">
        <v>-11</v>
      </c>
      <c r="AI69" s="365">
        <v>6.69</v>
      </c>
      <c r="AJ69" s="365">
        <v>5</v>
      </c>
      <c r="AK69" s="365">
        <v>2.5417</v>
      </c>
      <c r="AL69" s="365">
        <f t="shared" si="2"/>
        <v>50.0017</v>
      </c>
      <c r="AM69" s="365">
        <f t="shared" si="32"/>
        <v>30.95</v>
      </c>
      <c r="AN69" s="365">
        <f t="shared" si="33"/>
        <v>20.89</v>
      </c>
      <c r="AO69" s="365">
        <f t="shared" si="34"/>
        <v>0</v>
      </c>
      <c r="AP69" s="365">
        <f t="shared" si="35"/>
        <v>8.04</v>
      </c>
      <c r="AQ69" s="365">
        <f t="shared" si="36"/>
        <v>2.02</v>
      </c>
      <c r="AR69" s="365">
        <f t="shared" si="37"/>
        <v>0</v>
      </c>
      <c r="AS69" s="365">
        <f t="shared" si="21"/>
        <v>19.0517</v>
      </c>
      <c r="AT69" s="365">
        <f t="shared" si="38"/>
        <v>4.82</v>
      </c>
      <c r="AU69" s="365">
        <f t="shared" si="39"/>
        <v>0</v>
      </c>
      <c r="AV69" s="365">
        <f t="shared" si="40"/>
        <v>0</v>
      </c>
      <c r="AW69" s="365">
        <f t="shared" si="41"/>
        <v>0</v>
      </c>
      <c r="AX69" s="365">
        <f t="shared" si="42"/>
        <v>0</v>
      </c>
      <c r="AY69" s="365">
        <f t="shared" si="43"/>
        <v>0</v>
      </c>
      <c r="AZ69" s="365">
        <f t="shared" si="44"/>
        <v>0</v>
      </c>
      <c r="BA69" s="365">
        <f t="shared" si="45"/>
        <v>6.69</v>
      </c>
      <c r="BB69" s="365">
        <f t="shared" si="12"/>
        <v>5</v>
      </c>
      <c r="BC69" s="365">
        <f t="shared" si="46"/>
        <v>2.5417</v>
      </c>
      <c r="BD69" s="363"/>
      <c r="BE69">
        <v>2.5417</v>
      </c>
    </row>
    <row r="70" ht="24" spans="1:57">
      <c r="A70" s="284" t="s">
        <v>221</v>
      </c>
      <c r="B70" s="284" t="s">
        <v>199</v>
      </c>
      <c r="C70" s="284" t="s">
        <v>269</v>
      </c>
      <c r="D70" s="284" t="s">
        <v>213</v>
      </c>
      <c r="E70" s="365">
        <f t="shared" si="8"/>
        <v>166.72</v>
      </c>
      <c r="F70" s="365">
        <f t="shared" si="9"/>
        <v>108.65</v>
      </c>
      <c r="G70" s="365">
        <v>70.28</v>
      </c>
      <c r="H70" s="365"/>
      <c r="I70" s="365">
        <v>30.11</v>
      </c>
      <c r="J70" s="365">
        <v>7.56</v>
      </c>
      <c r="K70" s="365">
        <v>0.7</v>
      </c>
      <c r="L70" s="365">
        <f t="shared" si="10"/>
        <v>58.07</v>
      </c>
      <c r="M70" s="365">
        <v>18.07</v>
      </c>
      <c r="N70" s="365"/>
      <c r="O70" s="365"/>
      <c r="P70" s="365"/>
      <c r="Q70" s="365"/>
      <c r="R70" s="365"/>
      <c r="S70" s="365">
        <v>40</v>
      </c>
      <c r="T70" s="365">
        <f t="shared" si="5"/>
        <v>8.895</v>
      </c>
      <c r="U70" s="365">
        <f t="shared" si="13"/>
        <v>-3.77</v>
      </c>
      <c r="V70" s="365">
        <v>-4.29</v>
      </c>
      <c r="W70" s="365"/>
      <c r="X70" s="365">
        <v>0.73</v>
      </c>
      <c r="Y70" s="365">
        <v>-0.75</v>
      </c>
      <c r="Z70" s="365">
        <v>0.54</v>
      </c>
      <c r="AA70" s="365">
        <f t="shared" si="31"/>
        <v>12.665</v>
      </c>
      <c r="AB70" s="365">
        <v>-2.16</v>
      </c>
      <c r="AC70" s="365"/>
      <c r="AD70" s="365"/>
      <c r="AE70" s="365"/>
      <c r="AF70" s="365"/>
      <c r="AG70" s="365"/>
      <c r="AH70" s="365">
        <v>-40</v>
      </c>
      <c r="AI70" s="365">
        <v>22.95</v>
      </c>
      <c r="AJ70" s="365">
        <v>21</v>
      </c>
      <c r="AK70" s="365">
        <v>10.875</v>
      </c>
      <c r="AL70" s="365">
        <f t="shared" ref="AL70:AL133" si="47">AM70+AS70</f>
        <v>175.615</v>
      </c>
      <c r="AM70" s="365">
        <f t="shared" si="32"/>
        <v>104.88</v>
      </c>
      <c r="AN70" s="365">
        <f t="shared" si="33"/>
        <v>65.99</v>
      </c>
      <c r="AO70" s="365">
        <f t="shared" si="34"/>
        <v>0</v>
      </c>
      <c r="AP70" s="365">
        <f t="shared" si="35"/>
        <v>30.84</v>
      </c>
      <c r="AQ70" s="365">
        <f t="shared" si="36"/>
        <v>6.81</v>
      </c>
      <c r="AR70" s="365">
        <f t="shared" si="37"/>
        <v>1.24</v>
      </c>
      <c r="AS70" s="365">
        <f t="shared" si="21"/>
        <v>70.735</v>
      </c>
      <c r="AT70" s="365">
        <f t="shared" si="38"/>
        <v>15.91</v>
      </c>
      <c r="AU70" s="365">
        <f t="shared" si="39"/>
        <v>0</v>
      </c>
      <c r="AV70" s="365">
        <f t="shared" si="40"/>
        <v>0</v>
      </c>
      <c r="AW70" s="365">
        <f t="shared" si="41"/>
        <v>0</v>
      </c>
      <c r="AX70" s="365">
        <f t="shared" si="42"/>
        <v>0</v>
      </c>
      <c r="AY70" s="365">
        <f t="shared" si="43"/>
        <v>0</v>
      </c>
      <c r="AZ70" s="365">
        <f t="shared" si="44"/>
        <v>0</v>
      </c>
      <c r="BA70" s="365">
        <f t="shared" si="45"/>
        <v>22.95</v>
      </c>
      <c r="BB70" s="365">
        <f t="shared" si="12"/>
        <v>21</v>
      </c>
      <c r="BC70" s="365">
        <f t="shared" si="46"/>
        <v>10.875</v>
      </c>
      <c r="BD70" s="363"/>
      <c r="BE70">
        <v>10.875</v>
      </c>
    </row>
    <row r="71" ht="24" spans="1:57">
      <c r="A71" s="284" t="s">
        <v>221</v>
      </c>
      <c r="B71" s="284" t="s">
        <v>196</v>
      </c>
      <c r="C71" s="284" t="s">
        <v>270</v>
      </c>
      <c r="D71" s="284" t="s">
        <v>207</v>
      </c>
      <c r="E71" s="365">
        <f t="shared" si="8"/>
        <v>0</v>
      </c>
      <c r="F71" s="365">
        <f t="shared" si="9"/>
        <v>0</v>
      </c>
      <c r="G71" s="365"/>
      <c r="H71" s="365"/>
      <c r="I71" s="365"/>
      <c r="J71" s="365"/>
      <c r="K71" s="365"/>
      <c r="L71" s="365">
        <f t="shared" si="10"/>
        <v>0</v>
      </c>
      <c r="M71" s="365"/>
      <c r="N71" s="365"/>
      <c r="O71" s="365"/>
      <c r="P71" s="365"/>
      <c r="Q71" s="365"/>
      <c r="R71" s="365"/>
      <c r="S71" s="365"/>
      <c r="T71" s="365">
        <f t="shared" ref="T71:T134" si="48">U71+AA71</f>
        <v>0</v>
      </c>
      <c r="U71" s="365">
        <f t="shared" si="13"/>
        <v>0</v>
      </c>
      <c r="V71" s="365"/>
      <c r="W71" s="365"/>
      <c r="X71" s="365"/>
      <c r="Y71" s="365"/>
      <c r="Z71" s="365"/>
      <c r="AA71" s="365">
        <f t="shared" si="31"/>
        <v>0</v>
      </c>
      <c r="AB71" s="365"/>
      <c r="AC71" s="365"/>
      <c r="AD71" s="365"/>
      <c r="AE71" s="365"/>
      <c r="AF71" s="365"/>
      <c r="AG71" s="365"/>
      <c r="AH71" s="365">
        <v>0</v>
      </c>
      <c r="AI71" s="365"/>
      <c r="AJ71" s="365"/>
      <c r="AK71" s="365"/>
      <c r="AL71" s="365">
        <f t="shared" si="47"/>
        <v>0</v>
      </c>
      <c r="AM71" s="365">
        <f t="shared" si="32"/>
        <v>0</v>
      </c>
      <c r="AN71" s="365">
        <f t="shared" si="33"/>
        <v>0</v>
      </c>
      <c r="AO71" s="365">
        <f t="shared" si="34"/>
        <v>0</v>
      </c>
      <c r="AP71" s="365">
        <f t="shared" si="35"/>
        <v>0</v>
      </c>
      <c r="AQ71" s="365">
        <f t="shared" si="36"/>
        <v>0</v>
      </c>
      <c r="AR71" s="365">
        <f t="shared" si="37"/>
        <v>0</v>
      </c>
      <c r="AS71" s="365">
        <f t="shared" si="21"/>
        <v>0</v>
      </c>
      <c r="AT71" s="365">
        <f t="shared" si="38"/>
        <v>0</v>
      </c>
      <c r="AU71" s="365">
        <f t="shared" si="39"/>
        <v>0</v>
      </c>
      <c r="AV71" s="365">
        <f t="shared" si="40"/>
        <v>0</v>
      </c>
      <c r="AW71" s="365">
        <f t="shared" si="41"/>
        <v>0</v>
      </c>
      <c r="AX71" s="365">
        <f t="shared" si="42"/>
        <v>0</v>
      </c>
      <c r="AY71" s="365">
        <f t="shared" si="43"/>
        <v>0</v>
      </c>
      <c r="AZ71" s="365">
        <f t="shared" si="44"/>
        <v>0</v>
      </c>
      <c r="BA71" s="365">
        <f t="shared" si="45"/>
        <v>0</v>
      </c>
      <c r="BB71" s="365">
        <f t="shared" si="12"/>
        <v>0</v>
      </c>
      <c r="BC71" s="365">
        <f t="shared" si="46"/>
        <v>0</v>
      </c>
      <c r="BD71" s="363"/>
      <c r="BE71">
        <v>22.648</v>
      </c>
    </row>
    <row r="72" ht="24" spans="1:57">
      <c r="A72" s="284" t="s">
        <v>221</v>
      </c>
      <c r="B72" s="284" t="s">
        <v>199</v>
      </c>
      <c r="C72" s="284" t="s">
        <v>271</v>
      </c>
      <c r="D72" s="284" t="s">
        <v>213</v>
      </c>
      <c r="E72" s="365">
        <f t="shared" ref="E72:E135" si="49">F72+L72</f>
        <v>39.08</v>
      </c>
      <c r="F72" s="365">
        <f t="shared" ref="F72:F135" si="50">SUM(G72:K72)</f>
        <v>21.48</v>
      </c>
      <c r="G72" s="365">
        <v>13.69</v>
      </c>
      <c r="H72" s="365"/>
      <c r="I72" s="365">
        <v>5.99</v>
      </c>
      <c r="J72" s="365">
        <v>1.8</v>
      </c>
      <c r="K72" s="365"/>
      <c r="L72" s="365">
        <f t="shared" ref="L72:L135" si="51">SUM(M72:S72)</f>
        <v>17.6</v>
      </c>
      <c r="M72" s="365">
        <v>3.6</v>
      </c>
      <c r="N72" s="365"/>
      <c r="O72" s="365"/>
      <c r="P72" s="365"/>
      <c r="Q72" s="365"/>
      <c r="R72" s="365"/>
      <c r="S72" s="365">
        <v>14</v>
      </c>
      <c r="T72" s="365">
        <f t="shared" si="48"/>
        <v>3.2077</v>
      </c>
      <c r="U72" s="365">
        <f t="shared" si="13"/>
        <v>3.24</v>
      </c>
      <c r="V72" s="365">
        <v>1.68</v>
      </c>
      <c r="W72" s="365"/>
      <c r="X72" s="365">
        <v>1.5</v>
      </c>
      <c r="Y72" s="365">
        <v>0.06</v>
      </c>
      <c r="Z72" s="365"/>
      <c r="AA72" s="365">
        <f t="shared" si="31"/>
        <v>-0.0323000000000002</v>
      </c>
      <c r="AB72" s="365">
        <v>0.7027</v>
      </c>
      <c r="AC72" s="365"/>
      <c r="AD72" s="365"/>
      <c r="AE72" s="365"/>
      <c r="AF72" s="365"/>
      <c r="AG72" s="365"/>
      <c r="AH72" s="365">
        <v>-14</v>
      </c>
      <c r="AI72" s="365">
        <v>6.39</v>
      </c>
      <c r="AJ72" s="365">
        <v>4</v>
      </c>
      <c r="AK72" s="365">
        <v>2.875</v>
      </c>
      <c r="AL72" s="365">
        <f t="shared" si="47"/>
        <v>42.2877</v>
      </c>
      <c r="AM72" s="365">
        <f t="shared" si="32"/>
        <v>24.72</v>
      </c>
      <c r="AN72" s="365">
        <f t="shared" si="33"/>
        <v>15.37</v>
      </c>
      <c r="AO72" s="365">
        <f t="shared" si="34"/>
        <v>0</v>
      </c>
      <c r="AP72" s="365">
        <f t="shared" si="35"/>
        <v>7.49</v>
      </c>
      <c r="AQ72" s="365">
        <f t="shared" si="36"/>
        <v>1.86</v>
      </c>
      <c r="AR72" s="365">
        <f t="shared" si="37"/>
        <v>0</v>
      </c>
      <c r="AS72" s="365">
        <f t="shared" si="21"/>
        <v>17.5677</v>
      </c>
      <c r="AT72" s="365">
        <f t="shared" si="38"/>
        <v>4.3027</v>
      </c>
      <c r="AU72" s="365">
        <f t="shared" si="39"/>
        <v>0</v>
      </c>
      <c r="AV72" s="365">
        <f t="shared" si="40"/>
        <v>0</v>
      </c>
      <c r="AW72" s="365">
        <f t="shared" si="41"/>
        <v>0</v>
      </c>
      <c r="AX72" s="365">
        <f t="shared" si="42"/>
        <v>0</v>
      </c>
      <c r="AY72" s="365">
        <f t="shared" si="43"/>
        <v>0</v>
      </c>
      <c r="AZ72" s="365">
        <f t="shared" si="44"/>
        <v>0</v>
      </c>
      <c r="BA72" s="365">
        <f t="shared" si="45"/>
        <v>6.39</v>
      </c>
      <c r="BB72" s="365">
        <f t="shared" ref="BB72:BB135" si="52">AJ72</f>
        <v>4</v>
      </c>
      <c r="BC72" s="365">
        <f t="shared" si="46"/>
        <v>2.875</v>
      </c>
      <c r="BD72" s="363"/>
      <c r="BE72">
        <v>2.875</v>
      </c>
    </row>
    <row r="73" ht="24" customHeight="1" spans="1:57">
      <c r="A73" s="284" t="s">
        <v>221</v>
      </c>
      <c r="B73" s="284" t="s">
        <v>199</v>
      </c>
      <c r="C73" s="284" t="s">
        <v>272</v>
      </c>
      <c r="D73" s="284" t="s">
        <v>213</v>
      </c>
      <c r="E73" s="365">
        <f t="shared" si="49"/>
        <v>71.33</v>
      </c>
      <c r="F73" s="365">
        <f t="shared" si="50"/>
        <v>42.59</v>
      </c>
      <c r="G73" s="365">
        <v>27.94</v>
      </c>
      <c r="H73" s="365"/>
      <c r="I73" s="365">
        <v>11.24</v>
      </c>
      <c r="J73" s="365">
        <v>2.88</v>
      </c>
      <c r="K73" s="365">
        <v>0.53</v>
      </c>
      <c r="L73" s="365">
        <f t="shared" si="51"/>
        <v>28.74</v>
      </c>
      <c r="M73" s="365">
        <v>6.74</v>
      </c>
      <c r="N73" s="365"/>
      <c r="O73" s="365"/>
      <c r="P73" s="365"/>
      <c r="Q73" s="365"/>
      <c r="R73" s="365"/>
      <c r="S73" s="365">
        <v>22</v>
      </c>
      <c r="T73" s="365">
        <f t="shared" si="48"/>
        <v>0.72</v>
      </c>
      <c r="U73" s="365">
        <f t="shared" ref="U73:U136" si="53">SUM(V73:Z73)</f>
        <v>2.47</v>
      </c>
      <c r="V73" s="365">
        <v>2.59</v>
      </c>
      <c r="W73" s="365"/>
      <c r="X73" s="365"/>
      <c r="Y73" s="365">
        <v>-0.12</v>
      </c>
      <c r="Z73" s="365"/>
      <c r="AA73" s="365">
        <f t="shared" ref="AA73:AA104" si="54">SUM(AB73:AK73)</f>
        <v>-1.75</v>
      </c>
      <c r="AB73" s="365">
        <v>-0.02</v>
      </c>
      <c r="AC73" s="365"/>
      <c r="AD73" s="365"/>
      <c r="AE73" s="365"/>
      <c r="AF73" s="365"/>
      <c r="AG73" s="365"/>
      <c r="AH73" s="365">
        <v>-22</v>
      </c>
      <c r="AI73" s="365">
        <v>9.27</v>
      </c>
      <c r="AJ73" s="365">
        <v>7</v>
      </c>
      <c r="AK73" s="365">
        <v>4</v>
      </c>
      <c r="AL73" s="365">
        <f t="shared" si="47"/>
        <v>72.05</v>
      </c>
      <c r="AM73" s="365">
        <f t="shared" ref="AM73:AM104" si="55">SUM(AN73:AR73)</f>
        <v>45.06</v>
      </c>
      <c r="AN73" s="365">
        <f t="shared" ref="AN73:AN104" si="56">G73+V73</f>
        <v>30.53</v>
      </c>
      <c r="AO73" s="365">
        <f t="shared" ref="AO73:AO104" si="57">H73+W73</f>
        <v>0</v>
      </c>
      <c r="AP73" s="365">
        <f t="shared" ref="AP73:AP104" si="58">I73+X73</f>
        <v>11.24</v>
      </c>
      <c r="AQ73" s="365">
        <f t="shared" ref="AQ73:AQ104" si="59">J73+Y73</f>
        <v>2.76</v>
      </c>
      <c r="AR73" s="365">
        <f t="shared" ref="AR73:AR104" si="60">K73+Z73</f>
        <v>0.53</v>
      </c>
      <c r="AS73" s="365">
        <f t="shared" ref="AS73:AS136" si="61">SUM(AT73:BC73)</f>
        <v>26.99</v>
      </c>
      <c r="AT73" s="365">
        <f t="shared" ref="AT73:AT104" si="62">M73+AB73</f>
        <v>6.72</v>
      </c>
      <c r="AU73" s="365">
        <f t="shared" ref="AU73:AU104" si="63">N73+AC73</f>
        <v>0</v>
      </c>
      <c r="AV73" s="365">
        <f t="shared" ref="AV73:AV104" si="64">O73+AD73</f>
        <v>0</v>
      </c>
      <c r="AW73" s="365">
        <f t="shared" ref="AW73:AW104" si="65">P73+AE73</f>
        <v>0</v>
      </c>
      <c r="AX73" s="365">
        <f t="shared" ref="AX73:AX104" si="66">Q73+AF73</f>
        <v>0</v>
      </c>
      <c r="AY73" s="365">
        <f t="shared" ref="AY73:AY104" si="67">R73+AG73</f>
        <v>0</v>
      </c>
      <c r="AZ73" s="365">
        <f t="shared" ref="AZ73:AZ104" si="68">S73+AH73</f>
        <v>0</v>
      </c>
      <c r="BA73" s="365">
        <f t="shared" ref="BA73:BA104" si="69">AI73</f>
        <v>9.27</v>
      </c>
      <c r="BB73" s="365">
        <f t="shared" si="52"/>
        <v>7</v>
      </c>
      <c r="BC73" s="365">
        <f t="shared" ref="BC73:BC104" si="70">AK73</f>
        <v>4</v>
      </c>
      <c r="BD73" s="363"/>
      <c r="BE73">
        <v>4</v>
      </c>
    </row>
    <row r="74" ht="24" customHeight="1" spans="1:57">
      <c r="A74" s="284" t="s">
        <v>221</v>
      </c>
      <c r="B74" s="284" t="s">
        <v>199</v>
      </c>
      <c r="C74" s="284" t="s">
        <v>273</v>
      </c>
      <c r="D74" s="284" t="s">
        <v>213</v>
      </c>
      <c r="E74" s="365">
        <f t="shared" si="49"/>
        <v>202.26</v>
      </c>
      <c r="F74" s="365">
        <f t="shared" si="50"/>
        <v>120.7</v>
      </c>
      <c r="G74" s="365">
        <v>79.96</v>
      </c>
      <c r="H74" s="365"/>
      <c r="I74" s="365">
        <v>32.6</v>
      </c>
      <c r="J74" s="365">
        <v>7.2</v>
      </c>
      <c r="K74" s="365">
        <v>0.94</v>
      </c>
      <c r="L74" s="365">
        <f t="shared" si="51"/>
        <v>81.56</v>
      </c>
      <c r="M74" s="365">
        <v>19.56</v>
      </c>
      <c r="N74" s="365"/>
      <c r="O74" s="365"/>
      <c r="P74" s="365"/>
      <c r="Q74" s="365"/>
      <c r="R74" s="365"/>
      <c r="S74" s="366">
        <v>62</v>
      </c>
      <c r="T74" s="365">
        <f t="shared" si="48"/>
        <v>6.4751</v>
      </c>
      <c r="U74" s="365">
        <f t="shared" si="53"/>
        <v>9.73</v>
      </c>
      <c r="V74" s="365">
        <v>5.56</v>
      </c>
      <c r="W74" s="365"/>
      <c r="X74" s="365">
        <v>3.51</v>
      </c>
      <c r="Y74" s="365">
        <v>0.51</v>
      </c>
      <c r="Z74" s="365">
        <v>0.15</v>
      </c>
      <c r="AA74" s="365">
        <f t="shared" si="54"/>
        <v>-3.2549</v>
      </c>
      <c r="AB74" s="366">
        <v>0.03</v>
      </c>
      <c r="AC74" s="366"/>
      <c r="AD74" s="366"/>
      <c r="AE74" s="366"/>
      <c r="AF74" s="366"/>
      <c r="AG74" s="366"/>
      <c r="AH74" s="365">
        <v>-62</v>
      </c>
      <c r="AI74" s="366">
        <v>28.59</v>
      </c>
      <c r="AJ74" s="366">
        <v>19</v>
      </c>
      <c r="AK74" s="365">
        <v>11.1251</v>
      </c>
      <c r="AL74" s="365">
        <f t="shared" si="47"/>
        <v>208.7351</v>
      </c>
      <c r="AM74" s="365">
        <f t="shared" si="55"/>
        <v>130.43</v>
      </c>
      <c r="AN74" s="365">
        <f t="shared" si="56"/>
        <v>85.52</v>
      </c>
      <c r="AO74" s="365">
        <f t="shared" si="57"/>
        <v>0</v>
      </c>
      <c r="AP74" s="365">
        <f t="shared" si="58"/>
        <v>36.11</v>
      </c>
      <c r="AQ74" s="365">
        <f t="shared" si="59"/>
        <v>7.71</v>
      </c>
      <c r="AR74" s="365">
        <f t="shared" si="60"/>
        <v>1.09</v>
      </c>
      <c r="AS74" s="365">
        <f t="shared" si="61"/>
        <v>78.3051</v>
      </c>
      <c r="AT74" s="365">
        <f t="shared" si="62"/>
        <v>19.59</v>
      </c>
      <c r="AU74" s="365">
        <f t="shared" si="63"/>
        <v>0</v>
      </c>
      <c r="AV74" s="365">
        <f t="shared" si="64"/>
        <v>0</v>
      </c>
      <c r="AW74" s="365">
        <f t="shared" si="65"/>
        <v>0</v>
      </c>
      <c r="AX74" s="365">
        <f t="shared" si="66"/>
        <v>0</v>
      </c>
      <c r="AY74" s="365">
        <f t="shared" si="67"/>
        <v>0</v>
      </c>
      <c r="AZ74" s="365">
        <f t="shared" si="68"/>
        <v>0</v>
      </c>
      <c r="BA74" s="365">
        <f t="shared" si="69"/>
        <v>28.59</v>
      </c>
      <c r="BB74" s="365">
        <f t="shared" si="52"/>
        <v>19</v>
      </c>
      <c r="BC74" s="365">
        <f t="shared" si="70"/>
        <v>11.1251</v>
      </c>
      <c r="BD74" s="363"/>
      <c r="BE74">
        <v>11.1251</v>
      </c>
    </row>
    <row r="75" ht="24" spans="1:57">
      <c r="A75" s="284" t="s">
        <v>221</v>
      </c>
      <c r="B75" s="284" t="s">
        <v>196</v>
      </c>
      <c r="C75" s="284" t="s">
        <v>274</v>
      </c>
      <c r="D75" s="284" t="s">
        <v>207</v>
      </c>
      <c r="E75" s="365">
        <f t="shared" si="49"/>
        <v>0</v>
      </c>
      <c r="F75" s="365">
        <f t="shared" si="50"/>
        <v>0</v>
      </c>
      <c r="G75" s="365"/>
      <c r="H75" s="365"/>
      <c r="I75" s="365"/>
      <c r="J75" s="365"/>
      <c r="K75" s="365"/>
      <c r="L75" s="365">
        <f t="shared" si="51"/>
        <v>0</v>
      </c>
      <c r="M75" s="365"/>
      <c r="N75" s="365"/>
      <c r="O75" s="365"/>
      <c r="P75" s="365"/>
      <c r="Q75" s="365"/>
      <c r="R75" s="365"/>
      <c r="S75" s="365"/>
      <c r="T75" s="365">
        <f t="shared" si="48"/>
        <v>0</v>
      </c>
      <c r="U75" s="365">
        <f t="shared" si="53"/>
        <v>0</v>
      </c>
      <c r="V75" s="365"/>
      <c r="W75" s="365"/>
      <c r="X75" s="365"/>
      <c r="Y75" s="365"/>
      <c r="Z75" s="365"/>
      <c r="AA75" s="365">
        <f t="shared" si="54"/>
        <v>0</v>
      </c>
      <c r="AB75" s="365"/>
      <c r="AC75" s="365"/>
      <c r="AD75" s="365"/>
      <c r="AE75" s="365"/>
      <c r="AF75" s="365"/>
      <c r="AG75" s="365"/>
      <c r="AH75" s="365">
        <v>0</v>
      </c>
      <c r="AI75" s="365"/>
      <c r="AJ75" s="365"/>
      <c r="AK75" s="365"/>
      <c r="AL75" s="365">
        <f t="shared" si="47"/>
        <v>0</v>
      </c>
      <c r="AM75" s="365">
        <f t="shared" si="55"/>
        <v>0</v>
      </c>
      <c r="AN75" s="365">
        <f t="shared" si="56"/>
        <v>0</v>
      </c>
      <c r="AO75" s="365">
        <f t="shared" si="57"/>
        <v>0</v>
      </c>
      <c r="AP75" s="365">
        <f t="shared" si="58"/>
        <v>0</v>
      </c>
      <c r="AQ75" s="365">
        <f t="shared" si="59"/>
        <v>0</v>
      </c>
      <c r="AR75" s="365">
        <f t="shared" si="60"/>
        <v>0</v>
      </c>
      <c r="AS75" s="365">
        <f t="shared" si="61"/>
        <v>0</v>
      </c>
      <c r="AT75" s="365">
        <f t="shared" si="62"/>
        <v>0</v>
      </c>
      <c r="AU75" s="365">
        <f t="shared" si="63"/>
        <v>0</v>
      </c>
      <c r="AV75" s="365">
        <f t="shared" si="64"/>
        <v>0</v>
      </c>
      <c r="AW75" s="365">
        <f t="shared" si="65"/>
        <v>0</v>
      </c>
      <c r="AX75" s="365">
        <f t="shared" si="66"/>
        <v>0</v>
      </c>
      <c r="AY75" s="365">
        <f t="shared" si="67"/>
        <v>0</v>
      </c>
      <c r="AZ75" s="365">
        <f t="shared" si="68"/>
        <v>0</v>
      </c>
      <c r="BA75" s="365">
        <f t="shared" si="69"/>
        <v>0</v>
      </c>
      <c r="BB75" s="365">
        <f t="shared" si="52"/>
        <v>0</v>
      </c>
      <c r="BC75" s="365">
        <f t="shared" si="70"/>
        <v>0</v>
      </c>
      <c r="BD75" s="363"/>
      <c r="BE75">
        <v>17.1336</v>
      </c>
    </row>
    <row r="76" ht="24" spans="1:57">
      <c r="A76" s="284" t="s">
        <v>221</v>
      </c>
      <c r="B76" s="284" t="s">
        <v>199</v>
      </c>
      <c r="C76" s="284" t="s">
        <v>275</v>
      </c>
      <c r="D76" s="284" t="s">
        <v>213</v>
      </c>
      <c r="E76" s="365">
        <f t="shared" si="49"/>
        <v>39.06</v>
      </c>
      <c r="F76" s="365">
        <f t="shared" si="50"/>
        <v>25.96</v>
      </c>
      <c r="G76" s="365">
        <v>17.33</v>
      </c>
      <c r="H76" s="365"/>
      <c r="I76" s="365">
        <v>6.83</v>
      </c>
      <c r="J76" s="365">
        <v>1.8</v>
      </c>
      <c r="K76" s="365"/>
      <c r="L76" s="365">
        <f t="shared" si="51"/>
        <v>13.1</v>
      </c>
      <c r="M76" s="365">
        <v>4.1</v>
      </c>
      <c r="N76" s="365"/>
      <c r="O76" s="365"/>
      <c r="P76" s="365"/>
      <c r="Q76" s="365"/>
      <c r="R76" s="365"/>
      <c r="S76" s="365">
        <v>9</v>
      </c>
      <c r="T76" s="365">
        <f t="shared" si="48"/>
        <v>7.8617</v>
      </c>
      <c r="U76" s="365">
        <f t="shared" si="53"/>
        <v>3.42</v>
      </c>
      <c r="V76" s="365">
        <v>1.32</v>
      </c>
      <c r="W76" s="365"/>
      <c r="X76" s="365">
        <v>1.83</v>
      </c>
      <c r="Y76" s="365">
        <v>0.27</v>
      </c>
      <c r="Z76" s="365"/>
      <c r="AA76" s="365">
        <f t="shared" si="54"/>
        <v>4.4417</v>
      </c>
      <c r="AB76" s="365">
        <v>0.21</v>
      </c>
      <c r="AC76" s="365"/>
      <c r="AD76" s="365"/>
      <c r="AE76" s="365"/>
      <c r="AF76" s="365"/>
      <c r="AG76" s="365"/>
      <c r="AH76" s="365">
        <v>-9</v>
      </c>
      <c r="AI76" s="365">
        <v>6.69</v>
      </c>
      <c r="AJ76" s="365">
        <v>4</v>
      </c>
      <c r="AK76" s="365">
        <v>2.5417</v>
      </c>
      <c r="AL76" s="365">
        <f t="shared" si="47"/>
        <v>46.9217</v>
      </c>
      <c r="AM76" s="365">
        <f t="shared" si="55"/>
        <v>29.38</v>
      </c>
      <c r="AN76" s="365">
        <f t="shared" si="56"/>
        <v>18.65</v>
      </c>
      <c r="AO76" s="365">
        <f t="shared" si="57"/>
        <v>0</v>
      </c>
      <c r="AP76" s="365">
        <f t="shared" si="58"/>
        <v>8.66</v>
      </c>
      <c r="AQ76" s="365">
        <f t="shared" si="59"/>
        <v>2.07</v>
      </c>
      <c r="AR76" s="365">
        <f t="shared" si="60"/>
        <v>0</v>
      </c>
      <c r="AS76" s="365">
        <f t="shared" si="61"/>
        <v>17.5417</v>
      </c>
      <c r="AT76" s="365">
        <f t="shared" si="62"/>
        <v>4.31</v>
      </c>
      <c r="AU76" s="365">
        <f t="shared" si="63"/>
        <v>0</v>
      </c>
      <c r="AV76" s="365">
        <f t="shared" si="64"/>
        <v>0</v>
      </c>
      <c r="AW76" s="365">
        <f t="shared" si="65"/>
        <v>0</v>
      </c>
      <c r="AX76" s="365">
        <f t="shared" si="66"/>
        <v>0</v>
      </c>
      <c r="AY76" s="365">
        <f t="shared" si="67"/>
        <v>0</v>
      </c>
      <c r="AZ76" s="365">
        <f t="shared" si="68"/>
        <v>0</v>
      </c>
      <c r="BA76" s="365">
        <f t="shared" si="69"/>
        <v>6.69</v>
      </c>
      <c r="BB76" s="365">
        <f t="shared" si="52"/>
        <v>4</v>
      </c>
      <c r="BC76" s="365">
        <f t="shared" si="70"/>
        <v>2.5417</v>
      </c>
      <c r="BD76" s="363"/>
      <c r="BE76">
        <v>2.5417</v>
      </c>
    </row>
    <row r="77" ht="24" spans="1:57">
      <c r="A77" s="284" t="s">
        <v>221</v>
      </c>
      <c r="B77" s="284" t="s">
        <v>199</v>
      </c>
      <c r="C77" s="284" t="s">
        <v>276</v>
      </c>
      <c r="D77" s="284" t="s">
        <v>213</v>
      </c>
      <c r="E77" s="365">
        <f t="shared" si="49"/>
        <v>35.15</v>
      </c>
      <c r="F77" s="365">
        <f t="shared" si="50"/>
        <v>22.33</v>
      </c>
      <c r="G77" s="365">
        <v>14.52</v>
      </c>
      <c r="H77" s="365"/>
      <c r="I77" s="365">
        <v>6.37</v>
      </c>
      <c r="J77" s="365">
        <v>1.44</v>
      </c>
      <c r="K77" s="365"/>
      <c r="L77" s="365">
        <f t="shared" si="51"/>
        <v>12.82</v>
      </c>
      <c r="M77" s="365">
        <v>3.82</v>
      </c>
      <c r="N77" s="365"/>
      <c r="O77" s="365"/>
      <c r="P77" s="365"/>
      <c r="Q77" s="365"/>
      <c r="R77" s="365"/>
      <c r="S77" s="365">
        <v>9</v>
      </c>
      <c r="T77" s="365">
        <f t="shared" si="48"/>
        <v>11.2717</v>
      </c>
      <c r="U77" s="365">
        <f t="shared" si="53"/>
        <v>6.25</v>
      </c>
      <c r="V77" s="365">
        <v>4.74</v>
      </c>
      <c r="W77" s="365"/>
      <c r="X77" s="365">
        <v>1.4</v>
      </c>
      <c r="Y77" s="365">
        <v>0.11</v>
      </c>
      <c r="Z77" s="365"/>
      <c r="AA77" s="365">
        <f t="shared" si="54"/>
        <v>5.0217</v>
      </c>
      <c r="AB77" s="365">
        <v>0.79</v>
      </c>
      <c r="AC77" s="365"/>
      <c r="AD77" s="365"/>
      <c r="AE77" s="365"/>
      <c r="AF77" s="365"/>
      <c r="AG77" s="365"/>
      <c r="AH77" s="365">
        <v>-9</v>
      </c>
      <c r="AI77" s="365">
        <v>6.69</v>
      </c>
      <c r="AJ77" s="365">
        <v>4</v>
      </c>
      <c r="AK77" s="365">
        <v>2.5417</v>
      </c>
      <c r="AL77" s="365">
        <f t="shared" si="47"/>
        <v>46.4217</v>
      </c>
      <c r="AM77" s="365">
        <f t="shared" si="55"/>
        <v>28.58</v>
      </c>
      <c r="AN77" s="365">
        <f t="shared" si="56"/>
        <v>19.26</v>
      </c>
      <c r="AO77" s="365">
        <f t="shared" si="57"/>
        <v>0</v>
      </c>
      <c r="AP77" s="365">
        <f t="shared" si="58"/>
        <v>7.77</v>
      </c>
      <c r="AQ77" s="365">
        <f t="shared" si="59"/>
        <v>1.55</v>
      </c>
      <c r="AR77" s="365">
        <f t="shared" si="60"/>
        <v>0</v>
      </c>
      <c r="AS77" s="365">
        <f t="shared" si="61"/>
        <v>17.8417</v>
      </c>
      <c r="AT77" s="365">
        <f t="shared" si="62"/>
        <v>4.61</v>
      </c>
      <c r="AU77" s="365">
        <f t="shared" si="63"/>
        <v>0</v>
      </c>
      <c r="AV77" s="365">
        <f t="shared" si="64"/>
        <v>0</v>
      </c>
      <c r="AW77" s="365">
        <f t="shared" si="65"/>
        <v>0</v>
      </c>
      <c r="AX77" s="365">
        <f t="shared" si="66"/>
        <v>0</v>
      </c>
      <c r="AY77" s="365">
        <f t="shared" si="67"/>
        <v>0</v>
      </c>
      <c r="AZ77" s="365">
        <f t="shared" si="68"/>
        <v>0</v>
      </c>
      <c r="BA77" s="365">
        <f t="shared" si="69"/>
        <v>6.69</v>
      </c>
      <c r="BB77" s="365">
        <f t="shared" si="52"/>
        <v>4</v>
      </c>
      <c r="BC77" s="365">
        <f t="shared" si="70"/>
        <v>2.5417</v>
      </c>
      <c r="BD77" s="363"/>
      <c r="BE77">
        <v>2.5417</v>
      </c>
    </row>
    <row r="78" ht="24" spans="1:57">
      <c r="A78" s="284" t="s">
        <v>221</v>
      </c>
      <c r="B78" s="284" t="s">
        <v>199</v>
      </c>
      <c r="C78" s="284" t="s">
        <v>277</v>
      </c>
      <c r="D78" s="284" t="s">
        <v>213</v>
      </c>
      <c r="E78" s="365">
        <f t="shared" si="49"/>
        <v>174.13</v>
      </c>
      <c r="F78" s="365">
        <f t="shared" si="50"/>
        <v>114.32</v>
      </c>
      <c r="G78" s="365">
        <v>73.53</v>
      </c>
      <c r="H78" s="365">
        <v>0.62</v>
      </c>
      <c r="I78" s="365">
        <v>31.36</v>
      </c>
      <c r="J78" s="365">
        <v>7.56</v>
      </c>
      <c r="K78" s="365">
        <v>1.25</v>
      </c>
      <c r="L78" s="365">
        <f t="shared" si="51"/>
        <v>59.81</v>
      </c>
      <c r="M78" s="365">
        <v>18.81</v>
      </c>
      <c r="N78" s="365"/>
      <c r="O78" s="365"/>
      <c r="P78" s="365"/>
      <c r="Q78" s="365"/>
      <c r="R78" s="365"/>
      <c r="S78" s="365">
        <v>41</v>
      </c>
      <c r="T78" s="365">
        <f t="shared" si="48"/>
        <v>18.215</v>
      </c>
      <c r="U78" s="365">
        <f t="shared" si="53"/>
        <v>4.57</v>
      </c>
      <c r="V78" s="365">
        <v>2.04</v>
      </c>
      <c r="W78" s="365"/>
      <c r="X78" s="365">
        <v>2.98</v>
      </c>
      <c r="Y78" s="365">
        <v>-0.45</v>
      </c>
      <c r="Z78" s="365"/>
      <c r="AA78" s="365">
        <f t="shared" si="54"/>
        <v>13.645</v>
      </c>
      <c r="AB78" s="365">
        <v>-0.73</v>
      </c>
      <c r="AC78" s="365"/>
      <c r="AD78" s="365"/>
      <c r="AE78" s="365"/>
      <c r="AF78" s="365"/>
      <c r="AG78" s="365"/>
      <c r="AH78" s="365">
        <v>-41</v>
      </c>
      <c r="AI78" s="365">
        <v>25.5</v>
      </c>
      <c r="AJ78" s="365">
        <v>19</v>
      </c>
      <c r="AK78" s="365">
        <v>10.875</v>
      </c>
      <c r="AL78" s="365">
        <f t="shared" si="47"/>
        <v>192.345</v>
      </c>
      <c r="AM78" s="365">
        <f t="shared" si="55"/>
        <v>118.89</v>
      </c>
      <c r="AN78" s="365">
        <f t="shared" si="56"/>
        <v>75.57</v>
      </c>
      <c r="AO78" s="365">
        <f t="shared" si="57"/>
        <v>0.62</v>
      </c>
      <c r="AP78" s="365">
        <f t="shared" si="58"/>
        <v>34.34</v>
      </c>
      <c r="AQ78" s="365">
        <f t="shared" si="59"/>
        <v>7.11</v>
      </c>
      <c r="AR78" s="365">
        <f t="shared" si="60"/>
        <v>1.25</v>
      </c>
      <c r="AS78" s="365">
        <f t="shared" si="61"/>
        <v>73.455</v>
      </c>
      <c r="AT78" s="365">
        <f t="shared" si="62"/>
        <v>18.08</v>
      </c>
      <c r="AU78" s="365">
        <f t="shared" si="63"/>
        <v>0</v>
      </c>
      <c r="AV78" s="365">
        <f t="shared" si="64"/>
        <v>0</v>
      </c>
      <c r="AW78" s="365">
        <f t="shared" si="65"/>
        <v>0</v>
      </c>
      <c r="AX78" s="365">
        <f t="shared" si="66"/>
        <v>0</v>
      </c>
      <c r="AY78" s="365">
        <f t="shared" si="67"/>
        <v>0</v>
      </c>
      <c r="AZ78" s="365">
        <f t="shared" si="68"/>
        <v>0</v>
      </c>
      <c r="BA78" s="365">
        <f t="shared" si="69"/>
        <v>25.5</v>
      </c>
      <c r="BB78" s="365">
        <f t="shared" si="52"/>
        <v>19</v>
      </c>
      <c r="BC78" s="365">
        <f t="shared" si="70"/>
        <v>10.875</v>
      </c>
      <c r="BD78" s="363"/>
      <c r="BE78">
        <v>10.875</v>
      </c>
    </row>
    <row r="79" ht="24" spans="1:57">
      <c r="A79" s="284" t="s">
        <v>221</v>
      </c>
      <c r="B79" s="284" t="s">
        <v>196</v>
      </c>
      <c r="C79" s="284" t="s">
        <v>278</v>
      </c>
      <c r="D79" s="284" t="s">
        <v>207</v>
      </c>
      <c r="E79" s="365">
        <f t="shared" si="49"/>
        <v>0</v>
      </c>
      <c r="F79" s="365">
        <f t="shared" si="50"/>
        <v>0</v>
      </c>
      <c r="G79" s="365"/>
      <c r="H79" s="365"/>
      <c r="I79" s="365"/>
      <c r="J79" s="365"/>
      <c r="K79" s="365"/>
      <c r="L79" s="365">
        <f t="shared" si="51"/>
        <v>0</v>
      </c>
      <c r="M79" s="365"/>
      <c r="N79" s="365"/>
      <c r="O79" s="365"/>
      <c r="P79" s="365"/>
      <c r="Q79" s="365"/>
      <c r="R79" s="365"/>
      <c r="S79" s="365"/>
      <c r="T79" s="365">
        <f t="shared" si="48"/>
        <v>0</v>
      </c>
      <c r="U79" s="365">
        <f t="shared" si="53"/>
        <v>0</v>
      </c>
      <c r="V79" s="365"/>
      <c r="W79" s="365"/>
      <c r="X79" s="365"/>
      <c r="Y79" s="365"/>
      <c r="Z79" s="365"/>
      <c r="AA79" s="365">
        <f t="shared" si="54"/>
        <v>0</v>
      </c>
      <c r="AB79" s="365"/>
      <c r="AC79" s="365"/>
      <c r="AD79" s="365"/>
      <c r="AE79" s="365"/>
      <c r="AF79" s="365"/>
      <c r="AG79" s="365"/>
      <c r="AH79" s="365">
        <v>0</v>
      </c>
      <c r="AI79" s="365"/>
      <c r="AJ79" s="365"/>
      <c r="AK79" s="365"/>
      <c r="AL79" s="365">
        <f t="shared" si="47"/>
        <v>0</v>
      </c>
      <c r="AM79" s="365">
        <f t="shared" si="55"/>
        <v>0</v>
      </c>
      <c r="AN79" s="365">
        <f t="shared" si="56"/>
        <v>0</v>
      </c>
      <c r="AO79" s="365">
        <f t="shared" si="57"/>
        <v>0</v>
      </c>
      <c r="AP79" s="365">
        <f t="shared" si="58"/>
        <v>0</v>
      </c>
      <c r="AQ79" s="365">
        <f t="shared" si="59"/>
        <v>0</v>
      </c>
      <c r="AR79" s="365">
        <f t="shared" si="60"/>
        <v>0</v>
      </c>
      <c r="AS79" s="365">
        <f t="shared" si="61"/>
        <v>0</v>
      </c>
      <c r="AT79" s="365">
        <f t="shared" si="62"/>
        <v>0</v>
      </c>
      <c r="AU79" s="365">
        <f t="shared" si="63"/>
        <v>0</v>
      </c>
      <c r="AV79" s="365">
        <f t="shared" si="64"/>
        <v>0</v>
      </c>
      <c r="AW79" s="365">
        <f t="shared" si="65"/>
        <v>0</v>
      </c>
      <c r="AX79" s="365">
        <f t="shared" si="66"/>
        <v>0</v>
      </c>
      <c r="AY79" s="365">
        <f t="shared" si="67"/>
        <v>0</v>
      </c>
      <c r="AZ79" s="365">
        <f t="shared" si="68"/>
        <v>0</v>
      </c>
      <c r="BA79" s="365">
        <f t="shared" si="69"/>
        <v>0</v>
      </c>
      <c r="BB79" s="365">
        <f t="shared" si="52"/>
        <v>0</v>
      </c>
      <c r="BC79" s="365">
        <f t="shared" si="70"/>
        <v>0</v>
      </c>
      <c r="BD79" s="363"/>
      <c r="BE79">
        <v>17.2628</v>
      </c>
    </row>
    <row r="80" ht="24" spans="1:57">
      <c r="A80" s="284" t="s">
        <v>221</v>
      </c>
      <c r="B80" s="284" t="s">
        <v>199</v>
      </c>
      <c r="C80" s="284" t="s">
        <v>279</v>
      </c>
      <c r="D80" s="284" t="s">
        <v>213</v>
      </c>
      <c r="E80" s="365">
        <f t="shared" si="49"/>
        <v>49.47</v>
      </c>
      <c r="F80" s="365">
        <f t="shared" si="50"/>
        <v>30.53</v>
      </c>
      <c r="G80" s="365">
        <v>20.5</v>
      </c>
      <c r="H80" s="365"/>
      <c r="I80" s="365">
        <v>8.23</v>
      </c>
      <c r="J80" s="365">
        <v>1.8</v>
      </c>
      <c r="K80" s="365"/>
      <c r="L80" s="365">
        <f t="shared" si="51"/>
        <v>18.94</v>
      </c>
      <c r="M80" s="365">
        <v>4.94</v>
      </c>
      <c r="N80" s="365"/>
      <c r="O80" s="365"/>
      <c r="P80" s="365"/>
      <c r="Q80" s="365"/>
      <c r="R80" s="365"/>
      <c r="S80" s="366">
        <v>14</v>
      </c>
      <c r="T80" s="365">
        <f t="shared" si="48"/>
        <v>8.4134</v>
      </c>
      <c r="U80" s="365">
        <f t="shared" si="53"/>
        <v>8.2</v>
      </c>
      <c r="V80" s="365">
        <v>4.58</v>
      </c>
      <c r="W80" s="365"/>
      <c r="X80" s="365">
        <v>2.85</v>
      </c>
      <c r="Y80" s="365">
        <v>0.77</v>
      </c>
      <c r="Z80" s="365"/>
      <c r="AA80" s="365">
        <f t="shared" si="54"/>
        <v>0.213399999999999</v>
      </c>
      <c r="AB80" s="366">
        <v>0.86</v>
      </c>
      <c r="AC80" s="366"/>
      <c r="AD80" s="366"/>
      <c r="AE80" s="366"/>
      <c r="AF80" s="366"/>
      <c r="AG80" s="366"/>
      <c r="AH80" s="365">
        <v>-14</v>
      </c>
      <c r="AI80" s="366">
        <v>7.77</v>
      </c>
      <c r="AJ80" s="366">
        <v>3</v>
      </c>
      <c r="AK80" s="365">
        <v>2.5834</v>
      </c>
      <c r="AL80" s="365">
        <f t="shared" si="47"/>
        <v>57.8834</v>
      </c>
      <c r="AM80" s="365">
        <f t="shared" si="55"/>
        <v>38.73</v>
      </c>
      <c r="AN80" s="365">
        <f t="shared" si="56"/>
        <v>25.08</v>
      </c>
      <c r="AO80" s="365">
        <f t="shared" si="57"/>
        <v>0</v>
      </c>
      <c r="AP80" s="365">
        <f t="shared" si="58"/>
        <v>11.08</v>
      </c>
      <c r="AQ80" s="365">
        <f t="shared" si="59"/>
        <v>2.57</v>
      </c>
      <c r="AR80" s="365">
        <f t="shared" si="60"/>
        <v>0</v>
      </c>
      <c r="AS80" s="365">
        <f t="shared" si="61"/>
        <v>19.1534</v>
      </c>
      <c r="AT80" s="365">
        <f t="shared" si="62"/>
        <v>5.8</v>
      </c>
      <c r="AU80" s="365">
        <f t="shared" si="63"/>
        <v>0</v>
      </c>
      <c r="AV80" s="365">
        <f t="shared" si="64"/>
        <v>0</v>
      </c>
      <c r="AW80" s="365">
        <f t="shared" si="65"/>
        <v>0</v>
      </c>
      <c r="AX80" s="365">
        <f t="shared" si="66"/>
        <v>0</v>
      </c>
      <c r="AY80" s="365">
        <f t="shared" si="67"/>
        <v>0</v>
      </c>
      <c r="AZ80" s="365">
        <f t="shared" si="68"/>
        <v>0</v>
      </c>
      <c r="BA80" s="365">
        <f t="shared" si="69"/>
        <v>7.77</v>
      </c>
      <c r="BB80" s="365">
        <f t="shared" si="52"/>
        <v>3</v>
      </c>
      <c r="BC80" s="365">
        <f t="shared" si="70"/>
        <v>2.5834</v>
      </c>
      <c r="BD80" s="363"/>
      <c r="BE80">
        <v>2.5834</v>
      </c>
    </row>
    <row r="81" ht="24" spans="1:57">
      <c r="A81" s="284" t="s">
        <v>221</v>
      </c>
      <c r="B81" s="284" t="s">
        <v>199</v>
      </c>
      <c r="C81" s="284" t="s">
        <v>280</v>
      </c>
      <c r="D81" s="284" t="s">
        <v>213</v>
      </c>
      <c r="E81" s="365">
        <f t="shared" si="49"/>
        <v>36.69</v>
      </c>
      <c r="F81" s="365">
        <f t="shared" si="50"/>
        <v>21.88</v>
      </c>
      <c r="G81" s="365">
        <v>13.73</v>
      </c>
      <c r="H81" s="365"/>
      <c r="I81" s="365">
        <v>6.35</v>
      </c>
      <c r="J81" s="365">
        <v>1.8</v>
      </c>
      <c r="K81" s="365"/>
      <c r="L81" s="365">
        <f t="shared" si="51"/>
        <v>14.81</v>
      </c>
      <c r="M81" s="365">
        <v>3.81</v>
      </c>
      <c r="N81" s="365"/>
      <c r="O81" s="365"/>
      <c r="P81" s="365"/>
      <c r="Q81" s="365"/>
      <c r="R81" s="365"/>
      <c r="S81" s="366">
        <v>11</v>
      </c>
      <c r="T81" s="365">
        <f t="shared" si="48"/>
        <v>10.3067</v>
      </c>
      <c r="U81" s="365">
        <f t="shared" si="53"/>
        <v>7.59</v>
      </c>
      <c r="V81" s="365">
        <v>4.87</v>
      </c>
      <c r="W81" s="365"/>
      <c r="X81" s="365">
        <v>2.34</v>
      </c>
      <c r="Y81" s="365">
        <v>0.38</v>
      </c>
      <c r="Z81" s="365"/>
      <c r="AA81" s="365">
        <f t="shared" si="54"/>
        <v>2.7167</v>
      </c>
      <c r="AB81" s="366">
        <v>0.84</v>
      </c>
      <c r="AC81" s="366"/>
      <c r="AD81" s="366"/>
      <c r="AE81" s="366"/>
      <c r="AF81" s="366"/>
      <c r="AG81" s="366"/>
      <c r="AH81" s="365">
        <v>-11</v>
      </c>
      <c r="AI81" s="366">
        <v>7.21</v>
      </c>
      <c r="AJ81" s="366">
        <v>3</v>
      </c>
      <c r="AK81" s="365">
        <v>2.6667</v>
      </c>
      <c r="AL81" s="365">
        <f t="shared" si="47"/>
        <v>46.9967</v>
      </c>
      <c r="AM81" s="365">
        <f t="shared" si="55"/>
        <v>29.47</v>
      </c>
      <c r="AN81" s="365">
        <f t="shared" si="56"/>
        <v>18.6</v>
      </c>
      <c r="AO81" s="365">
        <f t="shared" si="57"/>
        <v>0</v>
      </c>
      <c r="AP81" s="365">
        <f t="shared" si="58"/>
        <v>8.69</v>
      </c>
      <c r="AQ81" s="365">
        <f t="shared" si="59"/>
        <v>2.18</v>
      </c>
      <c r="AR81" s="365">
        <f t="shared" si="60"/>
        <v>0</v>
      </c>
      <c r="AS81" s="365">
        <f t="shared" si="61"/>
        <v>17.5267</v>
      </c>
      <c r="AT81" s="365">
        <f t="shared" si="62"/>
        <v>4.65</v>
      </c>
      <c r="AU81" s="365">
        <f t="shared" si="63"/>
        <v>0</v>
      </c>
      <c r="AV81" s="365">
        <f t="shared" si="64"/>
        <v>0</v>
      </c>
      <c r="AW81" s="365">
        <f t="shared" si="65"/>
        <v>0</v>
      </c>
      <c r="AX81" s="365">
        <f t="shared" si="66"/>
        <v>0</v>
      </c>
      <c r="AY81" s="365">
        <f t="shared" si="67"/>
        <v>0</v>
      </c>
      <c r="AZ81" s="365">
        <f t="shared" si="68"/>
        <v>0</v>
      </c>
      <c r="BA81" s="365">
        <f t="shared" si="69"/>
        <v>7.21</v>
      </c>
      <c r="BB81" s="365">
        <f t="shared" si="52"/>
        <v>3</v>
      </c>
      <c r="BC81" s="365">
        <f t="shared" si="70"/>
        <v>2.6667</v>
      </c>
      <c r="BD81" s="363"/>
      <c r="BE81">
        <v>2.6667</v>
      </c>
    </row>
    <row r="82" ht="24" spans="1:57">
      <c r="A82" s="284" t="s">
        <v>221</v>
      </c>
      <c r="B82" s="284" t="s">
        <v>199</v>
      </c>
      <c r="C82" s="284" t="s">
        <v>281</v>
      </c>
      <c r="D82" s="284" t="s">
        <v>213</v>
      </c>
      <c r="E82" s="365">
        <f t="shared" si="49"/>
        <v>175.46</v>
      </c>
      <c r="F82" s="365">
        <f t="shared" si="50"/>
        <v>110.58</v>
      </c>
      <c r="G82" s="365">
        <v>72.83</v>
      </c>
      <c r="H82" s="365">
        <v>1.12</v>
      </c>
      <c r="I82" s="365">
        <v>29.79</v>
      </c>
      <c r="J82" s="365">
        <v>6.84</v>
      </c>
      <c r="K82" s="365"/>
      <c r="L82" s="365">
        <f t="shared" si="51"/>
        <v>64.88</v>
      </c>
      <c r="M82" s="365">
        <v>17.88</v>
      </c>
      <c r="N82" s="365"/>
      <c r="O82" s="365"/>
      <c r="P82" s="365"/>
      <c r="Q82" s="365"/>
      <c r="R82" s="365"/>
      <c r="S82" s="366">
        <v>47</v>
      </c>
      <c r="T82" s="365">
        <f t="shared" si="48"/>
        <v>10.51</v>
      </c>
      <c r="U82" s="365">
        <f t="shared" si="53"/>
        <v>5.3</v>
      </c>
      <c r="V82" s="365">
        <v>4.56</v>
      </c>
      <c r="W82" s="365"/>
      <c r="X82" s="365">
        <v>0.51</v>
      </c>
      <c r="Y82" s="365">
        <v>-0.39</v>
      </c>
      <c r="Z82" s="365">
        <v>0.62</v>
      </c>
      <c r="AA82" s="365">
        <f t="shared" si="54"/>
        <v>5.21</v>
      </c>
      <c r="AB82" s="366">
        <v>-0.71</v>
      </c>
      <c r="AC82" s="366"/>
      <c r="AD82" s="366"/>
      <c r="AE82" s="366"/>
      <c r="AF82" s="366"/>
      <c r="AG82" s="366"/>
      <c r="AH82" s="365">
        <v>-47</v>
      </c>
      <c r="AI82" s="366">
        <v>23.42</v>
      </c>
      <c r="AJ82" s="366">
        <v>19</v>
      </c>
      <c r="AK82" s="365">
        <v>10.5</v>
      </c>
      <c r="AL82" s="365">
        <f t="shared" si="47"/>
        <v>185.97</v>
      </c>
      <c r="AM82" s="365">
        <f t="shared" si="55"/>
        <v>115.88</v>
      </c>
      <c r="AN82" s="365">
        <f t="shared" si="56"/>
        <v>77.39</v>
      </c>
      <c r="AO82" s="365">
        <f t="shared" si="57"/>
        <v>1.12</v>
      </c>
      <c r="AP82" s="365">
        <f t="shared" si="58"/>
        <v>30.3</v>
      </c>
      <c r="AQ82" s="365">
        <f t="shared" si="59"/>
        <v>6.45</v>
      </c>
      <c r="AR82" s="365">
        <f t="shared" si="60"/>
        <v>0.62</v>
      </c>
      <c r="AS82" s="365">
        <f t="shared" si="61"/>
        <v>70.09</v>
      </c>
      <c r="AT82" s="365">
        <f t="shared" si="62"/>
        <v>17.17</v>
      </c>
      <c r="AU82" s="365">
        <f t="shared" si="63"/>
        <v>0</v>
      </c>
      <c r="AV82" s="365">
        <f t="shared" si="64"/>
        <v>0</v>
      </c>
      <c r="AW82" s="365">
        <f t="shared" si="65"/>
        <v>0</v>
      </c>
      <c r="AX82" s="365">
        <f t="shared" si="66"/>
        <v>0</v>
      </c>
      <c r="AY82" s="365">
        <f t="shared" si="67"/>
        <v>0</v>
      </c>
      <c r="AZ82" s="365">
        <f t="shared" si="68"/>
        <v>0</v>
      </c>
      <c r="BA82" s="365">
        <f t="shared" si="69"/>
        <v>23.42</v>
      </c>
      <c r="BB82" s="365">
        <f t="shared" si="52"/>
        <v>19</v>
      </c>
      <c r="BC82" s="365">
        <f t="shared" si="70"/>
        <v>10.5</v>
      </c>
      <c r="BD82" s="363"/>
      <c r="BE82">
        <v>10.5</v>
      </c>
    </row>
    <row r="83" ht="24" spans="1:57">
      <c r="A83" s="284" t="s">
        <v>221</v>
      </c>
      <c r="B83" s="284" t="s">
        <v>196</v>
      </c>
      <c r="C83" s="284" t="s">
        <v>282</v>
      </c>
      <c r="D83" s="284" t="s">
        <v>207</v>
      </c>
      <c r="E83" s="365">
        <f t="shared" si="49"/>
        <v>0</v>
      </c>
      <c r="F83" s="365">
        <f t="shared" si="50"/>
        <v>0</v>
      </c>
      <c r="G83" s="365"/>
      <c r="H83" s="365"/>
      <c r="I83" s="365"/>
      <c r="J83" s="365"/>
      <c r="K83" s="365"/>
      <c r="L83" s="365">
        <f t="shared" si="51"/>
        <v>0</v>
      </c>
      <c r="M83" s="365"/>
      <c r="N83" s="365"/>
      <c r="O83" s="365"/>
      <c r="P83" s="365"/>
      <c r="Q83" s="365"/>
      <c r="R83" s="365"/>
      <c r="S83" s="365"/>
      <c r="T83" s="365">
        <f t="shared" si="48"/>
        <v>0</v>
      </c>
      <c r="U83" s="365">
        <f t="shared" si="53"/>
        <v>0</v>
      </c>
      <c r="V83" s="365"/>
      <c r="W83" s="365"/>
      <c r="X83" s="365"/>
      <c r="Y83" s="365"/>
      <c r="Z83" s="365"/>
      <c r="AA83" s="365">
        <f t="shared" si="54"/>
        <v>0</v>
      </c>
      <c r="AB83" s="365"/>
      <c r="AC83" s="365"/>
      <c r="AD83" s="365"/>
      <c r="AE83" s="365"/>
      <c r="AF83" s="365"/>
      <c r="AG83" s="365"/>
      <c r="AH83" s="365">
        <v>0</v>
      </c>
      <c r="AI83" s="365"/>
      <c r="AJ83" s="365"/>
      <c r="AK83" s="365"/>
      <c r="AL83" s="365">
        <f t="shared" si="47"/>
        <v>0</v>
      </c>
      <c r="AM83" s="365">
        <f t="shared" si="55"/>
        <v>0</v>
      </c>
      <c r="AN83" s="365">
        <f t="shared" si="56"/>
        <v>0</v>
      </c>
      <c r="AO83" s="365">
        <f t="shared" si="57"/>
        <v>0</v>
      </c>
      <c r="AP83" s="365">
        <f t="shared" si="58"/>
        <v>0</v>
      </c>
      <c r="AQ83" s="365">
        <f t="shared" si="59"/>
        <v>0</v>
      </c>
      <c r="AR83" s="365">
        <f t="shared" si="60"/>
        <v>0</v>
      </c>
      <c r="AS83" s="365">
        <f t="shared" si="61"/>
        <v>0</v>
      </c>
      <c r="AT83" s="365">
        <f t="shared" si="62"/>
        <v>0</v>
      </c>
      <c r="AU83" s="365">
        <f t="shared" si="63"/>
        <v>0</v>
      </c>
      <c r="AV83" s="365">
        <f t="shared" si="64"/>
        <v>0</v>
      </c>
      <c r="AW83" s="365">
        <f t="shared" si="65"/>
        <v>0</v>
      </c>
      <c r="AX83" s="365">
        <f t="shared" si="66"/>
        <v>0</v>
      </c>
      <c r="AY83" s="365">
        <f t="shared" si="67"/>
        <v>0</v>
      </c>
      <c r="AZ83" s="365">
        <f t="shared" si="68"/>
        <v>0</v>
      </c>
      <c r="BA83" s="365">
        <f t="shared" si="69"/>
        <v>0</v>
      </c>
      <c r="BB83" s="365">
        <f t="shared" si="52"/>
        <v>0</v>
      </c>
      <c r="BC83" s="365">
        <f t="shared" si="70"/>
        <v>0</v>
      </c>
      <c r="BD83" s="363"/>
      <c r="BE83">
        <v>16.2454</v>
      </c>
    </row>
    <row r="84" ht="24" spans="1:57">
      <c r="A84" s="284" t="s">
        <v>221</v>
      </c>
      <c r="B84" s="284" t="s">
        <v>199</v>
      </c>
      <c r="C84" s="284" t="s">
        <v>283</v>
      </c>
      <c r="D84" s="284" t="s">
        <v>213</v>
      </c>
      <c r="E84" s="365">
        <f t="shared" si="49"/>
        <v>50.58</v>
      </c>
      <c r="F84" s="365">
        <f t="shared" si="50"/>
        <v>29.66</v>
      </c>
      <c r="G84" s="365">
        <v>19.23</v>
      </c>
      <c r="H84" s="365"/>
      <c r="I84" s="365">
        <v>8.2</v>
      </c>
      <c r="J84" s="365">
        <v>1.92</v>
      </c>
      <c r="K84" s="365">
        <v>0.31</v>
      </c>
      <c r="L84" s="365">
        <f t="shared" si="51"/>
        <v>20.92</v>
      </c>
      <c r="M84" s="365">
        <v>4.92</v>
      </c>
      <c r="N84" s="365"/>
      <c r="O84" s="365"/>
      <c r="P84" s="365"/>
      <c r="Q84" s="365"/>
      <c r="R84" s="365"/>
      <c r="S84" s="366">
        <v>16</v>
      </c>
      <c r="T84" s="365">
        <f t="shared" si="48"/>
        <v>-7.63</v>
      </c>
      <c r="U84" s="365">
        <f t="shared" si="53"/>
        <v>-5.18</v>
      </c>
      <c r="V84" s="365">
        <v>-5.2</v>
      </c>
      <c r="W84" s="365"/>
      <c r="X84" s="365">
        <v>0.21</v>
      </c>
      <c r="Y84" s="365">
        <v>0.12</v>
      </c>
      <c r="Z84" s="365">
        <v>-0.31</v>
      </c>
      <c r="AA84" s="365">
        <f t="shared" si="54"/>
        <v>-2.45</v>
      </c>
      <c r="AB84" s="366">
        <v>-1.34</v>
      </c>
      <c r="AC84" s="366"/>
      <c r="AD84" s="366"/>
      <c r="AE84" s="366"/>
      <c r="AF84" s="366"/>
      <c r="AG84" s="366"/>
      <c r="AH84" s="365">
        <v>-16</v>
      </c>
      <c r="AI84" s="366">
        <v>6.39</v>
      </c>
      <c r="AJ84" s="366">
        <v>6</v>
      </c>
      <c r="AK84" s="365">
        <v>2.5</v>
      </c>
      <c r="AL84" s="365">
        <f t="shared" si="47"/>
        <v>42.95</v>
      </c>
      <c r="AM84" s="365">
        <f t="shared" si="55"/>
        <v>24.48</v>
      </c>
      <c r="AN84" s="365">
        <f t="shared" si="56"/>
        <v>14.03</v>
      </c>
      <c r="AO84" s="365">
        <f t="shared" si="57"/>
        <v>0</v>
      </c>
      <c r="AP84" s="365">
        <f t="shared" si="58"/>
        <v>8.41</v>
      </c>
      <c r="AQ84" s="365">
        <f t="shared" si="59"/>
        <v>2.04</v>
      </c>
      <c r="AR84" s="365">
        <f t="shared" si="60"/>
        <v>0</v>
      </c>
      <c r="AS84" s="365">
        <f t="shared" si="61"/>
        <v>18.47</v>
      </c>
      <c r="AT84" s="365">
        <f t="shared" si="62"/>
        <v>3.58</v>
      </c>
      <c r="AU84" s="365">
        <f t="shared" si="63"/>
        <v>0</v>
      </c>
      <c r="AV84" s="365">
        <f t="shared" si="64"/>
        <v>0</v>
      </c>
      <c r="AW84" s="365">
        <f t="shared" si="65"/>
        <v>0</v>
      </c>
      <c r="AX84" s="365">
        <f t="shared" si="66"/>
        <v>0</v>
      </c>
      <c r="AY84" s="365">
        <f t="shared" si="67"/>
        <v>0</v>
      </c>
      <c r="AZ84" s="365">
        <f t="shared" si="68"/>
        <v>0</v>
      </c>
      <c r="BA84" s="365">
        <f t="shared" si="69"/>
        <v>6.39</v>
      </c>
      <c r="BB84" s="365">
        <f t="shared" si="52"/>
        <v>6</v>
      </c>
      <c r="BC84" s="365">
        <f t="shared" si="70"/>
        <v>2.5</v>
      </c>
      <c r="BD84" s="363"/>
      <c r="BE84">
        <v>2.5</v>
      </c>
    </row>
    <row r="85" ht="24" spans="1:57">
      <c r="A85" s="284" t="s">
        <v>221</v>
      </c>
      <c r="B85" s="284" t="s">
        <v>199</v>
      </c>
      <c r="C85" s="284" t="s">
        <v>284</v>
      </c>
      <c r="D85" s="284" t="s">
        <v>213</v>
      </c>
      <c r="E85" s="365">
        <f t="shared" si="49"/>
        <v>40.95</v>
      </c>
      <c r="F85" s="365">
        <f t="shared" si="50"/>
        <v>22.93</v>
      </c>
      <c r="G85" s="365">
        <v>14.31</v>
      </c>
      <c r="H85" s="365"/>
      <c r="I85" s="365">
        <v>6.7</v>
      </c>
      <c r="J85" s="365">
        <v>1.92</v>
      </c>
      <c r="K85" s="365"/>
      <c r="L85" s="365">
        <f t="shared" si="51"/>
        <v>18.02</v>
      </c>
      <c r="M85" s="365">
        <v>4.02</v>
      </c>
      <c r="N85" s="365"/>
      <c r="O85" s="365"/>
      <c r="P85" s="365"/>
      <c r="Q85" s="365"/>
      <c r="R85" s="365"/>
      <c r="S85" s="366">
        <v>14</v>
      </c>
      <c r="T85" s="365">
        <f t="shared" si="48"/>
        <v>11.9684</v>
      </c>
      <c r="U85" s="365">
        <f t="shared" si="53"/>
        <v>11.35</v>
      </c>
      <c r="V85" s="365">
        <v>7.5</v>
      </c>
      <c r="W85" s="365"/>
      <c r="X85" s="365">
        <v>2.45</v>
      </c>
      <c r="Y85" s="365">
        <v>1.4</v>
      </c>
      <c r="Z85" s="365"/>
      <c r="AA85" s="365">
        <f t="shared" si="54"/>
        <v>0.6184</v>
      </c>
      <c r="AB85" s="366">
        <v>1.39</v>
      </c>
      <c r="AC85" s="366"/>
      <c r="AD85" s="366"/>
      <c r="AE85" s="366"/>
      <c r="AF85" s="366"/>
      <c r="AG85" s="366"/>
      <c r="AH85" s="365">
        <v>-14</v>
      </c>
      <c r="AI85" s="366">
        <v>7.77</v>
      </c>
      <c r="AJ85" s="366">
        <v>3</v>
      </c>
      <c r="AK85" s="365">
        <v>2.4584</v>
      </c>
      <c r="AL85" s="365">
        <f t="shared" si="47"/>
        <v>52.9184</v>
      </c>
      <c r="AM85" s="365">
        <f t="shared" si="55"/>
        <v>34.28</v>
      </c>
      <c r="AN85" s="365">
        <f t="shared" si="56"/>
        <v>21.81</v>
      </c>
      <c r="AO85" s="365">
        <f t="shared" si="57"/>
        <v>0</v>
      </c>
      <c r="AP85" s="365">
        <f t="shared" si="58"/>
        <v>9.15</v>
      </c>
      <c r="AQ85" s="365">
        <f t="shared" si="59"/>
        <v>3.32</v>
      </c>
      <c r="AR85" s="365">
        <f t="shared" si="60"/>
        <v>0</v>
      </c>
      <c r="AS85" s="365">
        <f t="shared" si="61"/>
        <v>18.6384</v>
      </c>
      <c r="AT85" s="365">
        <f t="shared" si="62"/>
        <v>5.41</v>
      </c>
      <c r="AU85" s="365">
        <f t="shared" si="63"/>
        <v>0</v>
      </c>
      <c r="AV85" s="365">
        <f t="shared" si="64"/>
        <v>0</v>
      </c>
      <c r="AW85" s="365">
        <f t="shared" si="65"/>
        <v>0</v>
      </c>
      <c r="AX85" s="365">
        <f t="shared" si="66"/>
        <v>0</v>
      </c>
      <c r="AY85" s="365">
        <f t="shared" si="67"/>
        <v>0</v>
      </c>
      <c r="AZ85" s="365">
        <f t="shared" si="68"/>
        <v>0</v>
      </c>
      <c r="BA85" s="365">
        <f t="shared" si="69"/>
        <v>7.77</v>
      </c>
      <c r="BB85" s="365">
        <f t="shared" si="52"/>
        <v>3</v>
      </c>
      <c r="BC85" s="365">
        <f t="shared" si="70"/>
        <v>2.4584</v>
      </c>
      <c r="BD85" s="363"/>
      <c r="BE85">
        <v>2.4584</v>
      </c>
    </row>
    <row r="86" ht="24" spans="1:57">
      <c r="A86" s="284" t="s">
        <v>221</v>
      </c>
      <c r="B86" s="284" t="s">
        <v>199</v>
      </c>
      <c r="C86" s="284" t="s">
        <v>285</v>
      </c>
      <c r="D86" s="284" t="s">
        <v>213</v>
      </c>
      <c r="E86" s="365">
        <f t="shared" si="49"/>
        <v>124.4</v>
      </c>
      <c r="F86" s="365">
        <f t="shared" si="50"/>
        <v>71.55</v>
      </c>
      <c r="G86" s="365">
        <v>44.53</v>
      </c>
      <c r="H86" s="365">
        <v>0.25</v>
      </c>
      <c r="I86" s="365">
        <v>19.74</v>
      </c>
      <c r="J86" s="365">
        <v>6.72</v>
      </c>
      <c r="K86" s="365">
        <v>0.31</v>
      </c>
      <c r="L86" s="365">
        <f t="shared" si="51"/>
        <v>52.85</v>
      </c>
      <c r="M86" s="365">
        <v>11.85</v>
      </c>
      <c r="N86" s="365"/>
      <c r="O86" s="365"/>
      <c r="P86" s="365"/>
      <c r="Q86" s="365"/>
      <c r="R86" s="365"/>
      <c r="S86" s="366">
        <v>41</v>
      </c>
      <c r="T86" s="365">
        <f t="shared" si="48"/>
        <v>11.3934</v>
      </c>
      <c r="U86" s="365">
        <f t="shared" si="53"/>
        <v>13.49</v>
      </c>
      <c r="V86" s="365">
        <v>9.23</v>
      </c>
      <c r="W86" s="365"/>
      <c r="X86" s="365">
        <v>3.02</v>
      </c>
      <c r="Y86" s="365">
        <v>0.62</v>
      </c>
      <c r="Z86" s="365">
        <v>0.62</v>
      </c>
      <c r="AA86" s="365">
        <f t="shared" si="54"/>
        <v>-2.0966</v>
      </c>
      <c r="AB86" s="366">
        <v>0.92</v>
      </c>
      <c r="AC86" s="366"/>
      <c r="AD86" s="366"/>
      <c r="AE86" s="366"/>
      <c r="AF86" s="366"/>
      <c r="AG86" s="366"/>
      <c r="AH86" s="365">
        <v>-41</v>
      </c>
      <c r="AI86" s="366">
        <v>18.9</v>
      </c>
      <c r="AJ86" s="366">
        <v>12</v>
      </c>
      <c r="AK86" s="365">
        <v>7.0834</v>
      </c>
      <c r="AL86" s="365">
        <f t="shared" si="47"/>
        <v>135.7934</v>
      </c>
      <c r="AM86" s="365">
        <f t="shared" si="55"/>
        <v>85.04</v>
      </c>
      <c r="AN86" s="365">
        <f t="shared" si="56"/>
        <v>53.76</v>
      </c>
      <c r="AO86" s="365">
        <f t="shared" si="57"/>
        <v>0.25</v>
      </c>
      <c r="AP86" s="365">
        <f t="shared" si="58"/>
        <v>22.76</v>
      </c>
      <c r="AQ86" s="365">
        <f t="shared" si="59"/>
        <v>7.34</v>
      </c>
      <c r="AR86" s="365">
        <f t="shared" si="60"/>
        <v>0.93</v>
      </c>
      <c r="AS86" s="365">
        <f t="shared" si="61"/>
        <v>50.7534</v>
      </c>
      <c r="AT86" s="365">
        <f t="shared" si="62"/>
        <v>12.77</v>
      </c>
      <c r="AU86" s="365">
        <f t="shared" si="63"/>
        <v>0</v>
      </c>
      <c r="AV86" s="365">
        <f t="shared" si="64"/>
        <v>0</v>
      </c>
      <c r="AW86" s="365">
        <f t="shared" si="65"/>
        <v>0</v>
      </c>
      <c r="AX86" s="365">
        <f t="shared" si="66"/>
        <v>0</v>
      </c>
      <c r="AY86" s="365">
        <f t="shared" si="67"/>
        <v>0</v>
      </c>
      <c r="AZ86" s="365">
        <f t="shared" si="68"/>
        <v>0</v>
      </c>
      <c r="BA86" s="365">
        <f t="shared" si="69"/>
        <v>18.9</v>
      </c>
      <c r="BB86" s="365">
        <f t="shared" si="52"/>
        <v>12</v>
      </c>
      <c r="BC86" s="365">
        <f t="shared" si="70"/>
        <v>7.0834</v>
      </c>
      <c r="BD86" s="363"/>
      <c r="BE86">
        <v>7.0834</v>
      </c>
    </row>
    <row r="87" ht="24" spans="1:57">
      <c r="A87" s="284" t="s">
        <v>221</v>
      </c>
      <c r="B87" s="284" t="s">
        <v>196</v>
      </c>
      <c r="C87" s="284" t="s">
        <v>286</v>
      </c>
      <c r="D87" s="284" t="s">
        <v>207</v>
      </c>
      <c r="E87" s="365">
        <f t="shared" si="49"/>
        <v>0</v>
      </c>
      <c r="F87" s="365">
        <f t="shared" si="50"/>
        <v>0</v>
      </c>
      <c r="G87" s="365"/>
      <c r="H87" s="365"/>
      <c r="I87" s="365"/>
      <c r="J87" s="365"/>
      <c r="K87" s="365"/>
      <c r="L87" s="365">
        <f t="shared" si="51"/>
        <v>0</v>
      </c>
      <c r="M87" s="365"/>
      <c r="N87" s="365"/>
      <c r="O87" s="365"/>
      <c r="P87" s="365"/>
      <c r="Q87" s="365"/>
      <c r="R87" s="365"/>
      <c r="S87" s="365"/>
      <c r="T87" s="365">
        <f t="shared" si="48"/>
        <v>0</v>
      </c>
      <c r="U87" s="365">
        <f t="shared" si="53"/>
        <v>0</v>
      </c>
      <c r="V87" s="365"/>
      <c r="W87" s="365"/>
      <c r="X87" s="365"/>
      <c r="Y87" s="365"/>
      <c r="Z87" s="365"/>
      <c r="AA87" s="365">
        <f t="shared" si="54"/>
        <v>0</v>
      </c>
      <c r="AB87" s="365"/>
      <c r="AC87" s="365"/>
      <c r="AD87" s="365"/>
      <c r="AE87" s="365"/>
      <c r="AF87" s="365"/>
      <c r="AG87" s="365"/>
      <c r="AH87" s="365">
        <v>0</v>
      </c>
      <c r="AI87" s="365"/>
      <c r="AJ87" s="365"/>
      <c r="AK87" s="365"/>
      <c r="AL87" s="365">
        <f t="shared" si="47"/>
        <v>0</v>
      </c>
      <c r="AM87" s="365">
        <f t="shared" si="55"/>
        <v>0</v>
      </c>
      <c r="AN87" s="365">
        <f t="shared" si="56"/>
        <v>0</v>
      </c>
      <c r="AO87" s="365">
        <f t="shared" si="57"/>
        <v>0</v>
      </c>
      <c r="AP87" s="365">
        <f t="shared" si="58"/>
        <v>0</v>
      </c>
      <c r="AQ87" s="365">
        <f t="shared" si="59"/>
        <v>0</v>
      </c>
      <c r="AR87" s="365">
        <f t="shared" si="60"/>
        <v>0</v>
      </c>
      <c r="AS87" s="365">
        <f t="shared" si="61"/>
        <v>0</v>
      </c>
      <c r="AT87" s="365">
        <f t="shared" si="62"/>
        <v>0</v>
      </c>
      <c r="AU87" s="365">
        <f t="shared" si="63"/>
        <v>0</v>
      </c>
      <c r="AV87" s="365">
        <f t="shared" si="64"/>
        <v>0</v>
      </c>
      <c r="AW87" s="365">
        <f t="shared" si="65"/>
        <v>0</v>
      </c>
      <c r="AX87" s="365">
        <f t="shared" si="66"/>
        <v>0</v>
      </c>
      <c r="AY87" s="365">
        <f t="shared" si="67"/>
        <v>0</v>
      </c>
      <c r="AZ87" s="365">
        <f t="shared" si="68"/>
        <v>0</v>
      </c>
      <c r="BA87" s="365">
        <f t="shared" si="69"/>
        <v>0</v>
      </c>
      <c r="BB87" s="365">
        <f t="shared" si="52"/>
        <v>0</v>
      </c>
      <c r="BC87" s="365">
        <f t="shared" si="70"/>
        <v>0</v>
      </c>
      <c r="BD87" s="363"/>
      <c r="BE87">
        <v>9.157</v>
      </c>
    </row>
    <row r="88" ht="24" spans="1:57">
      <c r="A88" s="284" t="s">
        <v>221</v>
      </c>
      <c r="B88" s="284" t="s">
        <v>199</v>
      </c>
      <c r="C88" s="284" t="s">
        <v>287</v>
      </c>
      <c r="D88" s="284" t="s">
        <v>213</v>
      </c>
      <c r="E88" s="365">
        <f t="shared" si="49"/>
        <v>36.97</v>
      </c>
      <c r="F88" s="365">
        <f t="shared" si="50"/>
        <v>22.29</v>
      </c>
      <c r="G88" s="365">
        <v>13.75</v>
      </c>
      <c r="H88" s="365"/>
      <c r="I88" s="365">
        <v>6.14</v>
      </c>
      <c r="J88" s="365">
        <v>2.4</v>
      </c>
      <c r="K88" s="365"/>
      <c r="L88" s="365">
        <f t="shared" si="51"/>
        <v>14.68</v>
      </c>
      <c r="M88" s="365">
        <v>3.68</v>
      </c>
      <c r="N88" s="365"/>
      <c r="O88" s="365"/>
      <c r="P88" s="365"/>
      <c r="Q88" s="365"/>
      <c r="R88" s="365"/>
      <c r="S88" s="365">
        <v>11</v>
      </c>
      <c r="T88" s="365">
        <f t="shared" si="48"/>
        <v>0.319999999999999</v>
      </c>
      <c r="U88" s="365">
        <f t="shared" si="53"/>
        <v>-0.815</v>
      </c>
      <c r="V88" s="365">
        <v>-0.725</v>
      </c>
      <c r="W88" s="365"/>
      <c r="X88" s="365">
        <v>0.31</v>
      </c>
      <c r="Y88" s="365">
        <v>-0.4</v>
      </c>
      <c r="Z88" s="365"/>
      <c r="AA88" s="365">
        <f t="shared" si="54"/>
        <v>1.135</v>
      </c>
      <c r="AB88" s="365">
        <v>-0.55</v>
      </c>
      <c r="AC88" s="365"/>
      <c r="AD88" s="365"/>
      <c r="AE88" s="365"/>
      <c r="AF88" s="365"/>
      <c r="AG88" s="365"/>
      <c r="AH88" s="365">
        <v>-11</v>
      </c>
      <c r="AI88" s="365">
        <v>5.31</v>
      </c>
      <c r="AJ88" s="365">
        <v>5</v>
      </c>
      <c r="AK88" s="365">
        <v>2.375</v>
      </c>
      <c r="AL88" s="365">
        <f t="shared" si="47"/>
        <v>37.29</v>
      </c>
      <c r="AM88" s="365">
        <f t="shared" si="55"/>
        <v>21.475</v>
      </c>
      <c r="AN88" s="365">
        <f t="shared" si="56"/>
        <v>13.025</v>
      </c>
      <c r="AO88" s="365">
        <f t="shared" si="57"/>
        <v>0</v>
      </c>
      <c r="AP88" s="365">
        <f t="shared" si="58"/>
        <v>6.45</v>
      </c>
      <c r="AQ88" s="365">
        <f t="shared" si="59"/>
        <v>2</v>
      </c>
      <c r="AR88" s="365">
        <f t="shared" si="60"/>
        <v>0</v>
      </c>
      <c r="AS88" s="365">
        <f t="shared" si="61"/>
        <v>15.815</v>
      </c>
      <c r="AT88" s="365">
        <f t="shared" si="62"/>
        <v>3.13</v>
      </c>
      <c r="AU88" s="365">
        <f t="shared" si="63"/>
        <v>0</v>
      </c>
      <c r="AV88" s="365">
        <f t="shared" si="64"/>
        <v>0</v>
      </c>
      <c r="AW88" s="365">
        <f t="shared" si="65"/>
        <v>0</v>
      </c>
      <c r="AX88" s="365">
        <f t="shared" si="66"/>
        <v>0</v>
      </c>
      <c r="AY88" s="365">
        <f t="shared" si="67"/>
        <v>0</v>
      </c>
      <c r="AZ88" s="365">
        <f t="shared" si="68"/>
        <v>0</v>
      </c>
      <c r="BA88" s="365">
        <f t="shared" si="69"/>
        <v>5.31</v>
      </c>
      <c r="BB88" s="365">
        <f t="shared" si="52"/>
        <v>5</v>
      </c>
      <c r="BC88" s="365">
        <f t="shared" si="70"/>
        <v>2.375</v>
      </c>
      <c r="BD88" s="363"/>
      <c r="BE88">
        <v>2.375</v>
      </c>
    </row>
    <row r="89" ht="24" spans="1:57">
      <c r="A89" s="284" t="s">
        <v>221</v>
      </c>
      <c r="B89" s="284" t="s">
        <v>199</v>
      </c>
      <c r="C89" s="284" t="s">
        <v>288</v>
      </c>
      <c r="D89" s="284" t="s">
        <v>213</v>
      </c>
      <c r="E89" s="365">
        <f t="shared" si="49"/>
        <v>37.49</v>
      </c>
      <c r="F89" s="365">
        <f t="shared" si="50"/>
        <v>22.47</v>
      </c>
      <c r="G89" s="365">
        <v>13.36</v>
      </c>
      <c r="H89" s="365"/>
      <c r="I89" s="365">
        <v>6.71</v>
      </c>
      <c r="J89" s="365">
        <v>2.4</v>
      </c>
      <c r="K89" s="365"/>
      <c r="L89" s="365">
        <f t="shared" si="51"/>
        <v>15.02</v>
      </c>
      <c r="M89" s="365">
        <v>4.02</v>
      </c>
      <c r="N89" s="365"/>
      <c r="O89" s="365"/>
      <c r="P89" s="365"/>
      <c r="Q89" s="365"/>
      <c r="R89" s="365"/>
      <c r="S89" s="365">
        <v>11</v>
      </c>
      <c r="T89" s="365">
        <f t="shared" si="48"/>
        <v>3.4916</v>
      </c>
      <c r="U89" s="365">
        <f t="shared" si="53"/>
        <v>2.49</v>
      </c>
      <c r="V89" s="365">
        <v>2.33</v>
      </c>
      <c r="W89" s="365"/>
      <c r="X89" s="365">
        <v>0.32</v>
      </c>
      <c r="Y89" s="365">
        <v>-0.16</v>
      </c>
      <c r="Z89" s="365"/>
      <c r="AA89" s="365">
        <f t="shared" si="54"/>
        <v>1.0016</v>
      </c>
      <c r="AB89" s="365">
        <v>-0.1084</v>
      </c>
      <c r="AC89" s="365"/>
      <c r="AD89" s="365"/>
      <c r="AE89" s="365"/>
      <c r="AF89" s="365"/>
      <c r="AG89" s="365"/>
      <c r="AH89" s="365">
        <v>-11</v>
      </c>
      <c r="AI89" s="365">
        <v>5.61</v>
      </c>
      <c r="AJ89" s="365">
        <v>4</v>
      </c>
      <c r="AK89" s="365">
        <v>2.5</v>
      </c>
      <c r="AL89" s="365">
        <f t="shared" si="47"/>
        <v>40.9816</v>
      </c>
      <c r="AM89" s="365">
        <f t="shared" si="55"/>
        <v>24.96</v>
      </c>
      <c r="AN89" s="365">
        <f t="shared" si="56"/>
        <v>15.69</v>
      </c>
      <c r="AO89" s="365">
        <f t="shared" si="57"/>
        <v>0</v>
      </c>
      <c r="AP89" s="365">
        <f t="shared" si="58"/>
        <v>7.03</v>
      </c>
      <c r="AQ89" s="365">
        <f t="shared" si="59"/>
        <v>2.24</v>
      </c>
      <c r="AR89" s="365">
        <f t="shared" si="60"/>
        <v>0</v>
      </c>
      <c r="AS89" s="365">
        <f t="shared" si="61"/>
        <v>16.0216</v>
      </c>
      <c r="AT89" s="365">
        <f t="shared" si="62"/>
        <v>3.9116</v>
      </c>
      <c r="AU89" s="365">
        <f t="shared" si="63"/>
        <v>0</v>
      </c>
      <c r="AV89" s="365">
        <f t="shared" si="64"/>
        <v>0</v>
      </c>
      <c r="AW89" s="365">
        <f t="shared" si="65"/>
        <v>0</v>
      </c>
      <c r="AX89" s="365">
        <f t="shared" si="66"/>
        <v>0</v>
      </c>
      <c r="AY89" s="365">
        <f t="shared" si="67"/>
        <v>0</v>
      </c>
      <c r="AZ89" s="365">
        <f t="shared" si="68"/>
        <v>0</v>
      </c>
      <c r="BA89" s="365">
        <f t="shared" si="69"/>
        <v>5.61</v>
      </c>
      <c r="BB89" s="365">
        <f t="shared" si="52"/>
        <v>4</v>
      </c>
      <c r="BC89" s="365">
        <f t="shared" si="70"/>
        <v>2.5</v>
      </c>
      <c r="BD89" s="363"/>
      <c r="BE89">
        <v>2.5</v>
      </c>
    </row>
    <row r="90" ht="24" spans="1:57">
      <c r="A90" s="284" t="s">
        <v>221</v>
      </c>
      <c r="B90" s="284" t="s">
        <v>199</v>
      </c>
      <c r="C90" s="284" t="s">
        <v>289</v>
      </c>
      <c r="D90" s="284" t="s">
        <v>213</v>
      </c>
      <c r="E90" s="365">
        <f t="shared" si="49"/>
        <v>83.51</v>
      </c>
      <c r="F90" s="365">
        <f t="shared" si="50"/>
        <v>49.87</v>
      </c>
      <c r="G90" s="365">
        <v>29.57</v>
      </c>
      <c r="H90" s="365">
        <v>0.62</v>
      </c>
      <c r="I90" s="365">
        <v>14.4</v>
      </c>
      <c r="J90" s="365">
        <v>5.28</v>
      </c>
      <c r="K90" s="365"/>
      <c r="L90" s="365">
        <f t="shared" si="51"/>
        <v>33.64</v>
      </c>
      <c r="M90" s="365">
        <v>8.64</v>
      </c>
      <c r="N90" s="365"/>
      <c r="O90" s="365"/>
      <c r="P90" s="365"/>
      <c r="Q90" s="365"/>
      <c r="R90" s="365"/>
      <c r="S90" s="365">
        <v>25</v>
      </c>
      <c r="T90" s="365">
        <f t="shared" si="48"/>
        <v>28.3968</v>
      </c>
      <c r="U90" s="365">
        <f t="shared" si="53"/>
        <v>21.67</v>
      </c>
      <c r="V90" s="365">
        <v>14.01</v>
      </c>
      <c r="W90" s="365"/>
      <c r="X90" s="365">
        <v>5.8</v>
      </c>
      <c r="Y90" s="365">
        <v>1.86</v>
      </c>
      <c r="Z90" s="365"/>
      <c r="AA90" s="365">
        <f t="shared" si="54"/>
        <v>6.7268</v>
      </c>
      <c r="AB90" s="365">
        <v>2.9</v>
      </c>
      <c r="AC90" s="365"/>
      <c r="AD90" s="365"/>
      <c r="AE90" s="365"/>
      <c r="AF90" s="365"/>
      <c r="AG90" s="365"/>
      <c r="AH90" s="365">
        <v>-25</v>
      </c>
      <c r="AI90" s="365">
        <v>16.41</v>
      </c>
      <c r="AJ90" s="365">
        <v>7</v>
      </c>
      <c r="AK90" s="365">
        <v>5.4168</v>
      </c>
      <c r="AL90" s="365">
        <f t="shared" si="47"/>
        <v>111.9068</v>
      </c>
      <c r="AM90" s="365">
        <f t="shared" si="55"/>
        <v>71.54</v>
      </c>
      <c r="AN90" s="365">
        <f t="shared" si="56"/>
        <v>43.58</v>
      </c>
      <c r="AO90" s="365">
        <f t="shared" si="57"/>
        <v>0.62</v>
      </c>
      <c r="AP90" s="365">
        <f t="shared" si="58"/>
        <v>20.2</v>
      </c>
      <c r="AQ90" s="365">
        <f t="shared" si="59"/>
        <v>7.14</v>
      </c>
      <c r="AR90" s="365">
        <f t="shared" si="60"/>
        <v>0</v>
      </c>
      <c r="AS90" s="365">
        <f t="shared" si="61"/>
        <v>40.3668</v>
      </c>
      <c r="AT90" s="365">
        <f t="shared" si="62"/>
        <v>11.54</v>
      </c>
      <c r="AU90" s="365">
        <f t="shared" si="63"/>
        <v>0</v>
      </c>
      <c r="AV90" s="365">
        <f t="shared" si="64"/>
        <v>0</v>
      </c>
      <c r="AW90" s="365">
        <f t="shared" si="65"/>
        <v>0</v>
      </c>
      <c r="AX90" s="365">
        <f t="shared" si="66"/>
        <v>0</v>
      </c>
      <c r="AY90" s="365">
        <f t="shared" si="67"/>
        <v>0</v>
      </c>
      <c r="AZ90" s="365">
        <f t="shared" si="68"/>
        <v>0</v>
      </c>
      <c r="BA90" s="365">
        <f t="shared" si="69"/>
        <v>16.41</v>
      </c>
      <c r="BB90" s="365">
        <f t="shared" si="52"/>
        <v>7</v>
      </c>
      <c r="BC90" s="365">
        <f t="shared" si="70"/>
        <v>5.4168</v>
      </c>
      <c r="BD90" s="363"/>
      <c r="BE90">
        <v>5.4168</v>
      </c>
    </row>
    <row r="91" ht="24" spans="1:57">
      <c r="A91" s="284" t="s">
        <v>290</v>
      </c>
      <c r="B91" s="284" t="s">
        <v>196</v>
      </c>
      <c r="C91" s="284" t="s">
        <v>291</v>
      </c>
      <c r="D91" s="284" t="s">
        <v>292</v>
      </c>
      <c r="E91" s="365">
        <f t="shared" si="49"/>
        <v>0</v>
      </c>
      <c r="F91" s="365">
        <f t="shared" si="50"/>
        <v>0</v>
      </c>
      <c r="G91" s="365"/>
      <c r="H91" s="365"/>
      <c r="I91" s="365"/>
      <c r="J91" s="365"/>
      <c r="K91" s="365"/>
      <c r="L91" s="365">
        <f t="shared" si="51"/>
        <v>0</v>
      </c>
      <c r="M91" s="365"/>
      <c r="N91" s="365"/>
      <c r="O91" s="365"/>
      <c r="P91" s="365"/>
      <c r="Q91" s="365"/>
      <c r="R91" s="365"/>
      <c r="S91" s="365"/>
      <c r="T91" s="365">
        <f t="shared" si="48"/>
        <v>0</v>
      </c>
      <c r="U91" s="365">
        <f t="shared" si="53"/>
        <v>0</v>
      </c>
      <c r="V91" s="365"/>
      <c r="W91" s="365"/>
      <c r="X91" s="365"/>
      <c r="Y91" s="365"/>
      <c r="Z91" s="365"/>
      <c r="AA91" s="365">
        <f t="shared" si="54"/>
        <v>0</v>
      </c>
      <c r="AB91" s="365"/>
      <c r="AC91" s="365"/>
      <c r="AD91" s="365"/>
      <c r="AE91" s="365"/>
      <c r="AF91" s="365"/>
      <c r="AG91" s="365"/>
      <c r="AH91" s="365">
        <v>0</v>
      </c>
      <c r="AI91" s="365"/>
      <c r="AJ91" s="365"/>
      <c r="AK91" s="365"/>
      <c r="AL91" s="365">
        <f t="shared" si="47"/>
        <v>0</v>
      </c>
      <c r="AM91" s="365">
        <f t="shared" si="55"/>
        <v>0</v>
      </c>
      <c r="AN91" s="365">
        <f t="shared" si="56"/>
        <v>0</v>
      </c>
      <c r="AO91" s="365">
        <f t="shared" si="57"/>
        <v>0</v>
      </c>
      <c r="AP91" s="365">
        <f t="shared" si="58"/>
        <v>0</v>
      </c>
      <c r="AQ91" s="365">
        <f t="shared" si="59"/>
        <v>0</v>
      </c>
      <c r="AR91" s="365">
        <f t="shared" si="60"/>
        <v>0</v>
      </c>
      <c r="AS91" s="365">
        <f t="shared" si="61"/>
        <v>0</v>
      </c>
      <c r="AT91" s="365">
        <f t="shared" si="62"/>
        <v>0</v>
      </c>
      <c r="AU91" s="365">
        <f t="shared" si="63"/>
        <v>0</v>
      </c>
      <c r="AV91" s="365">
        <f t="shared" si="64"/>
        <v>0</v>
      </c>
      <c r="AW91" s="365">
        <f t="shared" si="65"/>
        <v>0</v>
      </c>
      <c r="AX91" s="365">
        <f t="shared" si="66"/>
        <v>0</v>
      </c>
      <c r="AY91" s="365">
        <f t="shared" si="67"/>
        <v>0</v>
      </c>
      <c r="AZ91" s="365">
        <f t="shared" si="68"/>
        <v>0</v>
      </c>
      <c r="BA91" s="365">
        <f t="shared" si="69"/>
        <v>0</v>
      </c>
      <c r="BB91" s="365">
        <f t="shared" si="52"/>
        <v>0</v>
      </c>
      <c r="BC91" s="365">
        <f t="shared" si="70"/>
        <v>0</v>
      </c>
      <c r="BD91" s="363"/>
      <c r="BE91">
        <v>23.1922</v>
      </c>
    </row>
    <row r="92" ht="24" spans="1:57">
      <c r="A92" s="284" t="s">
        <v>290</v>
      </c>
      <c r="B92" s="284" t="s">
        <v>199</v>
      </c>
      <c r="C92" s="284" t="s">
        <v>293</v>
      </c>
      <c r="D92" s="284" t="s">
        <v>294</v>
      </c>
      <c r="E92" s="365">
        <f t="shared" si="49"/>
        <v>62.52</v>
      </c>
      <c r="F92" s="365">
        <f t="shared" si="50"/>
        <v>30.26</v>
      </c>
      <c r="G92" s="365">
        <v>22.29</v>
      </c>
      <c r="H92" s="365"/>
      <c r="I92" s="365">
        <v>7.97</v>
      </c>
      <c r="J92" s="365"/>
      <c r="K92" s="365"/>
      <c r="L92" s="365">
        <f t="shared" si="51"/>
        <v>32.26</v>
      </c>
      <c r="M92" s="365">
        <v>4.78</v>
      </c>
      <c r="N92" s="365"/>
      <c r="O92" s="365"/>
      <c r="P92" s="365">
        <v>2.48</v>
      </c>
      <c r="Q92" s="365"/>
      <c r="R92" s="365"/>
      <c r="S92" s="365">
        <v>25</v>
      </c>
      <c r="T92" s="365">
        <f t="shared" si="48"/>
        <v>-3.4412</v>
      </c>
      <c r="U92" s="365">
        <f t="shared" si="53"/>
        <v>6.1978</v>
      </c>
      <c r="V92" s="365">
        <v>6.1978</v>
      </c>
      <c r="W92" s="365"/>
      <c r="X92" s="365"/>
      <c r="Y92" s="365"/>
      <c r="Z92" s="365"/>
      <c r="AA92" s="365">
        <f t="shared" si="54"/>
        <v>-9.639</v>
      </c>
      <c r="AB92" s="365">
        <v>0.781</v>
      </c>
      <c r="AC92" s="365"/>
      <c r="AD92" s="365"/>
      <c r="AE92" s="365"/>
      <c r="AF92" s="365"/>
      <c r="AG92" s="365">
        <v>0.15</v>
      </c>
      <c r="AH92" s="365">
        <v>-25</v>
      </c>
      <c r="AI92" s="365">
        <v>7.74</v>
      </c>
      <c r="AJ92" s="365">
        <v>3</v>
      </c>
      <c r="AK92" s="365">
        <v>3.69</v>
      </c>
      <c r="AL92" s="365">
        <f t="shared" si="47"/>
        <v>59.0788</v>
      </c>
      <c r="AM92" s="365">
        <f t="shared" si="55"/>
        <v>36.4578</v>
      </c>
      <c r="AN92" s="365">
        <f t="shared" si="56"/>
        <v>28.4878</v>
      </c>
      <c r="AO92" s="365">
        <f t="shared" si="57"/>
        <v>0</v>
      </c>
      <c r="AP92" s="365">
        <f t="shared" si="58"/>
        <v>7.97</v>
      </c>
      <c r="AQ92" s="365">
        <f t="shared" si="59"/>
        <v>0</v>
      </c>
      <c r="AR92" s="365">
        <f t="shared" si="60"/>
        <v>0</v>
      </c>
      <c r="AS92" s="365">
        <f t="shared" si="61"/>
        <v>22.621</v>
      </c>
      <c r="AT92" s="365">
        <f t="shared" si="62"/>
        <v>5.561</v>
      </c>
      <c r="AU92" s="365">
        <f t="shared" si="63"/>
        <v>0</v>
      </c>
      <c r="AV92" s="365">
        <f t="shared" si="64"/>
        <v>0</v>
      </c>
      <c r="AW92" s="365">
        <f t="shared" si="65"/>
        <v>2.48</v>
      </c>
      <c r="AX92" s="365">
        <f t="shared" si="66"/>
        <v>0</v>
      </c>
      <c r="AY92" s="365">
        <f t="shared" si="67"/>
        <v>0.15</v>
      </c>
      <c r="AZ92" s="365">
        <f t="shared" si="68"/>
        <v>0</v>
      </c>
      <c r="BA92" s="365">
        <f t="shared" si="69"/>
        <v>7.74</v>
      </c>
      <c r="BB92" s="365">
        <f t="shared" si="52"/>
        <v>3</v>
      </c>
      <c r="BC92" s="365">
        <f t="shared" si="70"/>
        <v>3.69</v>
      </c>
      <c r="BD92" s="363" t="s">
        <v>812</v>
      </c>
      <c r="BE92">
        <v>3.69</v>
      </c>
    </row>
    <row r="93" ht="24" spans="1:57">
      <c r="A93" s="284" t="s">
        <v>290</v>
      </c>
      <c r="B93" s="284" t="s">
        <v>199</v>
      </c>
      <c r="C93" s="284" t="s">
        <v>295</v>
      </c>
      <c r="D93" s="284" t="s">
        <v>294</v>
      </c>
      <c r="E93" s="365">
        <f t="shared" si="49"/>
        <v>52.03</v>
      </c>
      <c r="F93" s="365">
        <f t="shared" si="50"/>
        <v>22.76</v>
      </c>
      <c r="G93" s="365">
        <v>15.64</v>
      </c>
      <c r="H93" s="365"/>
      <c r="I93" s="365">
        <v>7.12</v>
      </c>
      <c r="J93" s="365"/>
      <c r="K93" s="365"/>
      <c r="L93" s="365">
        <f t="shared" si="51"/>
        <v>29.27</v>
      </c>
      <c r="M93" s="365">
        <v>4.27</v>
      </c>
      <c r="N93" s="365"/>
      <c r="O93" s="365"/>
      <c r="P93" s="365"/>
      <c r="Q93" s="365"/>
      <c r="R93" s="365"/>
      <c r="S93" s="365">
        <v>25</v>
      </c>
      <c r="T93" s="365">
        <f t="shared" si="48"/>
        <v>-11.477</v>
      </c>
      <c r="U93" s="365">
        <f t="shared" si="53"/>
        <v>0.54</v>
      </c>
      <c r="V93" s="365">
        <v>0.54</v>
      </c>
      <c r="W93" s="365"/>
      <c r="X93" s="365"/>
      <c r="Y93" s="365"/>
      <c r="Z93" s="365"/>
      <c r="AA93" s="365">
        <f t="shared" si="54"/>
        <v>-12.017</v>
      </c>
      <c r="AB93" s="365">
        <v>-0.217</v>
      </c>
      <c r="AC93" s="365"/>
      <c r="AD93" s="365"/>
      <c r="AE93" s="365"/>
      <c r="AF93" s="365"/>
      <c r="AG93" s="365">
        <v>0.3</v>
      </c>
      <c r="AH93" s="365">
        <v>-25</v>
      </c>
      <c r="AI93" s="365">
        <v>5.4</v>
      </c>
      <c r="AJ93" s="365">
        <v>5</v>
      </c>
      <c r="AK93" s="365">
        <v>2.5</v>
      </c>
      <c r="AL93" s="365">
        <f t="shared" si="47"/>
        <v>40.553</v>
      </c>
      <c r="AM93" s="365">
        <f t="shared" si="55"/>
        <v>23.3</v>
      </c>
      <c r="AN93" s="365">
        <f t="shared" si="56"/>
        <v>16.18</v>
      </c>
      <c r="AO93" s="365">
        <f t="shared" si="57"/>
        <v>0</v>
      </c>
      <c r="AP93" s="365">
        <f t="shared" si="58"/>
        <v>7.12</v>
      </c>
      <c r="AQ93" s="365">
        <f t="shared" si="59"/>
        <v>0</v>
      </c>
      <c r="AR93" s="365">
        <f t="shared" si="60"/>
        <v>0</v>
      </c>
      <c r="AS93" s="365">
        <f t="shared" si="61"/>
        <v>17.253</v>
      </c>
      <c r="AT93" s="365">
        <f t="shared" si="62"/>
        <v>4.053</v>
      </c>
      <c r="AU93" s="365">
        <f t="shared" si="63"/>
        <v>0</v>
      </c>
      <c r="AV93" s="365">
        <f t="shared" si="64"/>
        <v>0</v>
      </c>
      <c r="AW93" s="365">
        <f t="shared" si="65"/>
        <v>0</v>
      </c>
      <c r="AX93" s="365">
        <f t="shared" si="66"/>
        <v>0</v>
      </c>
      <c r="AY93" s="365">
        <f t="shared" si="67"/>
        <v>0.3</v>
      </c>
      <c r="AZ93" s="365">
        <f t="shared" si="68"/>
        <v>0</v>
      </c>
      <c r="BA93" s="365">
        <f t="shared" si="69"/>
        <v>5.4</v>
      </c>
      <c r="BB93" s="365">
        <f t="shared" si="52"/>
        <v>5</v>
      </c>
      <c r="BC93" s="365">
        <f t="shared" si="70"/>
        <v>2.5</v>
      </c>
      <c r="BD93" s="363" t="s">
        <v>805</v>
      </c>
      <c r="BE93">
        <v>2.5</v>
      </c>
    </row>
    <row r="94" ht="24" spans="1:57">
      <c r="A94" s="284" t="s">
        <v>290</v>
      </c>
      <c r="B94" s="284" t="s">
        <v>199</v>
      </c>
      <c r="C94" s="284" t="s">
        <v>296</v>
      </c>
      <c r="D94" s="284" t="s">
        <v>294</v>
      </c>
      <c r="E94" s="365">
        <f t="shared" si="49"/>
        <v>32.1</v>
      </c>
      <c r="F94" s="365">
        <f t="shared" si="50"/>
        <v>14.81</v>
      </c>
      <c r="G94" s="365">
        <v>10.99</v>
      </c>
      <c r="H94" s="365"/>
      <c r="I94" s="365">
        <v>3.82</v>
      </c>
      <c r="J94" s="365"/>
      <c r="K94" s="365"/>
      <c r="L94" s="365">
        <f t="shared" si="51"/>
        <v>17.29</v>
      </c>
      <c r="M94" s="365">
        <v>2.29</v>
      </c>
      <c r="N94" s="365"/>
      <c r="O94" s="365"/>
      <c r="P94" s="365"/>
      <c r="Q94" s="365"/>
      <c r="R94" s="365"/>
      <c r="S94" s="365">
        <v>15</v>
      </c>
      <c r="T94" s="365">
        <f t="shared" si="48"/>
        <v>-6.04</v>
      </c>
      <c r="U94" s="365">
        <f t="shared" si="53"/>
        <v>1.01</v>
      </c>
      <c r="V94" s="365">
        <v>1.01</v>
      </c>
      <c r="W94" s="365"/>
      <c r="X94" s="365"/>
      <c r="Y94" s="365"/>
      <c r="Z94" s="365"/>
      <c r="AA94" s="365">
        <f t="shared" si="54"/>
        <v>-7.05</v>
      </c>
      <c r="AB94" s="365"/>
      <c r="AC94" s="365"/>
      <c r="AD94" s="365"/>
      <c r="AE94" s="365"/>
      <c r="AF94" s="365"/>
      <c r="AG94" s="365"/>
      <c r="AH94" s="365">
        <v>-15</v>
      </c>
      <c r="AI94" s="365">
        <v>3.45</v>
      </c>
      <c r="AJ94" s="365">
        <v>3</v>
      </c>
      <c r="AK94" s="365">
        <v>1.5</v>
      </c>
      <c r="AL94" s="365">
        <f t="shared" si="47"/>
        <v>26.06</v>
      </c>
      <c r="AM94" s="365">
        <f t="shared" si="55"/>
        <v>15.82</v>
      </c>
      <c r="AN94" s="365">
        <f t="shared" si="56"/>
        <v>12</v>
      </c>
      <c r="AO94" s="365">
        <f t="shared" si="57"/>
        <v>0</v>
      </c>
      <c r="AP94" s="365">
        <f t="shared" si="58"/>
        <v>3.82</v>
      </c>
      <c r="AQ94" s="365">
        <f t="shared" si="59"/>
        <v>0</v>
      </c>
      <c r="AR94" s="365">
        <f t="shared" si="60"/>
        <v>0</v>
      </c>
      <c r="AS94" s="365">
        <f t="shared" si="61"/>
        <v>10.24</v>
      </c>
      <c r="AT94" s="365">
        <f t="shared" si="62"/>
        <v>2.29</v>
      </c>
      <c r="AU94" s="365">
        <f t="shared" si="63"/>
        <v>0</v>
      </c>
      <c r="AV94" s="365">
        <f t="shared" si="64"/>
        <v>0</v>
      </c>
      <c r="AW94" s="365">
        <f t="shared" si="65"/>
        <v>0</v>
      </c>
      <c r="AX94" s="365">
        <f t="shared" si="66"/>
        <v>0</v>
      </c>
      <c r="AY94" s="365">
        <f t="shared" si="67"/>
        <v>0</v>
      </c>
      <c r="AZ94" s="365">
        <f t="shared" si="68"/>
        <v>0</v>
      </c>
      <c r="BA94" s="365">
        <f t="shared" si="69"/>
        <v>3.45</v>
      </c>
      <c r="BB94" s="365">
        <f t="shared" si="52"/>
        <v>3</v>
      </c>
      <c r="BC94" s="365">
        <f t="shared" si="70"/>
        <v>1.5</v>
      </c>
      <c r="BD94" s="363"/>
      <c r="BE94">
        <v>1.5</v>
      </c>
    </row>
    <row r="95" ht="24" spans="1:57">
      <c r="A95" s="284" t="s">
        <v>290</v>
      </c>
      <c r="B95" s="284" t="s">
        <v>199</v>
      </c>
      <c r="C95" s="284" t="s">
        <v>297</v>
      </c>
      <c r="D95" s="284" t="s">
        <v>294</v>
      </c>
      <c r="E95" s="365">
        <f t="shared" si="49"/>
        <v>65.83</v>
      </c>
      <c r="F95" s="365">
        <f t="shared" si="50"/>
        <v>30.66</v>
      </c>
      <c r="G95" s="365">
        <v>22.04</v>
      </c>
      <c r="H95" s="365"/>
      <c r="I95" s="365">
        <v>8.62</v>
      </c>
      <c r="J95" s="365"/>
      <c r="K95" s="365"/>
      <c r="L95" s="365">
        <f t="shared" si="51"/>
        <v>35.17</v>
      </c>
      <c r="M95" s="365">
        <v>5.17</v>
      </c>
      <c r="N95" s="365"/>
      <c r="O95" s="365"/>
      <c r="P95" s="365"/>
      <c r="Q95" s="365"/>
      <c r="R95" s="365"/>
      <c r="S95" s="365">
        <v>30</v>
      </c>
      <c r="T95" s="365">
        <f t="shared" si="48"/>
        <v>-4.81</v>
      </c>
      <c r="U95" s="365">
        <f t="shared" si="53"/>
        <v>9.75</v>
      </c>
      <c r="V95" s="365">
        <v>9.75</v>
      </c>
      <c r="W95" s="365"/>
      <c r="X95" s="365"/>
      <c r="Y95" s="365"/>
      <c r="Z95" s="365"/>
      <c r="AA95" s="365">
        <f t="shared" si="54"/>
        <v>-14.56</v>
      </c>
      <c r="AB95" s="365"/>
      <c r="AC95" s="365"/>
      <c r="AD95" s="365"/>
      <c r="AE95" s="365"/>
      <c r="AF95" s="365"/>
      <c r="AG95" s="365">
        <v>0.15</v>
      </c>
      <c r="AH95" s="365">
        <v>-30</v>
      </c>
      <c r="AI95" s="365">
        <v>7.29</v>
      </c>
      <c r="AJ95" s="365">
        <v>5</v>
      </c>
      <c r="AK95" s="365">
        <v>3</v>
      </c>
      <c r="AL95" s="365">
        <f t="shared" si="47"/>
        <v>61.02</v>
      </c>
      <c r="AM95" s="365">
        <f t="shared" si="55"/>
        <v>40.41</v>
      </c>
      <c r="AN95" s="365">
        <f t="shared" si="56"/>
        <v>31.79</v>
      </c>
      <c r="AO95" s="365">
        <f t="shared" si="57"/>
        <v>0</v>
      </c>
      <c r="AP95" s="365">
        <f t="shared" si="58"/>
        <v>8.62</v>
      </c>
      <c r="AQ95" s="365">
        <f t="shared" si="59"/>
        <v>0</v>
      </c>
      <c r="AR95" s="365">
        <f t="shared" si="60"/>
        <v>0</v>
      </c>
      <c r="AS95" s="365">
        <f t="shared" si="61"/>
        <v>20.61</v>
      </c>
      <c r="AT95" s="365">
        <f t="shared" si="62"/>
        <v>5.17</v>
      </c>
      <c r="AU95" s="365">
        <f t="shared" si="63"/>
        <v>0</v>
      </c>
      <c r="AV95" s="365">
        <f t="shared" si="64"/>
        <v>0</v>
      </c>
      <c r="AW95" s="365">
        <f t="shared" si="65"/>
        <v>0</v>
      </c>
      <c r="AX95" s="365">
        <f t="shared" si="66"/>
        <v>0</v>
      </c>
      <c r="AY95" s="365">
        <f t="shared" si="67"/>
        <v>0.15</v>
      </c>
      <c r="AZ95" s="365">
        <f t="shared" si="68"/>
        <v>0</v>
      </c>
      <c r="BA95" s="365">
        <f t="shared" si="69"/>
        <v>7.29</v>
      </c>
      <c r="BB95" s="365">
        <f t="shared" si="52"/>
        <v>5</v>
      </c>
      <c r="BC95" s="365">
        <f t="shared" si="70"/>
        <v>3</v>
      </c>
      <c r="BD95" s="363" t="s">
        <v>812</v>
      </c>
      <c r="BE95">
        <v>3</v>
      </c>
    </row>
    <row r="96" ht="24" spans="1:57">
      <c r="A96" s="284" t="s">
        <v>290</v>
      </c>
      <c r="B96" s="284" t="s">
        <v>199</v>
      </c>
      <c r="C96" s="284" t="s">
        <v>298</v>
      </c>
      <c r="D96" s="284" t="s">
        <v>294</v>
      </c>
      <c r="E96" s="365">
        <f t="shared" si="49"/>
        <v>73.17</v>
      </c>
      <c r="F96" s="365">
        <f t="shared" si="50"/>
        <v>32.22</v>
      </c>
      <c r="G96" s="365">
        <v>22.3</v>
      </c>
      <c r="H96" s="365"/>
      <c r="I96" s="365">
        <v>9.92</v>
      </c>
      <c r="J96" s="365"/>
      <c r="K96" s="365"/>
      <c r="L96" s="365">
        <f t="shared" si="51"/>
        <v>40.95</v>
      </c>
      <c r="M96" s="365">
        <v>5.95</v>
      </c>
      <c r="N96" s="365"/>
      <c r="O96" s="365"/>
      <c r="P96" s="365"/>
      <c r="Q96" s="365"/>
      <c r="R96" s="365"/>
      <c r="S96" s="365">
        <v>35</v>
      </c>
      <c r="T96" s="365">
        <f t="shared" si="48"/>
        <v>-15.504</v>
      </c>
      <c r="U96" s="365">
        <f t="shared" si="53"/>
        <v>2.18</v>
      </c>
      <c r="V96" s="365">
        <v>2.18</v>
      </c>
      <c r="W96" s="365"/>
      <c r="X96" s="365"/>
      <c r="Y96" s="365"/>
      <c r="Z96" s="365"/>
      <c r="AA96" s="365">
        <f t="shared" si="54"/>
        <v>-17.684</v>
      </c>
      <c r="AB96" s="365">
        <v>0.046</v>
      </c>
      <c r="AC96" s="365"/>
      <c r="AD96" s="365"/>
      <c r="AE96" s="365"/>
      <c r="AF96" s="365"/>
      <c r="AG96" s="365"/>
      <c r="AH96" s="365">
        <v>-35</v>
      </c>
      <c r="AI96" s="365">
        <v>7.77</v>
      </c>
      <c r="AJ96" s="365">
        <v>6</v>
      </c>
      <c r="AK96" s="365">
        <v>3.5</v>
      </c>
      <c r="AL96" s="365">
        <f t="shared" si="47"/>
        <v>57.666</v>
      </c>
      <c r="AM96" s="365">
        <f t="shared" si="55"/>
        <v>34.4</v>
      </c>
      <c r="AN96" s="365">
        <f t="shared" si="56"/>
        <v>24.48</v>
      </c>
      <c r="AO96" s="365">
        <f t="shared" si="57"/>
        <v>0</v>
      </c>
      <c r="AP96" s="365">
        <f t="shared" si="58"/>
        <v>9.92</v>
      </c>
      <c r="AQ96" s="365">
        <f t="shared" si="59"/>
        <v>0</v>
      </c>
      <c r="AR96" s="365">
        <f t="shared" si="60"/>
        <v>0</v>
      </c>
      <c r="AS96" s="365">
        <f t="shared" si="61"/>
        <v>23.266</v>
      </c>
      <c r="AT96" s="365">
        <f t="shared" si="62"/>
        <v>5.996</v>
      </c>
      <c r="AU96" s="365">
        <f t="shared" si="63"/>
        <v>0</v>
      </c>
      <c r="AV96" s="365">
        <f t="shared" si="64"/>
        <v>0</v>
      </c>
      <c r="AW96" s="365">
        <f t="shared" si="65"/>
        <v>0</v>
      </c>
      <c r="AX96" s="365">
        <f t="shared" si="66"/>
        <v>0</v>
      </c>
      <c r="AY96" s="365">
        <f t="shared" si="67"/>
        <v>0</v>
      </c>
      <c r="AZ96" s="365">
        <f t="shared" si="68"/>
        <v>0</v>
      </c>
      <c r="BA96" s="365">
        <f t="shared" si="69"/>
        <v>7.77</v>
      </c>
      <c r="BB96" s="365">
        <f t="shared" si="52"/>
        <v>6</v>
      </c>
      <c r="BC96" s="365">
        <f t="shared" si="70"/>
        <v>3.5</v>
      </c>
      <c r="BD96" s="363"/>
      <c r="BE96">
        <v>3.5</v>
      </c>
    </row>
    <row r="97" ht="24" spans="1:57">
      <c r="A97" s="284" t="s">
        <v>195</v>
      </c>
      <c r="B97" s="284" t="s">
        <v>196</v>
      </c>
      <c r="C97" s="284" t="s">
        <v>299</v>
      </c>
      <c r="D97" s="284" t="s">
        <v>300</v>
      </c>
      <c r="E97" s="365">
        <f t="shared" si="49"/>
        <v>0</v>
      </c>
      <c r="F97" s="365">
        <f t="shared" si="50"/>
        <v>0</v>
      </c>
      <c r="G97" s="365"/>
      <c r="H97" s="365"/>
      <c r="I97" s="365"/>
      <c r="J97" s="365"/>
      <c r="K97" s="365"/>
      <c r="L97" s="365">
        <f t="shared" si="51"/>
        <v>0</v>
      </c>
      <c r="M97" s="365"/>
      <c r="N97" s="365"/>
      <c r="O97" s="365"/>
      <c r="P97" s="365"/>
      <c r="Q97" s="365"/>
      <c r="R97" s="365"/>
      <c r="S97" s="365"/>
      <c r="T97" s="365">
        <f t="shared" si="48"/>
        <v>0</v>
      </c>
      <c r="U97" s="365">
        <f t="shared" si="53"/>
        <v>0</v>
      </c>
      <c r="V97" s="365"/>
      <c r="W97" s="365"/>
      <c r="X97" s="365"/>
      <c r="Y97" s="365"/>
      <c r="Z97" s="365"/>
      <c r="AA97" s="365">
        <f t="shared" si="54"/>
        <v>0</v>
      </c>
      <c r="AB97" s="365"/>
      <c r="AC97" s="365"/>
      <c r="AD97" s="365"/>
      <c r="AE97" s="365"/>
      <c r="AF97" s="365"/>
      <c r="AG97" s="365"/>
      <c r="AH97" s="365">
        <v>0</v>
      </c>
      <c r="AI97" s="365"/>
      <c r="AJ97" s="365"/>
      <c r="AK97" s="365"/>
      <c r="AL97" s="365">
        <f t="shared" si="47"/>
        <v>0</v>
      </c>
      <c r="AM97" s="365">
        <f t="shared" si="55"/>
        <v>0</v>
      </c>
      <c r="AN97" s="365">
        <f t="shared" si="56"/>
        <v>0</v>
      </c>
      <c r="AO97" s="365">
        <f t="shared" si="57"/>
        <v>0</v>
      </c>
      <c r="AP97" s="365">
        <f t="shared" si="58"/>
        <v>0</v>
      </c>
      <c r="AQ97" s="365">
        <f t="shared" si="59"/>
        <v>0</v>
      </c>
      <c r="AR97" s="365">
        <f t="shared" si="60"/>
        <v>0</v>
      </c>
      <c r="AS97" s="365">
        <f t="shared" si="61"/>
        <v>0</v>
      </c>
      <c r="AT97" s="365">
        <f t="shared" si="62"/>
        <v>0</v>
      </c>
      <c r="AU97" s="365">
        <f t="shared" si="63"/>
        <v>0</v>
      </c>
      <c r="AV97" s="365">
        <f t="shared" si="64"/>
        <v>0</v>
      </c>
      <c r="AW97" s="365">
        <f t="shared" si="65"/>
        <v>0</v>
      </c>
      <c r="AX97" s="365">
        <f t="shared" si="66"/>
        <v>0</v>
      </c>
      <c r="AY97" s="365">
        <f t="shared" si="67"/>
        <v>0</v>
      </c>
      <c r="AZ97" s="365">
        <f t="shared" si="68"/>
        <v>0</v>
      </c>
      <c r="BA97" s="365">
        <f t="shared" si="69"/>
        <v>0</v>
      </c>
      <c r="BB97" s="365">
        <f t="shared" si="52"/>
        <v>0</v>
      </c>
      <c r="BC97" s="365">
        <f t="shared" si="70"/>
        <v>0</v>
      </c>
      <c r="BD97" s="363"/>
      <c r="BE97">
        <v>22.3843</v>
      </c>
    </row>
    <row r="98" ht="24" spans="1:56">
      <c r="A98" s="284" t="s">
        <v>195</v>
      </c>
      <c r="B98" s="284" t="s">
        <v>196</v>
      </c>
      <c r="C98" s="284" t="s">
        <v>301</v>
      </c>
      <c r="D98" s="284" t="s">
        <v>300</v>
      </c>
      <c r="E98" s="365">
        <f t="shared" si="49"/>
        <v>0</v>
      </c>
      <c r="F98" s="365">
        <f t="shared" si="50"/>
        <v>0</v>
      </c>
      <c r="G98" s="365"/>
      <c r="H98" s="365"/>
      <c r="I98" s="365"/>
      <c r="J98" s="365"/>
      <c r="K98" s="365"/>
      <c r="L98" s="365">
        <f t="shared" si="51"/>
        <v>0</v>
      </c>
      <c r="M98" s="365"/>
      <c r="N98" s="365"/>
      <c r="O98" s="365"/>
      <c r="P98" s="365"/>
      <c r="Q98" s="365"/>
      <c r="R98" s="365"/>
      <c r="S98" s="365"/>
      <c r="T98" s="365">
        <f t="shared" si="48"/>
        <v>0</v>
      </c>
      <c r="U98" s="365">
        <f t="shared" si="53"/>
        <v>0</v>
      </c>
      <c r="V98" s="365"/>
      <c r="W98" s="365"/>
      <c r="X98" s="365"/>
      <c r="Y98" s="365"/>
      <c r="Z98" s="365"/>
      <c r="AA98" s="365">
        <f t="shared" si="54"/>
        <v>0</v>
      </c>
      <c r="AB98" s="365"/>
      <c r="AC98" s="365"/>
      <c r="AD98" s="365"/>
      <c r="AE98" s="365"/>
      <c r="AF98" s="365"/>
      <c r="AG98" s="365"/>
      <c r="AH98" s="365">
        <v>0</v>
      </c>
      <c r="AI98" s="365"/>
      <c r="AJ98" s="365"/>
      <c r="AK98" s="365"/>
      <c r="AL98" s="365">
        <f t="shared" si="47"/>
        <v>0</v>
      </c>
      <c r="AM98" s="365">
        <f t="shared" si="55"/>
        <v>0</v>
      </c>
      <c r="AN98" s="365">
        <f t="shared" si="56"/>
        <v>0</v>
      </c>
      <c r="AO98" s="365">
        <f t="shared" si="57"/>
        <v>0</v>
      </c>
      <c r="AP98" s="365">
        <f t="shared" si="58"/>
        <v>0</v>
      </c>
      <c r="AQ98" s="365">
        <f t="shared" si="59"/>
        <v>0</v>
      </c>
      <c r="AR98" s="365">
        <f t="shared" si="60"/>
        <v>0</v>
      </c>
      <c r="AS98" s="365">
        <f t="shared" si="61"/>
        <v>0</v>
      </c>
      <c r="AT98" s="365">
        <f t="shared" si="62"/>
        <v>0</v>
      </c>
      <c r="AU98" s="365">
        <f t="shared" si="63"/>
        <v>0</v>
      </c>
      <c r="AV98" s="365">
        <f t="shared" si="64"/>
        <v>0</v>
      </c>
      <c r="AW98" s="365">
        <f t="shared" si="65"/>
        <v>0</v>
      </c>
      <c r="AX98" s="365">
        <f t="shared" si="66"/>
        <v>0</v>
      </c>
      <c r="AY98" s="365">
        <f t="shared" si="67"/>
        <v>0</v>
      </c>
      <c r="AZ98" s="365">
        <f t="shared" si="68"/>
        <v>0</v>
      </c>
      <c r="BA98" s="365">
        <f t="shared" si="69"/>
        <v>0</v>
      </c>
      <c r="BB98" s="365">
        <f t="shared" si="52"/>
        <v>0</v>
      </c>
      <c r="BC98" s="365">
        <f t="shared" si="70"/>
        <v>0</v>
      </c>
      <c r="BD98" s="363"/>
    </row>
    <row r="99" ht="24" spans="1:56">
      <c r="A99" s="284" t="s">
        <v>195</v>
      </c>
      <c r="B99" s="284" t="s">
        <v>196</v>
      </c>
      <c r="C99" s="284" t="s">
        <v>302</v>
      </c>
      <c r="D99" s="284" t="s">
        <v>300</v>
      </c>
      <c r="E99" s="365">
        <f t="shared" si="49"/>
        <v>0</v>
      </c>
      <c r="F99" s="365">
        <f t="shared" si="50"/>
        <v>0</v>
      </c>
      <c r="G99" s="365"/>
      <c r="H99" s="365"/>
      <c r="I99" s="365"/>
      <c r="J99" s="365"/>
      <c r="K99" s="365"/>
      <c r="L99" s="365">
        <f t="shared" si="51"/>
        <v>0</v>
      </c>
      <c r="M99" s="365"/>
      <c r="N99" s="365"/>
      <c r="O99" s="365"/>
      <c r="P99" s="365"/>
      <c r="Q99" s="365"/>
      <c r="R99" s="365"/>
      <c r="S99" s="365"/>
      <c r="T99" s="365">
        <f t="shared" si="48"/>
        <v>0</v>
      </c>
      <c r="U99" s="365">
        <f t="shared" si="53"/>
        <v>0</v>
      </c>
      <c r="V99" s="365"/>
      <c r="W99" s="365"/>
      <c r="X99" s="365"/>
      <c r="Y99" s="365"/>
      <c r="Z99" s="365"/>
      <c r="AA99" s="365">
        <f t="shared" si="54"/>
        <v>0</v>
      </c>
      <c r="AB99" s="365"/>
      <c r="AC99" s="365"/>
      <c r="AD99" s="365"/>
      <c r="AE99" s="365"/>
      <c r="AF99" s="365"/>
      <c r="AG99" s="365"/>
      <c r="AH99" s="365">
        <v>0</v>
      </c>
      <c r="AI99" s="365"/>
      <c r="AJ99" s="365"/>
      <c r="AK99" s="365"/>
      <c r="AL99" s="365">
        <f t="shared" si="47"/>
        <v>0</v>
      </c>
      <c r="AM99" s="365">
        <f t="shared" si="55"/>
        <v>0</v>
      </c>
      <c r="AN99" s="365">
        <f t="shared" si="56"/>
        <v>0</v>
      </c>
      <c r="AO99" s="365">
        <f t="shared" si="57"/>
        <v>0</v>
      </c>
      <c r="AP99" s="365">
        <f t="shared" si="58"/>
        <v>0</v>
      </c>
      <c r="AQ99" s="365">
        <f t="shared" si="59"/>
        <v>0</v>
      </c>
      <c r="AR99" s="365">
        <f t="shared" si="60"/>
        <v>0</v>
      </c>
      <c r="AS99" s="365">
        <f t="shared" si="61"/>
        <v>0</v>
      </c>
      <c r="AT99" s="365">
        <f t="shared" si="62"/>
        <v>0</v>
      </c>
      <c r="AU99" s="365">
        <f t="shared" si="63"/>
        <v>0</v>
      </c>
      <c r="AV99" s="365">
        <f t="shared" si="64"/>
        <v>0</v>
      </c>
      <c r="AW99" s="365">
        <f t="shared" si="65"/>
        <v>0</v>
      </c>
      <c r="AX99" s="365">
        <f t="shared" si="66"/>
        <v>0</v>
      </c>
      <c r="AY99" s="365">
        <f t="shared" si="67"/>
        <v>0</v>
      </c>
      <c r="AZ99" s="365">
        <f t="shared" si="68"/>
        <v>0</v>
      </c>
      <c r="BA99" s="365">
        <f t="shared" si="69"/>
        <v>0</v>
      </c>
      <c r="BB99" s="365">
        <f t="shared" si="52"/>
        <v>0</v>
      </c>
      <c r="BC99" s="365">
        <f t="shared" si="70"/>
        <v>0</v>
      </c>
      <c r="BD99" s="363"/>
    </row>
    <row r="100" ht="24" spans="1:56">
      <c r="A100" s="284" t="s">
        <v>195</v>
      </c>
      <c r="B100" s="284" t="s">
        <v>196</v>
      </c>
      <c r="C100" s="284" t="s">
        <v>303</v>
      </c>
      <c r="D100" s="284" t="s">
        <v>300</v>
      </c>
      <c r="E100" s="365">
        <f t="shared" si="49"/>
        <v>0</v>
      </c>
      <c r="F100" s="365">
        <f t="shared" si="50"/>
        <v>0</v>
      </c>
      <c r="G100" s="365"/>
      <c r="H100" s="365"/>
      <c r="I100" s="365"/>
      <c r="J100" s="365"/>
      <c r="K100" s="365"/>
      <c r="L100" s="365">
        <f t="shared" si="51"/>
        <v>0</v>
      </c>
      <c r="M100" s="365"/>
      <c r="N100" s="365"/>
      <c r="O100" s="365"/>
      <c r="P100" s="365"/>
      <c r="Q100" s="365"/>
      <c r="R100" s="365"/>
      <c r="S100" s="365"/>
      <c r="T100" s="365">
        <f t="shared" si="48"/>
        <v>0</v>
      </c>
      <c r="U100" s="365">
        <f t="shared" si="53"/>
        <v>0</v>
      </c>
      <c r="V100" s="365"/>
      <c r="W100" s="365"/>
      <c r="X100" s="365"/>
      <c r="Y100" s="365"/>
      <c r="Z100" s="365"/>
      <c r="AA100" s="365">
        <f t="shared" si="54"/>
        <v>0</v>
      </c>
      <c r="AB100" s="365"/>
      <c r="AC100" s="365"/>
      <c r="AD100" s="365"/>
      <c r="AE100" s="365"/>
      <c r="AF100" s="365"/>
      <c r="AG100" s="365"/>
      <c r="AH100" s="365">
        <v>0</v>
      </c>
      <c r="AI100" s="365"/>
      <c r="AJ100" s="365"/>
      <c r="AK100" s="365"/>
      <c r="AL100" s="365">
        <f t="shared" si="47"/>
        <v>0</v>
      </c>
      <c r="AM100" s="365">
        <f t="shared" si="55"/>
        <v>0</v>
      </c>
      <c r="AN100" s="365">
        <f t="shared" si="56"/>
        <v>0</v>
      </c>
      <c r="AO100" s="365">
        <f t="shared" si="57"/>
        <v>0</v>
      </c>
      <c r="AP100" s="365">
        <f t="shared" si="58"/>
        <v>0</v>
      </c>
      <c r="AQ100" s="365">
        <f t="shared" si="59"/>
        <v>0</v>
      </c>
      <c r="AR100" s="365">
        <f t="shared" si="60"/>
        <v>0</v>
      </c>
      <c r="AS100" s="365">
        <f t="shared" si="61"/>
        <v>0</v>
      </c>
      <c r="AT100" s="365">
        <f t="shared" si="62"/>
        <v>0</v>
      </c>
      <c r="AU100" s="365">
        <f t="shared" si="63"/>
        <v>0</v>
      </c>
      <c r="AV100" s="365">
        <f t="shared" si="64"/>
        <v>0</v>
      </c>
      <c r="AW100" s="365">
        <f t="shared" si="65"/>
        <v>0</v>
      </c>
      <c r="AX100" s="365">
        <f t="shared" si="66"/>
        <v>0</v>
      </c>
      <c r="AY100" s="365">
        <f t="shared" si="67"/>
        <v>0</v>
      </c>
      <c r="AZ100" s="365">
        <f t="shared" si="68"/>
        <v>0</v>
      </c>
      <c r="BA100" s="365">
        <f t="shared" si="69"/>
        <v>0</v>
      </c>
      <c r="BB100" s="365">
        <f t="shared" si="52"/>
        <v>0</v>
      </c>
      <c r="BC100" s="365">
        <f t="shared" si="70"/>
        <v>0</v>
      </c>
      <c r="BD100" s="363"/>
    </row>
    <row r="101" ht="24" spans="1:56">
      <c r="A101" s="284" t="s">
        <v>195</v>
      </c>
      <c r="B101" s="284" t="s">
        <v>199</v>
      </c>
      <c r="C101" s="284" t="s">
        <v>304</v>
      </c>
      <c r="D101" s="284" t="s">
        <v>305</v>
      </c>
      <c r="E101" s="365">
        <f t="shared" si="49"/>
        <v>78.82</v>
      </c>
      <c r="F101" s="365">
        <f t="shared" si="50"/>
        <v>67.44</v>
      </c>
      <c r="G101" s="365">
        <v>48.48</v>
      </c>
      <c r="H101" s="365"/>
      <c r="I101" s="365">
        <v>18.96</v>
      </c>
      <c r="J101" s="365"/>
      <c r="K101" s="365"/>
      <c r="L101" s="365">
        <f t="shared" si="51"/>
        <v>11.38</v>
      </c>
      <c r="M101" s="365">
        <v>11.38</v>
      </c>
      <c r="N101" s="365"/>
      <c r="O101" s="365"/>
      <c r="P101" s="365"/>
      <c r="Q101" s="365"/>
      <c r="R101" s="365"/>
      <c r="S101" s="365"/>
      <c r="T101" s="365">
        <f t="shared" si="48"/>
        <v>39.5</v>
      </c>
      <c r="U101" s="365">
        <f t="shared" si="53"/>
        <v>10.44</v>
      </c>
      <c r="V101" s="365">
        <v>9.17</v>
      </c>
      <c r="W101" s="365"/>
      <c r="X101" s="365">
        <v>1.27</v>
      </c>
      <c r="Y101" s="365"/>
      <c r="Z101" s="365"/>
      <c r="AA101" s="365">
        <f t="shared" si="54"/>
        <v>29.06</v>
      </c>
      <c r="AB101" s="365">
        <v>0.76</v>
      </c>
      <c r="AC101" s="365"/>
      <c r="AD101" s="365"/>
      <c r="AE101" s="365"/>
      <c r="AF101" s="365"/>
      <c r="AG101" s="365">
        <v>0.3</v>
      </c>
      <c r="AH101" s="365">
        <v>0</v>
      </c>
      <c r="AI101" s="365">
        <v>21</v>
      </c>
      <c r="AJ101" s="365">
        <v>7</v>
      </c>
      <c r="AK101" s="365">
        <v>0</v>
      </c>
      <c r="AL101" s="365">
        <f t="shared" si="47"/>
        <v>118.32</v>
      </c>
      <c r="AM101" s="365">
        <f t="shared" si="55"/>
        <v>77.88</v>
      </c>
      <c r="AN101" s="365">
        <f t="shared" si="56"/>
        <v>57.65</v>
      </c>
      <c r="AO101" s="365">
        <f t="shared" si="57"/>
        <v>0</v>
      </c>
      <c r="AP101" s="365">
        <f t="shared" si="58"/>
        <v>20.23</v>
      </c>
      <c r="AQ101" s="365">
        <f t="shared" si="59"/>
        <v>0</v>
      </c>
      <c r="AR101" s="365">
        <f t="shared" si="60"/>
        <v>0</v>
      </c>
      <c r="AS101" s="365">
        <f t="shared" si="61"/>
        <v>40.44</v>
      </c>
      <c r="AT101" s="365">
        <f t="shared" si="62"/>
        <v>12.14</v>
      </c>
      <c r="AU101" s="365">
        <f t="shared" si="63"/>
        <v>0</v>
      </c>
      <c r="AV101" s="365">
        <f t="shared" si="64"/>
        <v>0</v>
      </c>
      <c r="AW101" s="365">
        <f t="shared" si="65"/>
        <v>0</v>
      </c>
      <c r="AX101" s="365">
        <f t="shared" si="66"/>
        <v>0</v>
      </c>
      <c r="AY101" s="365">
        <f t="shared" si="67"/>
        <v>0.3</v>
      </c>
      <c r="AZ101" s="365">
        <f t="shared" si="68"/>
        <v>0</v>
      </c>
      <c r="BA101" s="365">
        <f t="shared" si="69"/>
        <v>21</v>
      </c>
      <c r="BB101" s="365">
        <f t="shared" si="52"/>
        <v>7</v>
      </c>
      <c r="BC101" s="365">
        <f t="shared" si="70"/>
        <v>0</v>
      </c>
      <c r="BD101" s="363" t="s">
        <v>813</v>
      </c>
    </row>
    <row r="102" ht="24" spans="1:57">
      <c r="A102" s="284" t="s">
        <v>221</v>
      </c>
      <c r="B102" s="284" t="s">
        <v>196</v>
      </c>
      <c r="C102" s="284" t="s">
        <v>306</v>
      </c>
      <c r="D102" s="284" t="s">
        <v>307</v>
      </c>
      <c r="E102" s="365">
        <f t="shared" si="49"/>
        <v>0</v>
      </c>
      <c r="F102" s="365">
        <f t="shared" si="50"/>
        <v>0</v>
      </c>
      <c r="G102" s="365"/>
      <c r="H102" s="365"/>
      <c r="I102" s="365"/>
      <c r="J102" s="365"/>
      <c r="K102" s="365"/>
      <c r="L102" s="365">
        <f t="shared" si="51"/>
        <v>0</v>
      </c>
      <c r="M102" s="365"/>
      <c r="N102" s="365"/>
      <c r="O102" s="365"/>
      <c r="P102" s="365"/>
      <c r="Q102" s="365"/>
      <c r="R102" s="365"/>
      <c r="S102" s="365"/>
      <c r="T102" s="365">
        <f t="shared" si="48"/>
        <v>0</v>
      </c>
      <c r="U102" s="365">
        <f t="shared" si="53"/>
        <v>0</v>
      </c>
      <c r="V102" s="365"/>
      <c r="W102" s="365"/>
      <c r="X102" s="365"/>
      <c r="Y102" s="365"/>
      <c r="Z102" s="365"/>
      <c r="AA102" s="365">
        <f t="shared" si="54"/>
        <v>0</v>
      </c>
      <c r="AB102" s="365"/>
      <c r="AC102" s="365"/>
      <c r="AD102" s="365"/>
      <c r="AE102" s="365"/>
      <c r="AF102" s="365"/>
      <c r="AG102" s="365"/>
      <c r="AH102" s="365">
        <v>0</v>
      </c>
      <c r="AI102" s="365"/>
      <c r="AJ102" s="365"/>
      <c r="AK102" s="365"/>
      <c r="AL102" s="365">
        <f t="shared" si="47"/>
        <v>0</v>
      </c>
      <c r="AM102" s="365">
        <f t="shared" si="55"/>
        <v>0</v>
      </c>
      <c r="AN102" s="365">
        <f t="shared" si="56"/>
        <v>0</v>
      </c>
      <c r="AO102" s="365">
        <f t="shared" si="57"/>
        <v>0</v>
      </c>
      <c r="AP102" s="365">
        <f t="shared" si="58"/>
        <v>0</v>
      </c>
      <c r="AQ102" s="365">
        <f t="shared" si="59"/>
        <v>0</v>
      </c>
      <c r="AR102" s="365">
        <f t="shared" si="60"/>
        <v>0</v>
      </c>
      <c r="AS102" s="365">
        <f t="shared" si="61"/>
        <v>0</v>
      </c>
      <c r="AT102" s="365">
        <f t="shared" si="62"/>
        <v>0</v>
      </c>
      <c r="AU102" s="365">
        <f t="shared" si="63"/>
        <v>0</v>
      </c>
      <c r="AV102" s="365">
        <f t="shared" si="64"/>
        <v>0</v>
      </c>
      <c r="AW102" s="365">
        <f t="shared" si="65"/>
        <v>0</v>
      </c>
      <c r="AX102" s="365">
        <f t="shared" si="66"/>
        <v>0</v>
      </c>
      <c r="AY102" s="365">
        <f t="shared" si="67"/>
        <v>0</v>
      </c>
      <c r="AZ102" s="365">
        <f t="shared" si="68"/>
        <v>0</v>
      </c>
      <c r="BA102" s="365">
        <f t="shared" si="69"/>
        <v>0</v>
      </c>
      <c r="BB102" s="365">
        <f t="shared" si="52"/>
        <v>0</v>
      </c>
      <c r="BC102" s="365">
        <f t="shared" si="70"/>
        <v>0</v>
      </c>
      <c r="BD102" s="363"/>
      <c r="BE102">
        <v>21.1258</v>
      </c>
    </row>
    <row r="103" ht="36" spans="1:57">
      <c r="A103" s="284" t="s">
        <v>221</v>
      </c>
      <c r="B103" s="284" t="s">
        <v>199</v>
      </c>
      <c r="C103" s="284" t="s">
        <v>308</v>
      </c>
      <c r="D103" s="284" t="s">
        <v>309</v>
      </c>
      <c r="E103" s="365">
        <f t="shared" si="49"/>
        <v>117.3061</v>
      </c>
      <c r="F103" s="365">
        <f t="shared" si="50"/>
        <v>55.16</v>
      </c>
      <c r="G103" s="365">
        <v>39.05</v>
      </c>
      <c r="H103" s="365"/>
      <c r="I103" s="365">
        <v>16.11</v>
      </c>
      <c r="J103" s="365"/>
      <c r="K103" s="365"/>
      <c r="L103" s="365">
        <f t="shared" si="51"/>
        <v>62.1461</v>
      </c>
      <c r="M103" s="365">
        <v>9.67</v>
      </c>
      <c r="N103" s="365"/>
      <c r="O103" s="365"/>
      <c r="P103" s="365">
        <v>2.4761</v>
      </c>
      <c r="Q103" s="365"/>
      <c r="R103" s="365"/>
      <c r="S103" s="365">
        <v>50</v>
      </c>
      <c r="T103" s="365">
        <f t="shared" si="48"/>
        <v>-25.8033</v>
      </c>
      <c r="U103" s="365">
        <f t="shared" si="53"/>
        <v>1.27</v>
      </c>
      <c r="V103" s="365">
        <v>0.98</v>
      </c>
      <c r="W103" s="365"/>
      <c r="X103" s="365">
        <v>0.29</v>
      </c>
      <c r="Y103" s="365"/>
      <c r="Z103" s="365"/>
      <c r="AA103" s="365">
        <f t="shared" si="54"/>
        <v>-27.0733</v>
      </c>
      <c r="AB103" s="365">
        <v>-0.66</v>
      </c>
      <c r="AC103" s="365"/>
      <c r="AD103" s="365"/>
      <c r="AE103" s="365"/>
      <c r="AF103" s="365"/>
      <c r="AG103" s="365">
        <v>0.15</v>
      </c>
      <c r="AH103" s="365">
        <v>-50</v>
      </c>
      <c r="AI103" s="365">
        <v>12.6</v>
      </c>
      <c r="AJ103" s="365">
        <v>6</v>
      </c>
      <c r="AK103" s="365">
        <v>4.8367</v>
      </c>
      <c r="AL103" s="365">
        <f t="shared" si="47"/>
        <v>91.5028</v>
      </c>
      <c r="AM103" s="365">
        <f t="shared" si="55"/>
        <v>56.43</v>
      </c>
      <c r="AN103" s="365">
        <f t="shared" si="56"/>
        <v>40.03</v>
      </c>
      <c r="AO103" s="365">
        <f t="shared" si="57"/>
        <v>0</v>
      </c>
      <c r="AP103" s="365">
        <f t="shared" si="58"/>
        <v>16.4</v>
      </c>
      <c r="AQ103" s="365">
        <f t="shared" si="59"/>
        <v>0</v>
      </c>
      <c r="AR103" s="365">
        <f t="shared" si="60"/>
        <v>0</v>
      </c>
      <c r="AS103" s="365">
        <f t="shared" si="61"/>
        <v>35.0728</v>
      </c>
      <c r="AT103" s="365">
        <f t="shared" si="62"/>
        <v>9.01</v>
      </c>
      <c r="AU103" s="365">
        <f t="shared" si="63"/>
        <v>0</v>
      </c>
      <c r="AV103" s="365">
        <f t="shared" si="64"/>
        <v>0</v>
      </c>
      <c r="AW103" s="365">
        <f t="shared" si="65"/>
        <v>2.4761</v>
      </c>
      <c r="AX103" s="365">
        <f t="shared" si="66"/>
        <v>0</v>
      </c>
      <c r="AY103" s="365">
        <f t="shared" si="67"/>
        <v>0.15</v>
      </c>
      <c r="AZ103" s="365">
        <f t="shared" si="68"/>
        <v>0</v>
      </c>
      <c r="BA103" s="365">
        <f t="shared" si="69"/>
        <v>12.6</v>
      </c>
      <c r="BB103" s="365">
        <f t="shared" si="52"/>
        <v>6</v>
      </c>
      <c r="BC103" s="365">
        <f t="shared" si="70"/>
        <v>4.8367</v>
      </c>
      <c r="BD103" s="363"/>
      <c r="BE103">
        <v>4.8367</v>
      </c>
    </row>
    <row r="104" ht="24" spans="1:57">
      <c r="A104" s="284" t="s">
        <v>221</v>
      </c>
      <c r="B104" s="284" t="s">
        <v>199</v>
      </c>
      <c r="C104" s="284" t="s">
        <v>310</v>
      </c>
      <c r="D104" s="284" t="s">
        <v>311</v>
      </c>
      <c r="E104" s="365">
        <f t="shared" si="49"/>
        <v>200.82</v>
      </c>
      <c r="F104" s="365">
        <f t="shared" si="50"/>
        <v>100.75</v>
      </c>
      <c r="G104" s="365">
        <v>73.96</v>
      </c>
      <c r="H104" s="365"/>
      <c r="I104" s="365">
        <v>26.79</v>
      </c>
      <c r="J104" s="365"/>
      <c r="K104" s="365"/>
      <c r="L104" s="365">
        <f t="shared" si="51"/>
        <v>100.07</v>
      </c>
      <c r="M104" s="365">
        <v>16.07</v>
      </c>
      <c r="N104" s="365"/>
      <c r="O104" s="365"/>
      <c r="P104" s="365"/>
      <c r="Q104" s="365"/>
      <c r="R104" s="365"/>
      <c r="S104" s="366">
        <v>84</v>
      </c>
      <c r="T104" s="365">
        <f t="shared" si="48"/>
        <v>-29</v>
      </c>
      <c r="U104" s="365">
        <f t="shared" si="53"/>
        <v>10.2</v>
      </c>
      <c r="V104" s="365">
        <v>10.2</v>
      </c>
      <c r="W104" s="365"/>
      <c r="X104" s="365"/>
      <c r="Y104" s="365"/>
      <c r="Z104" s="365"/>
      <c r="AA104" s="365">
        <f t="shared" si="54"/>
        <v>-39.2</v>
      </c>
      <c r="AB104" s="366">
        <v>0.06</v>
      </c>
      <c r="AC104" s="366"/>
      <c r="AD104" s="366"/>
      <c r="AE104" s="366"/>
      <c r="AF104" s="366"/>
      <c r="AG104" s="366">
        <v>0.6</v>
      </c>
      <c r="AH104" s="365">
        <v>-84</v>
      </c>
      <c r="AI104" s="366">
        <v>21.3</v>
      </c>
      <c r="AJ104" s="366">
        <v>14</v>
      </c>
      <c r="AK104" s="365">
        <v>8.84</v>
      </c>
      <c r="AL104" s="365">
        <f t="shared" si="47"/>
        <v>171.82</v>
      </c>
      <c r="AM104" s="365">
        <f t="shared" si="55"/>
        <v>110.95</v>
      </c>
      <c r="AN104" s="365">
        <f t="shared" si="56"/>
        <v>84.16</v>
      </c>
      <c r="AO104" s="365">
        <f t="shared" si="57"/>
        <v>0</v>
      </c>
      <c r="AP104" s="365">
        <f t="shared" si="58"/>
        <v>26.79</v>
      </c>
      <c r="AQ104" s="365">
        <f t="shared" si="59"/>
        <v>0</v>
      </c>
      <c r="AR104" s="365">
        <f t="shared" si="60"/>
        <v>0</v>
      </c>
      <c r="AS104" s="365">
        <f t="shared" si="61"/>
        <v>60.87</v>
      </c>
      <c r="AT104" s="365">
        <f t="shared" si="62"/>
        <v>16.13</v>
      </c>
      <c r="AU104" s="365">
        <f t="shared" si="63"/>
        <v>0</v>
      </c>
      <c r="AV104" s="365">
        <f t="shared" si="64"/>
        <v>0</v>
      </c>
      <c r="AW104" s="365">
        <f t="shared" si="65"/>
        <v>0</v>
      </c>
      <c r="AX104" s="365">
        <f t="shared" si="66"/>
        <v>0</v>
      </c>
      <c r="AY104" s="365">
        <f t="shared" si="67"/>
        <v>0.6</v>
      </c>
      <c r="AZ104" s="365">
        <f t="shared" si="68"/>
        <v>0</v>
      </c>
      <c r="BA104" s="365">
        <f t="shared" si="69"/>
        <v>21.3</v>
      </c>
      <c r="BB104" s="365">
        <f t="shared" si="52"/>
        <v>14</v>
      </c>
      <c r="BC104" s="365">
        <f t="shared" si="70"/>
        <v>8.84</v>
      </c>
      <c r="BD104" s="363"/>
      <c r="BE104">
        <v>8.84</v>
      </c>
    </row>
    <row r="105" ht="24" spans="1:57">
      <c r="A105" s="284" t="s">
        <v>221</v>
      </c>
      <c r="B105" s="284" t="s">
        <v>199</v>
      </c>
      <c r="C105" s="284" t="s">
        <v>312</v>
      </c>
      <c r="D105" s="284" t="s">
        <v>311</v>
      </c>
      <c r="E105" s="365">
        <f t="shared" si="49"/>
        <v>68.48</v>
      </c>
      <c r="F105" s="365">
        <f t="shared" si="50"/>
        <v>32.95</v>
      </c>
      <c r="G105" s="365">
        <v>23.62</v>
      </c>
      <c r="H105" s="365">
        <v>0.12</v>
      </c>
      <c r="I105" s="365">
        <v>9.21</v>
      </c>
      <c r="J105" s="365"/>
      <c r="K105" s="365"/>
      <c r="L105" s="365">
        <f t="shared" si="51"/>
        <v>35.53</v>
      </c>
      <c r="M105" s="365">
        <v>5.53</v>
      </c>
      <c r="N105" s="365"/>
      <c r="O105" s="365"/>
      <c r="P105" s="365"/>
      <c r="Q105" s="365"/>
      <c r="R105" s="365"/>
      <c r="S105" s="365">
        <v>30</v>
      </c>
      <c r="T105" s="365">
        <f t="shared" si="48"/>
        <v>-5.0483</v>
      </c>
      <c r="U105" s="365">
        <f t="shared" si="53"/>
        <v>7.66</v>
      </c>
      <c r="V105" s="365">
        <v>6.43</v>
      </c>
      <c r="W105" s="365"/>
      <c r="X105" s="365">
        <v>1.23</v>
      </c>
      <c r="Y105" s="365"/>
      <c r="Z105" s="365"/>
      <c r="AA105" s="365">
        <f t="shared" ref="AA105:AA150" si="71">SUM(AB105:AK105)</f>
        <v>-12.7083</v>
      </c>
      <c r="AB105" s="365">
        <v>0.75</v>
      </c>
      <c r="AC105" s="365"/>
      <c r="AD105" s="365"/>
      <c r="AE105" s="365"/>
      <c r="AF105" s="365"/>
      <c r="AG105" s="365">
        <v>0.45</v>
      </c>
      <c r="AH105" s="365">
        <v>-30</v>
      </c>
      <c r="AI105" s="365">
        <v>7.88</v>
      </c>
      <c r="AJ105" s="365">
        <v>5</v>
      </c>
      <c r="AK105" s="365">
        <v>3.2117</v>
      </c>
      <c r="AL105" s="365">
        <f t="shared" si="47"/>
        <v>63.4317</v>
      </c>
      <c r="AM105" s="365">
        <f t="shared" ref="AM105:AM150" si="72">SUM(AN105:AR105)</f>
        <v>40.61</v>
      </c>
      <c r="AN105" s="365">
        <f t="shared" ref="AN105:AN150" si="73">G105+V105</f>
        <v>30.05</v>
      </c>
      <c r="AO105" s="365">
        <f t="shared" ref="AO105:AO150" si="74">H105+W105</f>
        <v>0.12</v>
      </c>
      <c r="AP105" s="365">
        <f t="shared" ref="AP105:AP150" si="75">I105+X105</f>
        <v>10.44</v>
      </c>
      <c r="AQ105" s="365">
        <f t="shared" ref="AQ105:AQ150" si="76">J105+Y105</f>
        <v>0</v>
      </c>
      <c r="AR105" s="365">
        <f t="shared" ref="AR105:AR150" si="77">K105+Z105</f>
        <v>0</v>
      </c>
      <c r="AS105" s="365">
        <f t="shared" si="61"/>
        <v>22.8217</v>
      </c>
      <c r="AT105" s="365">
        <f t="shared" ref="AT105:AT150" si="78">M105+AB105</f>
        <v>6.28</v>
      </c>
      <c r="AU105" s="365">
        <f t="shared" ref="AU105:AU150" si="79">N105+AC105</f>
        <v>0</v>
      </c>
      <c r="AV105" s="365">
        <f t="shared" ref="AV105:AV150" si="80">O105+AD105</f>
        <v>0</v>
      </c>
      <c r="AW105" s="365">
        <f t="shared" ref="AW105:AW150" si="81">P105+AE105</f>
        <v>0</v>
      </c>
      <c r="AX105" s="365">
        <f t="shared" ref="AX105:AX150" si="82">Q105+AF105</f>
        <v>0</v>
      </c>
      <c r="AY105" s="365">
        <f t="shared" ref="AY105:AY150" si="83">R105+AG105</f>
        <v>0.45</v>
      </c>
      <c r="AZ105" s="365">
        <f t="shared" ref="AZ105:AZ150" si="84">S105+AH105</f>
        <v>0</v>
      </c>
      <c r="BA105" s="365">
        <f t="shared" ref="BA105:BA150" si="85">AI105</f>
        <v>7.88</v>
      </c>
      <c r="BB105" s="365">
        <f t="shared" si="52"/>
        <v>5</v>
      </c>
      <c r="BC105" s="365">
        <f t="shared" ref="BC105:BC150" si="86">AK105</f>
        <v>3.2117</v>
      </c>
      <c r="BD105" s="363"/>
      <c r="BE105">
        <v>3.2117</v>
      </c>
    </row>
    <row r="106" ht="24" spans="1:57">
      <c r="A106" s="284" t="s">
        <v>221</v>
      </c>
      <c r="B106" s="284" t="s">
        <v>199</v>
      </c>
      <c r="C106" s="284" t="s">
        <v>313</v>
      </c>
      <c r="D106" s="284" t="s">
        <v>311</v>
      </c>
      <c r="E106" s="365">
        <f t="shared" si="49"/>
        <v>197.1761</v>
      </c>
      <c r="F106" s="365">
        <f t="shared" si="50"/>
        <v>95.54</v>
      </c>
      <c r="G106" s="365">
        <v>68.14</v>
      </c>
      <c r="H106" s="365"/>
      <c r="I106" s="365">
        <v>27.4</v>
      </c>
      <c r="J106" s="365"/>
      <c r="K106" s="365"/>
      <c r="L106" s="365">
        <f t="shared" si="51"/>
        <v>101.6361</v>
      </c>
      <c r="M106" s="365">
        <v>15.16</v>
      </c>
      <c r="N106" s="365"/>
      <c r="O106" s="365"/>
      <c r="P106" s="365">
        <v>2.4761</v>
      </c>
      <c r="Q106" s="365"/>
      <c r="R106" s="365"/>
      <c r="S106" s="366">
        <v>84</v>
      </c>
      <c r="T106" s="365">
        <f t="shared" si="48"/>
        <v>-8.7333</v>
      </c>
      <c r="U106" s="365">
        <f t="shared" si="53"/>
        <v>27.91</v>
      </c>
      <c r="V106" s="365">
        <v>22.38</v>
      </c>
      <c r="W106" s="365"/>
      <c r="X106" s="365">
        <v>5.53</v>
      </c>
      <c r="Y106" s="365"/>
      <c r="Z106" s="365"/>
      <c r="AA106" s="365">
        <f t="shared" si="71"/>
        <v>-36.6433</v>
      </c>
      <c r="AB106" s="366">
        <v>2.83</v>
      </c>
      <c r="AC106" s="366"/>
      <c r="AD106" s="366"/>
      <c r="AE106" s="366"/>
      <c r="AF106" s="366"/>
      <c r="AG106" s="366">
        <v>0.45</v>
      </c>
      <c r="AH106" s="365">
        <v>-84</v>
      </c>
      <c r="AI106" s="366">
        <v>23.66</v>
      </c>
      <c r="AJ106" s="366">
        <v>12</v>
      </c>
      <c r="AK106" s="365">
        <v>8.4167</v>
      </c>
      <c r="AL106" s="365">
        <f t="shared" si="47"/>
        <v>188.4428</v>
      </c>
      <c r="AM106" s="365">
        <f t="shared" si="72"/>
        <v>123.45</v>
      </c>
      <c r="AN106" s="365">
        <f t="shared" si="73"/>
        <v>90.52</v>
      </c>
      <c r="AO106" s="365">
        <f t="shared" si="74"/>
        <v>0</v>
      </c>
      <c r="AP106" s="365">
        <f t="shared" si="75"/>
        <v>32.93</v>
      </c>
      <c r="AQ106" s="365">
        <f t="shared" si="76"/>
        <v>0</v>
      </c>
      <c r="AR106" s="365">
        <f t="shared" si="77"/>
        <v>0</v>
      </c>
      <c r="AS106" s="365">
        <f t="shared" si="61"/>
        <v>64.9928</v>
      </c>
      <c r="AT106" s="365">
        <f t="shared" si="78"/>
        <v>17.99</v>
      </c>
      <c r="AU106" s="365">
        <f t="shared" si="79"/>
        <v>0</v>
      </c>
      <c r="AV106" s="365">
        <f t="shared" si="80"/>
        <v>0</v>
      </c>
      <c r="AW106" s="365">
        <f t="shared" si="81"/>
        <v>2.4761</v>
      </c>
      <c r="AX106" s="365">
        <f t="shared" si="82"/>
        <v>0</v>
      </c>
      <c r="AY106" s="365">
        <f t="shared" si="83"/>
        <v>0.45</v>
      </c>
      <c r="AZ106" s="365">
        <f t="shared" si="84"/>
        <v>0</v>
      </c>
      <c r="BA106" s="365">
        <f t="shared" si="85"/>
        <v>23.66</v>
      </c>
      <c r="BB106" s="365">
        <f t="shared" si="52"/>
        <v>12</v>
      </c>
      <c r="BC106" s="365">
        <f t="shared" si="86"/>
        <v>8.4167</v>
      </c>
      <c r="BD106" s="363"/>
      <c r="BE106">
        <v>8.4167</v>
      </c>
    </row>
    <row r="107" ht="24" spans="1:57">
      <c r="A107" s="284" t="s">
        <v>221</v>
      </c>
      <c r="B107" s="284" t="s">
        <v>199</v>
      </c>
      <c r="C107" s="284" t="s">
        <v>314</v>
      </c>
      <c r="D107" s="284" t="s">
        <v>311</v>
      </c>
      <c r="E107" s="365">
        <f t="shared" si="49"/>
        <v>72.86</v>
      </c>
      <c r="F107" s="365">
        <f t="shared" si="50"/>
        <v>32.02</v>
      </c>
      <c r="G107" s="365">
        <v>22.29</v>
      </c>
      <c r="H107" s="365"/>
      <c r="I107" s="365">
        <v>9.73</v>
      </c>
      <c r="J107" s="365"/>
      <c r="K107" s="365"/>
      <c r="L107" s="365">
        <f t="shared" si="51"/>
        <v>40.84</v>
      </c>
      <c r="M107" s="365">
        <v>5.84</v>
      </c>
      <c r="N107" s="365"/>
      <c r="O107" s="365"/>
      <c r="P107" s="365"/>
      <c r="Q107" s="365"/>
      <c r="R107" s="365"/>
      <c r="S107" s="365">
        <v>35</v>
      </c>
      <c r="T107" s="365">
        <f t="shared" si="48"/>
        <v>-3.5199</v>
      </c>
      <c r="U107" s="365">
        <f t="shared" si="53"/>
        <v>11.41</v>
      </c>
      <c r="V107" s="365">
        <v>9.04</v>
      </c>
      <c r="W107" s="365"/>
      <c r="X107" s="365">
        <v>2.37</v>
      </c>
      <c r="Y107" s="365"/>
      <c r="Z107" s="365"/>
      <c r="AA107" s="365">
        <f t="shared" si="71"/>
        <v>-14.9299</v>
      </c>
      <c r="AB107" s="365">
        <v>1.43</v>
      </c>
      <c r="AC107" s="365"/>
      <c r="AD107" s="365"/>
      <c r="AE107" s="365"/>
      <c r="AF107" s="365"/>
      <c r="AG107" s="365"/>
      <c r="AH107" s="365">
        <v>-35</v>
      </c>
      <c r="AI107" s="365">
        <v>10.14</v>
      </c>
      <c r="AJ107" s="365">
        <v>5</v>
      </c>
      <c r="AK107" s="365">
        <v>3.5001</v>
      </c>
      <c r="AL107" s="365">
        <f t="shared" si="47"/>
        <v>69.3401</v>
      </c>
      <c r="AM107" s="365">
        <f t="shared" si="72"/>
        <v>43.43</v>
      </c>
      <c r="AN107" s="365">
        <f t="shared" si="73"/>
        <v>31.33</v>
      </c>
      <c r="AO107" s="365">
        <f t="shared" si="74"/>
        <v>0</v>
      </c>
      <c r="AP107" s="365">
        <f t="shared" si="75"/>
        <v>12.1</v>
      </c>
      <c r="AQ107" s="365">
        <f t="shared" si="76"/>
        <v>0</v>
      </c>
      <c r="AR107" s="365">
        <f t="shared" si="77"/>
        <v>0</v>
      </c>
      <c r="AS107" s="365">
        <f t="shared" si="61"/>
        <v>25.9101</v>
      </c>
      <c r="AT107" s="365">
        <f t="shared" si="78"/>
        <v>7.27</v>
      </c>
      <c r="AU107" s="365">
        <f t="shared" si="79"/>
        <v>0</v>
      </c>
      <c r="AV107" s="365">
        <f t="shared" si="80"/>
        <v>0</v>
      </c>
      <c r="AW107" s="365">
        <f t="shared" si="81"/>
        <v>0</v>
      </c>
      <c r="AX107" s="365">
        <f t="shared" si="82"/>
        <v>0</v>
      </c>
      <c r="AY107" s="365">
        <f t="shared" si="83"/>
        <v>0</v>
      </c>
      <c r="AZ107" s="365">
        <f t="shared" si="84"/>
        <v>0</v>
      </c>
      <c r="BA107" s="365">
        <f t="shared" si="85"/>
        <v>10.14</v>
      </c>
      <c r="BB107" s="365">
        <f t="shared" si="52"/>
        <v>5</v>
      </c>
      <c r="BC107" s="365">
        <f t="shared" si="86"/>
        <v>3.5001</v>
      </c>
      <c r="BD107" s="363"/>
      <c r="BE107">
        <v>3.5001</v>
      </c>
    </row>
    <row r="108" ht="24" spans="1:57">
      <c r="A108" s="284" t="s">
        <v>221</v>
      </c>
      <c r="B108" s="284" t="s">
        <v>199</v>
      </c>
      <c r="C108" s="284" t="s">
        <v>315</v>
      </c>
      <c r="D108" s="284" t="s">
        <v>311</v>
      </c>
      <c r="E108" s="365">
        <f t="shared" si="49"/>
        <v>64.82</v>
      </c>
      <c r="F108" s="365">
        <f t="shared" si="50"/>
        <v>29.54</v>
      </c>
      <c r="G108" s="365">
        <v>20.75</v>
      </c>
      <c r="H108" s="365"/>
      <c r="I108" s="365">
        <v>8.79</v>
      </c>
      <c r="J108" s="365"/>
      <c r="K108" s="365"/>
      <c r="L108" s="365">
        <f t="shared" si="51"/>
        <v>35.28</v>
      </c>
      <c r="M108" s="365">
        <v>5.28</v>
      </c>
      <c r="N108" s="365"/>
      <c r="O108" s="365"/>
      <c r="P108" s="365"/>
      <c r="Q108" s="365"/>
      <c r="R108" s="365"/>
      <c r="S108" s="365">
        <v>30</v>
      </c>
      <c r="T108" s="365">
        <f t="shared" si="48"/>
        <v>-15.61</v>
      </c>
      <c r="U108" s="365">
        <f t="shared" si="53"/>
        <v>-0.07</v>
      </c>
      <c r="V108" s="365">
        <v>-0.35</v>
      </c>
      <c r="W108" s="365"/>
      <c r="X108" s="365">
        <v>0.28</v>
      </c>
      <c r="Y108" s="365"/>
      <c r="Z108" s="365"/>
      <c r="AA108" s="365">
        <f t="shared" si="71"/>
        <v>-15.54</v>
      </c>
      <c r="AB108" s="365">
        <v>-0.5</v>
      </c>
      <c r="AC108" s="365"/>
      <c r="AD108" s="365"/>
      <c r="AE108" s="365"/>
      <c r="AF108" s="365"/>
      <c r="AG108" s="365">
        <v>0.15</v>
      </c>
      <c r="AH108" s="365">
        <v>-30</v>
      </c>
      <c r="AI108" s="365">
        <v>6.81</v>
      </c>
      <c r="AJ108" s="365">
        <v>5</v>
      </c>
      <c r="AK108" s="365">
        <v>3</v>
      </c>
      <c r="AL108" s="365">
        <f t="shared" si="47"/>
        <v>49.21</v>
      </c>
      <c r="AM108" s="365">
        <f t="shared" si="72"/>
        <v>29.47</v>
      </c>
      <c r="AN108" s="365">
        <f t="shared" si="73"/>
        <v>20.4</v>
      </c>
      <c r="AO108" s="365">
        <f t="shared" si="74"/>
        <v>0</v>
      </c>
      <c r="AP108" s="365">
        <f t="shared" si="75"/>
        <v>9.07</v>
      </c>
      <c r="AQ108" s="365">
        <f t="shared" si="76"/>
        <v>0</v>
      </c>
      <c r="AR108" s="365">
        <f t="shared" si="77"/>
        <v>0</v>
      </c>
      <c r="AS108" s="365">
        <f t="shared" si="61"/>
        <v>19.74</v>
      </c>
      <c r="AT108" s="365">
        <f t="shared" si="78"/>
        <v>4.78</v>
      </c>
      <c r="AU108" s="365">
        <f t="shared" si="79"/>
        <v>0</v>
      </c>
      <c r="AV108" s="365">
        <f t="shared" si="80"/>
        <v>0</v>
      </c>
      <c r="AW108" s="365">
        <f t="shared" si="81"/>
        <v>0</v>
      </c>
      <c r="AX108" s="365">
        <f t="shared" si="82"/>
        <v>0</v>
      </c>
      <c r="AY108" s="365">
        <f t="shared" si="83"/>
        <v>0.15</v>
      </c>
      <c r="AZ108" s="365">
        <f t="shared" si="84"/>
        <v>0</v>
      </c>
      <c r="BA108" s="365">
        <f t="shared" si="85"/>
        <v>6.81</v>
      </c>
      <c r="BB108" s="365">
        <f t="shared" si="52"/>
        <v>5</v>
      </c>
      <c r="BC108" s="365">
        <f t="shared" si="86"/>
        <v>3</v>
      </c>
      <c r="BD108" s="363"/>
      <c r="BE108">
        <v>3</v>
      </c>
    </row>
    <row r="109" ht="24" spans="1:57">
      <c r="A109" s="284" t="s">
        <v>195</v>
      </c>
      <c r="B109" s="284" t="s">
        <v>196</v>
      </c>
      <c r="C109" s="284" t="s">
        <v>316</v>
      </c>
      <c r="D109" s="284" t="s">
        <v>317</v>
      </c>
      <c r="E109" s="365">
        <f t="shared" si="49"/>
        <v>0</v>
      </c>
      <c r="F109" s="365">
        <f t="shared" si="50"/>
        <v>0</v>
      </c>
      <c r="G109" s="365"/>
      <c r="H109" s="365"/>
      <c r="I109" s="365"/>
      <c r="J109" s="365"/>
      <c r="K109" s="365"/>
      <c r="L109" s="365">
        <f t="shared" si="51"/>
        <v>0</v>
      </c>
      <c r="M109" s="365"/>
      <c r="N109" s="365"/>
      <c r="O109" s="365"/>
      <c r="P109" s="365"/>
      <c r="Q109" s="365"/>
      <c r="R109" s="365"/>
      <c r="S109" s="365"/>
      <c r="T109" s="365">
        <f t="shared" si="48"/>
        <v>0</v>
      </c>
      <c r="U109" s="365">
        <f t="shared" si="53"/>
        <v>0</v>
      </c>
      <c r="V109" s="365"/>
      <c r="W109" s="365"/>
      <c r="X109" s="365"/>
      <c r="Y109" s="365"/>
      <c r="Z109" s="365"/>
      <c r="AA109" s="365">
        <f t="shared" si="71"/>
        <v>0</v>
      </c>
      <c r="AB109" s="365"/>
      <c r="AC109" s="365"/>
      <c r="AD109" s="365"/>
      <c r="AE109" s="365"/>
      <c r="AF109" s="365"/>
      <c r="AG109" s="365"/>
      <c r="AH109" s="365">
        <v>0</v>
      </c>
      <c r="AI109" s="365"/>
      <c r="AJ109" s="365"/>
      <c r="AK109" s="365"/>
      <c r="AL109" s="365">
        <f t="shared" si="47"/>
        <v>0</v>
      </c>
      <c r="AM109" s="365">
        <f t="shared" si="72"/>
        <v>0</v>
      </c>
      <c r="AN109" s="365">
        <f t="shared" si="73"/>
        <v>0</v>
      </c>
      <c r="AO109" s="365">
        <f t="shared" si="74"/>
        <v>0</v>
      </c>
      <c r="AP109" s="365">
        <f t="shared" si="75"/>
        <v>0</v>
      </c>
      <c r="AQ109" s="365">
        <f t="shared" si="76"/>
        <v>0</v>
      </c>
      <c r="AR109" s="365">
        <f t="shared" si="77"/>
        <v>0</v>
      </c>
      <c r="AS109" s="365">
        <f t="shared" si="61"/>
        <v>0</v>
      </c>
      <c r="AT109" s="365">
        <f t="shared" si="78"/>
        <v>0</v>
      </c>
      <c r="AU109" s="365">
        <f t="shared" si="79"/>
        <v>0</v>
      </c>
      <c r="AV109" s="365">
        <f t="shared" si="80"/>
        <v>0</v>
      </c>
      <c r="AW109" s="365">
        <f t="shared" si="81"/>
        <v>0</v>
      </c>
      <c r="AX109" s="365">
        <f t="shared" si="82"/>
        <v>0</v>
      </c>
      <c r="AY109" s="365">
        <f t="shared" si="83"/>
        <v>0</v>
      </c>
      <c r="AZ109" s="365">
        <f t="shared" si="84"/>
        <v>0</v>
      </c>
      <c r="BA109" s="365">
        <f t="shared" si="85"/>
        <v>0</v>
      </c>
      <c r="BB109" s="365">
        <f t="shared" si="52"/>
        <v>0</v>
      </c>
      <c r="BC109" s="365">
        <f t="shared" si="86"/>
        <v>0</v>
      </c>
      <c r="BD109" s="363"/>
      <c r="BE109">
        <v>15.7792</v>
      </c>
    </row>
    <row r="110" ht="24" spans="1:56">
      <c r="A110" s="284" t="s">
        <v>195</v>
      </c>
      <c r="B110" s="284" t="s">
        <v>199</v>
      </c>
      <c r="C110" s="284" t="s">
        <v>318</v>
      </c>
      <c r="D110" s="284" t="s">
        <v>319</v>
      </c>
      <c r="E110" s="365">
        <f t="shared" si="49"/>
        <v>17.19</v>
      </c>
      <c r="F110" s="365">
        <f t="shared" si="50"/>
        <v>14.4</v>
      </c>
      <c r="G110" s="365">
        <v>9.76</v>
      </c>
      <c r="H110" s="365"/>
      <c r="I110" s="365">
        <v>4.64</v>
      </c>
      <c r="J110" s="365"/>
      <c r="K110" s="365"/>
      <c r="L110" s="365">
        <f t="shared" si="51"/>
        <v>2.79</v>
      </c>
      <c r="M110" s="365">
        <v>2.79</v>
      </c>
      <c r="N110" s="365"/>
      <c r="O110" s="365"/>
      <c r="P110" s="365"/>
      <c r="Q110" s="365"/>
      <c r="R110" s="365"/>
      <c r="S110" s="365"/>
      <c r="T110" s="365">
        <f t="shared" si="48"/>
        <v>17.6</v>
      </c>
      <c r="U110" s="365">
        <f t="shared" si="53"/>
        <v>7.79</v>
      </c>
      <c r="V110" s="365">
        <v>5.64</v>
      </c>
      <c r="W110" s="365"/>
      <c r="X110" s="365">
        <v>2.15</v>
      </c>
      <c r="Y110" s="365"/>
      <c r="Z110" s="365"/>
      <c r="AA110" s="365">
        <f t="shared" si="71"/>
        <v>9.81</v>
      </c>
      <c r="AB110" s="365">
        <v>1.29</v>
      </c>
      <c r="AC110" s="365"/>
      <c r="AD110" s="365"/>
      <c r="AE110" s="365"/>
      <c r="AF110" s="365"/>
      <c r="AG110" s="365"/>
      <c r="AH110" s="365">
        <v>0</v>
      </c>
      <c r="AI110" s="365">
        <v>6.52</v>
      </c>
      <c r="AJ110" s="365">
        <v>2</v>
      </c>
      <c r="AK110" s="365">
        <v>0</v>
      </c>
      <c r="AL110" s="365">
        <f t="shared" si="47"/>
        <v>34.79</v>
      </c>
      <c r="AM110" s="365">
        <f t="shared" si="72"/>
        <v>22.19</v>
      </c>
      <c r="AN110" s="365">
        <f t="shared" si="73"/>
        <v>15.4</v>
      </c>
      <c r="AO110" s="365">
        <f t="shared" si="74"/>
        <v>0</v>
      </c>
      <c r="AP110" s="365">
        <f t="shared" si="75"/>
        <v>6.79</v>
      </c>
      <c r="AQ110" s="365">
        <f t="shared" si="76"/>
        <v>0</v>
      </c>
      <c r="AR110" s="365">
        <f t="shared" si="77"/>
        <v>0</v>
      </c>
      <c r="AS110" s="365">
        <f t="shared" si="61"/>
        <v>12.6</v>
      </c>
      <c r="AT110" s="365">
        <f t="shared" si="78"/>
        <v>4.08</v>
      </c>
      <c r="AU110" s="365">
        <f t="shared" si="79"/>
        <v>0</v>
      </c>
      <c r="AV110" s="365">
        <f t="shared" si="80"/>
        <v>0</v>
      </c>
      <c r="AW110" s="365">
        <f t="shared" si="81"/>
        <v>0</v>
      </c>
      <c r="AX110" s="365">
        <f t="shared" si="82"/>
        <v>0</v>
      </c>
      <c r="AY110" s="365">
        <f t="shared" si="83"/>
        <v>0</v>
      </c>
      <c r="AZ110" s="365">
        <f t="shared" si="84"/>
        <v>0</v>
      </c>
      <c r="BA110" s="365">
        <f t="shared" si="85"/>
        <v>6.52</v>
      </c>
      <c r="BB110" s="365">
        <f t="shared" si="52"/>
        <v>2</v>
      </c>
      <c r="BC110" s="365">
        <f t="shared" si="86"/>
        <v>0</v>
      </c>
      <c r="BD110" s="363"/>
    </row>
    <row r="111" ht="24" spans="1:56">
      <c r="A111" s="284" t="s">
        <v>195</v>
      </c>
      <c r="B111" s="284" t="s">
        <v>199</v>
      </c>
      <c r="C111" s="284" t="s">
        <v>320</v>
      </c>
      <c r="D111" s="284" t="s">
        <v>319</v>
      </c>
      <c r="E111" s="365">
        <f t="shared" si="49"/>
        <v>41.17</v>
      </c>
      <c r="F111" s="365">
        <f t="shared" si="50"/>
        <v>20.2</v>
      </c>
      <c r="G111" s="365">
        <v>14.14</v>
      </c>
      <c r="H111" s="365"/>
      <c r="I111" s="365">
        <v>6.06</v>
      </c>
      <c r="J111" s="365"/>
      <c r="K111" s="365"/>
      <c r="L111" s="365">
        <f t="shared" si="51"/>
        <v>20.97</v>
      </c>
      <c r="M111" s="365">
        <v>3.64</v>
      </c>
      <c r="N111" s="365"/>
      <c r="O111" s="365"/>
      <c r="P111" s="365">
        <v>17.33</v>
      </c>
      <c r="Q111" s="365"/>
      <c r="R111" s="365"/>
      <c r="S111" s="365"/>
      <c r="T111" s="365">
        <f t="shared" si="48"/>
        <v>15.73</v>
      </c>
      <c r="U111" s="365">
        <f t="shared" si="53"/>
        <v>6.24</v>
      </c>
      <c r="V111" s="365">
        <v>4.99</v>
      </c>
      <c r="W111" s="365"/>
      <c r="X111" s="365">
        <v>1.25</v>
      </c>
      <c r="Y111" s="365"/>
      <c r="Z111" s="365"/>
      <c r="AA111" s="365">
        <f t="shared" si="71"/>
        <v>9.49</v>
      </c>
      <c r="AB111" s="365">
        <v>0.75</v>
      </c>
      <c r="AC111" s="365"/>
      <c r="AD111" s="365"/>
      <c r="AE111" s="365"/>
      <c r="AF111" s="365"/>
      <c r="AG111" s="365"/>
      <c r="AH111" s="365">
        <v>0</v>
      </c>
      <c r="AI111" s="365">
        <v>7.74</v>
      </c>
      <c r="AJ111" s="365">
        <v>1</v>
      </c>
      <c r="AK111" s="365">
        <v>0</v>
      </c>
      <c r="AL111" s="365">
        <f t="shared" si="47"/>
        <v>56.9</v>
      </c>
      <c r="AM111" s="365">
        <f t="shared" si="72"/>
        <v>26.44</v>
      </c>
      <c r="AN111" s="365">
        <f t="shared" si="73"/>
        <v>19.13</v>
      </c>
      <c r="AO111" s="365">
        <f t="shared" si="74"/>
        <v>0</v>
      </c>
      <c r="AP111" s="365">
        <f t="shared" si="75"/>
        <v>7.31</v>
      </c>
      <c r="AQ111" s="365">
        <f t="shared" si="76"/>
        <v>0</v>
      </c>
      <c r="AR111" s="365">
        <f t="shared" si="77"/>
        <v>0</v>
      </c>
      <c r="AS111" s="365">
        <f t="shared" si="61"/>
        <v>30.46</v>
      </c>
      <c r="AT111" s="365">
        <f t="shared" si="78"/>
        <v>4.39</v>
      </c>
      <c r="AU111" s="365">
        <f t="shared" si="79"/>
        <v>0</v>
      </c>
      <c r="AV111" s="365">
        <f t="shared" si="80"/>
        <v>0</v>
      </c>
      <c r="AW111" s="365">
        <f t="shared" si="81"/>
        <v>17.33</v>
      </c>
      <c r="AX111" s="365">
        <f t="shared" si="82"/>
        <v>0</v>
      </c>
      <c r="AY111" s="365">
        <f t="shared" si="83"/>
        <v>0</v>
      </c>
      <c r="AZ111" s="365">
        <f t="shared" si="84"/>
        <v>0</v>
      </c>
      <c r="BA111" s="365">
        <f t="shared" si="85"/>
        <v>7.74</v>
      </c>
      <c r="BB111" s="365">
        <f t="shared" si="52"/>
        <v>1</v>
      </c>
      <c r="BC111" s="365">
        <f t="shared" si="86"/>
        <v>0</v>
      </c>
      <c r="BD111" s="363"/>
    </row>
    <row r="112" ht="24" spans="1:56">
      <c r="A112" s="284" t="s">
        <v>195</v>
      </c>
      <c r="B112" s="284" t="s">
        <v>199</v>
      </c>
      <c r="C112" s="284" t="s">
        <v>321</v>
      </c>
      <c r="D112" s="284" t="s">
        <v>319</v>
      </c>
      <c r="E112" s="365">
        <f t="shared" si="49"/>
        <v>30.79</v>
      </c>
      <c r="F112" s="365">
        <f t="shared" si="50"/>
        <v>25.72</v>
      </c>
      <c r="G112" s="365">
        <v>17.28</v>
      </c>
      <c r="H112" s="365"/>
      <c r="I112" s="365">
        <v>8.44</v>
      </c>
      <c r="J112" s="365"/>
      <c r="K112" s="365"/>
      <c r="L112" s="365">
        <f t="shared" si="51"/>
        <v>5.07</v>
      </c>
      <c r="M112" s="365">
        <v>5.07</v>
      </c>
      <c r="N112" s="365"/>
      <c r="O112" s="365"/>
      <c r="P112" s="365"/>
      <c r="Q112" s="365"/>
      <c r="R112" s="365"/>
      <c r="S112" s="365"/>
      <c r="T112" s="365">
        <f t="shared" si="48"/>
        <v>14.5</v>
      </c>
      <c r="U112" s="365">
        <f t="shared" si="53"/>
        <v>1.29</v>
      </c>
      <c r="V112" s="365">
        <v>1.6</v>
      </c>
      <c r="W112" s="365"/>
      <c r="X112" s="365">
        <v>-0.31</v>
      </c>
      <c r="Y112" s="365"/>
      <c r="Z112" s="365"/>
      <c r="AA112" s="365">
        <f t="shared" si="71"/>
        <v>13.21</v>
      </c>
      <c r="AB112" s="365">
        <v>0.18</v>
      </c>
      <c r="AC112" s="365"/>
      <c r="AD112" s="365"/>
      <c r="AE112" s="365"/>
      <c r="AF112" s="365"/>
      <c r="AG112" s="365"/>
      <c r="AH112" s="365">
        <v>0</v>
      </c>
      <c r="AI112" s="365">
        <v>9.03</v>
      </c>
      <c r="AJ112" s="365">
        <v>4</v>
      </c>
      <c r="AK112" s="365">
        <v>0</v>
      </c>
      <c r="AL112" s="365">
        <f t="shared" si="47"/>
        <v>45.29</v>
      </c>
      <c r="AM112" s="365">
        <f t="shared" si="72"/>
        <v>27.01</v>
      </c>
      <c r="AN112" s="365">
        <f t="shared" si="73"/>
        <v>18.88</v>
      </c>
      <c r="AO112" s="365">
        <f t="shared" si="74"/>
        <v>0</v>
      </c>
      <c r="AP112" s="365">
        <f t="shared" si="75"/>
        <v>8.13</v>
      </c>
      <c r="AQ112" s="365">
        <f t="shared" si="76"/>
        <v>0</v>
      </c>
      <c r="AR112" s="365">
        <f t="shared" si="77"/>
        <v>0</v>
      </c>
      <c r="AS112" s="365">
        <f t="shared" si="61"/>
        <v>18.28</v>
      </c>
      <c r="AT112" s="365">
        <f t="shared" si="78"/>
        <v>5.25</v>
      </c>
      <c r="AU112" s="365">
        <f t="shared" si="79"/>
        <v>0</v>
      </c>
      <c r="AV112" s="365">
        <f t="shared" si="80"/>
        <v>0</v>
      </c>
      <c r="AW112" s="365">
        <f t="shared" si="81"/>
        <v>0</v>
      </c>
      <c r="AX112" s="365">
        <f t="shared" si="82"/>
        <v>0</v>
      </c>
      <c r="AY112" s="365">
        <f t="shared" si="83"/>
        <v>0</v>
      </c>
      <c r="AZ112" s="365">
        <f t="shared" si="84"/>
        <v>0</v>
      </c>
      <c r="BA112" s="365">
        <f t="shared" si="85"/>
        <v>9.03</v>
      </c>
      <c r="BB112" s="365">
        <f t="shared" si="52"/>
        <v>4</v>
      </c>
      <c r="BC112" s="365">
        <f t="shared" si="86"/>
        <v>0</v>
      </c>
      <c r="BD112" s="363"/>
    </row>
    <row r="113" ht="24" spans="1:56">
      <c r="A113" s="284" t="s">
        <v>195</v>
      </c>
      <c r="B113" s="284" t="s">
        <v>199</v>
      </c>
      <c r="C113" s="284" t="s">
        <v>322</v>
      </c>
      <c r="D113" s="284" t="s">
        <v>319</v>
      </c>
      <c r="E113" s="365">
        <f t="shared" si="49"/>
        <v>25.37</v>
      </c>
      <c r="F113" s="365">
        <f t="shared" si="50"/>
        <v>21.65</v>
      </c>
      <c r="G113" s="365">
        <v>15.44</v>
      </c>
      <c r="H113" s="365"/>
      <c r="I113" s="365">
        <v>6.21</v>
      </c>
      <c r="J113" s="365"/>
      <c r="K113" s="365"/>
      <c r="L113" s="365">
        <f t="shared" si="51"/>
        <v>3.72</v>
      </c>
      <c r="M113" s="365">
        <v>3.72</v>
      </c>
      <c r="N113" s="365"/>
      <c r="O113" s="365"/>
      <c r="P113" s="365"/>
      <c r="Q113" s="365"/>
      <c r="R113" s="365"/>
      <c r="S113" s="365"/>
      <c r="T113" s="365">
        <f t="shared" si="48"/>
        <v>11.51</v>
      </c>
      <c r="U113" s="365">
        <f t="shared" si="53"/>
        <v>2.12</v>
      </c>
      <c r="V113" s="365">
        <v>2.12</v>
      </c>
      <c r="W113" s="365"/>
      <c r="X113" s="365"/>
      <c r="Y113" s="365"/>
      <c r="Z113" s="365"/>
      <c r="AA113" s="365">
        <f t="shared" si="71"/>
        <v>9.39</v>
      </c>
      <c r="AB113" s="365"/>
      <c r="AC113" s="365"/>
      <c r="AD113" s="365"/>
      <c r="AE113" s="365"/>
      <c r="AF113" s="365"/>
      <c r="AG113" s="365">
        <v>0.45</v>
      </c>
      <c r="AH113" s="365">
        <v>0</v>
      </c>
      <c r="AI113" s="365">
        <v>5.94</v>
      </c>
      <c r="AJ113" s="365">
        <v>3</v>
      </c>
      <c r="AK113" s="365">
        <v>0</v>
      </c>
      <c r="AL113" s="365">
        <f t="shared" si="47"/>
        <v>36.88</v>
      </c>
      <c r="AM113" s="365">
        <f t="shared" si="72"/>
        <v>23.77</v>
      </c>
      <c r="AN113" s="365">
        <f t="shared" si="73"/>
        <v>17.56</v>
      </c>
      <c r="AO113" s="365">
        <f t="shared" si="74"/>
        <v>0</v>
      </c>
      <c r="AP113" s="365">
        <f t="shared" si="75"/>
        <v>6.21</v>
      </c>
      <c r="AQ113" s="365">
        <f t="shared" si="76"/>
        <v>0</v>
      </c>
      <c r="AR113" s="365">
        <f t="shared" si="77"/>
        <v>0</v>
      </c>
      <c r="AS113" s="365">
        <f t="shared" si="61"/>
        <v>13.11</v>
      </c>
      <c r="AT113" s="365">
        <f t="shared" si="78"/>
        <v>3.72</v>
      </c>
      <c r="AU113" s="365">
        <f t="shared" si="79"/>
        <v>0</v>
      </c>
      <c r="AV113" s="365">
        <f t="shared" si="80"/>
        <v>0</v>
      </c>
      <c r="AW113" s="365">
        <f t="shared" si="81"/>
        <v>0</v>
      </c>
      <c r="AX113" s="365">
        <f t="shared" si="82"/>
        <v>0</v>
      </c>
      <c r="AY113" s="365">
        <f t="shared" si="83"/>
        <v>0.45</v>
      </c>
      <c r="AZ113" s="365">
        <f t="shared" si="84"/>
        <v>0</v>
      </c>
      <c r="BA113" s="365">
        <f t="shared" si="85"/>
        <v>5.94</v>
      </c>
      <c r="BB113" s="365">
        <f t="shared" si="52"/>
        <v>3</v>
      </c>
      <c r="BC113" s="365">
        <f t="shared" si="86"/>
        <v>0</v>
      </c>
      <c r="BD113" s="363" t="s">
        <v>814</v>
      </c>
    </row>
    <row r="114" ht="24" spans="1:57">
      <c r="A114" s="284" t="s">
        <v>195</v>
      </c>
      <c r="B114" s="284" t="s">
        <v>196</v>
      </c>
      <c r="C114" s="284" t="s">
        <v>323</v>
      </c>
      <c r="D114" s="284" t="s">
        <v>324</v>
      </c>
      <c r="E114" s="365">
        <f t="shared" si="49"/>
        <v>0</v>
      </c>
      <c r="F114" s="365">
        <f t="shared" si="50"/>
        <v>0</v>
      </c>
      <c r="G114" s="365"/>
      <c r="H114" s="365"/>
      <c r="I114" s="365"/>
      <c r="J114" s="365"/>
      <c r="K114" s="365"/>
      <c r="L114" s="365">
        <f t="shared" si="51"/>
        <v>0</v>
      </c>
      <c r="M114" s="365"/>
      <c r="N114" s="365"/>
      <c r="O114" s="365"/>
      <c r="P114" s="365"/>
      <c r="Q114" s="365"/>
      <c r="R114" s="365"/>
      <c r="S114" s="365"/>
      <c r="T114" s="365">
        <f t="shared" si="48"/>
        <v>0</v>
      </c>
      <c r="U114" s="365">
        <f t="shared" si="53"/>
        <v>0</v>
      </c>
      <c r="V114" s="365"/>
      <c r="W114" s="365"/>
      <c r="X114" s="365"/>
      <c r="Y114" s="365"/>
      <c r="Z114" s="365"/>
      <c r="AA114" s="365">
        <f t="shared" si="71"/>
        <v>0</v>
      </c>
      <c r="AB114" s="365"/>
      <c r="AC114" s="365"/>
      <c r="AD114" s="365"/>
      <c r="AE114" s="365"/>
      <c r="AF114" s="365"/>
      <c r="AG114" s="365"/>
      <c r="AH114" s="365">
        <v>0</v>
      </c>
      <c r="AI114" s="365"/>
      <c r="AJ114" s="365"/>
      <c r="AK114" s="365"/>
      <c r="AL114" s="365">
        <f t="shared" si="47"/>
        <v>0</v>
      </c>
      <c r="AM114" s="365">
        <f t="shared" si="72"/>
        <v>0</v>
      </c>
      <c r="AN114" s="365">
        <f t="shared" si="73"/>
        <v>0</v>
      </c>
      <c r="AO114" s="365">
        <f t="shared" si="74"/>
        <v>0</v>
      </c>
      <c r="AP114" s="365">
        <f t="shared" si="75"/>
        <v>0</v>
      </c>
      <c r="AQ114" s="365">
        <f t="shared" si="76"/>
        <v>0</v>
      </c>
      <c r="AR114" s="365">
        <f t="shared" si="77"/>
        <v>0</v>
      </c>
      <c r="AS114" s="365">
        <f t="shared" si="61"/>
        <v>0</v>
      </c>
      <c r="AT114" s="365">
        <f t="shared" si="78"/>
        <v>0</v>
      </c>
      <c r="AU114" s="365">
        <f t="shared" si="79"/>
        <v>0</v>
      </c>
      <c r="AV114" s="365">
        <f t="shared" si="80"/>
        <v>0</v>
      </c>
      <c r="AW114" s="365">
        <f t="shared" si="81"/>
        <v>0</v>
      </c>
      <c r="AX114" s="365">
        <f t="shared" si="82"/>
        <v>0</v>
      </c>
      <c r="AY114" s="365">
        <f t="shared" si="83"/>
        <v>0</v>
      </c>
      <c r="AZ114" s="365">
        <f t="shared" si="84"/>
        <v>0</v>
      </c>
      <c r="BA114" s="365">
        <f t="shared" si="85"/>
        <v>0</v>
      </c>
      <c r="BB114" s="365">
        <f t="shared" si="52"/>
        <v>0</v>
      </c>
      <c r="BC114" s="365">
        <f t="shared" si="86"/>
        <v>0</v>
      </c>
      <c r="BD114" s="363"/>
      <c r="BE114">
        <v>29.9633</v>
      </c>
    </row>
    <row r="115" ht="24" spans="1:57">
      <c r="A115" s="284" t="s">
        <v>195</v>
      </c>
      <c r="B115" s="284" t="s">
        <v>199</v>
      </c>
      <c r="C115" s="284" t="s">
        <v>325</v>
      </c>
      <c r="D115" s="284" t="s">
        <v>326</v>
      </c>
      <c r="E115" s="365">
        <f t="shared" si="49"/>
        <v>63.07</v>
      </c>
      <c r="F115" s="365">
        <f t="shared" si="50"/>
        <v>26.69</v>
      </c>
      <c r="G115" s="365">
        <v>18.06</v>
      </c>
      <c r="H115" s="365">
        <v>1.32</v>
      </c>
      <c r="I115" s="365">
        <v>7.31</v>
      </c>
      <c r="J115" s="365"/>
      <c r="K115" s="365"/>
      <c r="L115" s="365">
        <f t="shared" si="51"/>
        <v>36.38</v>
      </c>
      <c r="M115" s="365">
        <v>4.38</v>
      </c>
      <c r="N115" s="365"/>
      <c r="O115" s="365"/>
      <c r="P115" s="365"/>
      <c r="Q115" s="365"/>
      <c r="R115" s="365"/>
      <c r="S115" s="365">
        <v>32</v>
      </c>
      <c r="T115" s="365">
        <f t="shared" si="48"/>
        <v>4.7051</v>
      </c>
      <c r="U115" s="365">
        <f t="shared" si="53"/>
        <v>14.45</v>
      </c>
      <c r="V115" s="365">
        <v>10.16</v>
      </c>
      <c r="W115" s="365">
        <v>0.83</v>
      </c>
      <c r="X115" s="365">
        <v>3.46</v>
      </c>
      <c r="Y115" s="365"/>
      <c r="Z115" s="365"/>
      <c r="AA115" s="365">
        <f t="shared" si="71"/>
        <v>-9.7449</v>
      </c>
      <c r="AB115" s="365">
        <v>2.08</v>
      </c>
      <c r="AC115" s="365"/>
      <c r="AD115" s="365"/>
      <c r="AE115" s="365"/>
      <c r="AF115" s="365"/>
      <c r="AG115" s="365">
        <v>0.3</v>
      </c>
      <c r="AH115" s="365">
        <v>-32</v>
      </c>
      <c r="AI115" s="365">
        <v>11.25</v>
      </c>
      <c r="AJ115" s="365">
        <v>6</v>
      </c>
      <c r="AK115" s="365">
        <v>2.6251</v>
      </c>
      <c r="AL115" s="365">
        <f t="shared" si="47"/>
        <v>67.7751</v>
      </c>
      <c r="AM115" s="365">
        <f t="shared" si="72"/>
        <v>41.14</v>
      </c>
      <c r="AN115" s="365">
        <f t="shared" si="73"/>
        <v>28.22</v>
      </c>
      <c r="AO115" s="365">
        <f t="shared" si="74"/>
        <v>2.15</v>
      </c>
      <c r="AP115" s="365">
        <f t="shared" si="75"/>
        <v>10.77</v>
      </c>
      <c r="AQ115" s="365">
        <f t="shared" si="76"/>
        <v>0</v>
      </c>
      <c r="AR115" s="365">
        <f t="shared" si="77"/>
        <v>0</v>
      </c>
      <c r="AS115" s="365">
        <f t="shared" si="61"/>
        <v>26.6351</v>
      </c>
      <c r="AT115" s="365">
        <f t="shared" si="78"/>
        <v>6.46</v>
      </c>
      <c r="AU115" s="365">
        <f t="shared" si="79"/>
        <v>0</v>
      </c>
      <c r="AV115" s="365">
        <f t="shared" si="80"/>
        <v>0</v>
      </c>
      <c r="AW115" s="365">
        <f t="shared" si="81"/>
        <v>0</v>
      </c>
      <c r="AX115" s="365">
        <f t="shared" si="82"/>
        <v>0</v>
      </c>
      <c r="AY115" s="365">
        <f t="shared" si="83"/>
        <v>0.3</v>
      </c>
      <c r="AZ115" s="365">
        <f t="shared" si="84"/>
        <v>0</v>
      </c>
      <c r="BA115" s="365">
        <f t="shared" si="85"/>
        <v>11.25</v>
      </c>
      <c r="BB115" s="365">
        <f t="shared" si="52"/>
        <v>6</v>
      </c>
      <c r="BC115" s="365">
        <f t="shared" si="86"/>
        <v>2.6251</v>
      </c>
      <c r="BD115" s="363" t="s">
        <v>792</v>
      </c>
      <c r="BE115">
        <v>2.6251</v>
      </c>
    </row>
    <row r="116" ht="24" spans="1:57">
      <c r="A116" s="284" t="s">
        <v>208</v>
      </c>
      <c r="B116" s="284" t="s">
        <v>196</v>
      </c>
      <c r="C116" s="284" t="s">
        <v>327</v>
      </c>
      <c r="D116" s="284" t="s">
        <v>328</v>
      </c>
      <c r="E116" s="365">
        <f t="shared" si="49"/>
        <v>0</v>
      </c>
      <c r="F116" s="365">
        <f t="shared" si="50"/>
        <v>0</v>
      </c>
      <c r="G116" s="365"/>
      <c r="H116" s="365"/>
      <c r="I116" s="365"/>
      <c r="J116" s="365"/>
      <c r="K116" s="365"/>
      <c r="L116" s="365">
        <f t="shared" si="51"/>
        <v>0</v>
      </c>
      <c r="M116" s="365"/>
      <c r="N116" s="365"/>
      <c r="O116" s="365"/>
      <c r="P116" s="365"/>
      <c r="Q116" s="365"/>
      <c r="R116" s="365"/>
      <c r="S116" s="365"/>
      <c r="T116" s="365">
        <f t="shared" si="48"/>
        <v>0</v>
      </c>
      <c r="U116" s="365">
        <f t="shared" si="53"/>
        <v>0</v>
      </c>
      <c r="V116" s="365"/>
      <c r="W116" s="365"/>
      <c r="X116" s="365"/>
      <c r="Y116" s="365"/>
      <c r="Z116" s="365"/>
      <c r="AA116" s="365">
        <f t="shared" si="71"/>
        <v>0</v>
      </c>
      <c r="AB116" s="365"/>
      <c r="AC116" s="365"/>
      <c r="AD116" s="365"/>
      <c r="AE116" s="365"/>
      <c r="AF116" s="365"/>
      <c r="AG116" s="365"/>
      <c r="AH116" s="365">
        <v>0</v>
      </c>
      <c r="AI116" s="365"/>
      <c r="AJ116" s="365"/>
      <c r="AK116" s="365"/>
      <c r="AL116" s="365">
        <f t="shared" si="47"/>
        <v>0</v>
      </c>
      <c r="AM116" s="365">
        <f t="shared" si="72"/>
        <v>0</v>
      </c>
      <c r="AN116" s="365">
        <f t="shared" si="73"/>
        <v>0</v>
      </c>
      <c r="AO116" s="365">
        <f t="shared" si="74"/>
        <v>0</v>
      </c>
      <c r="AP116" s="365">
        <f t="shared" si="75"/>
        <v>0</v>
      </c>
      <c r="AQ116" s="365">
        <f t="shared" si="76"/>
        <v>0</v>
      </c>
      <c r="AR116" s="365">
        <f t="shared" si="77"/>
        <v>0</v>
      </c>
      <c r="AS116" s="365">
        <f t="shared" si="61"/>
        <v>0</v>
      </c>
      <c r="AT116" s="365">
        <f t="shared" si="78"/>
        <v>0</v>
      </c>
      <c r="AU116" s="365">
        <f t="shared" si="79"/>
        <v>0</v>
      </c>
      <c r="AV116" s="365">
        <f t="shared" si="80"/>
        <v>0</v>
      </c>
      <c r="AW116" s="365">
        <f t="shared" si="81"/>
        <v>0</v>
      </c>
      <c r="AX116" s="365">
        <f t="shared" si="82"/>
        <v>0</v>
      </c>
      <c r="AY116" s="365">
        <f t="shared" si="83"/>
        <v>0</v>
      </c>
      <c r="AZ116" s="365">
        <f t="shared" si="84"/>
        <v>0</v>
      </c>
      <c r="BA116" s="365">
        <f t="shared" si="85"/>
        <v>0</v>
      </c>
      <c r="BB116" s="365">
        <f t="shared" si="52"/>
        <v>0</v>
      </c>
      <c r="BC116" s="365">
        <f t="shared" si="86"/>
        <v>0</v>
      </c>
      <c r="BD116" s="363"/>
      <c r="BE116">
        <v>28.3298</v>
      </c>
    </row>
    <row r="117" ht="24" spans="1:57">
      <c r="A117" s="284" t="s">
        <v>290</v>
      </c>
      <c r="B117" s="284" t="s">
        <v>196</v>
      </c>
      <c r="C117" s="284" t="s">
        <v>329</v>
      </c>
      <c r="D117" s="284" t="s">
        <v>328</v>
      </c>
      <c r="E117" s="365">
        <f t="shared" si="49"/>
        <v>0</v>
      </c>
      <c r="F117" s="365">
        <f t="shared" si="50"/>
        <v>0</v>
      </c>
      <c r="G117" s="365"/>
      <c r="H117" s="365"/>
      <c r="I117" s="365"/>
      <c r="J117" s="365"/>
      <c r="K117" s="365"/>
      <c r="L117" s="365">
        <f t="shared" si="51"/>
        <v>0</v>
      </c>
      <c r="M117" s="365"/>
      <c r="N117" s="365"/>
      <c r="O117" s="365"/>
      <c r="P117" s="365"/>
      <c r="Q117" s="365"/>
      <c r="R117" s="365"/>
      <c r="S117" s="365"/>
      <c r="T117" s="365">
        <f t="shared" si="48"/>
        <v>0</v>
      </c>
      <c r="U117" s="365">
        <f t="shared" si="53"/>
        <v>0</v>
      </c>
      <c r="V117" s="365"/>
      <c r="W117" s="365"/>
      <c r="X117" s="365"/>
      <c r="Y117" s="365"/>
      <c r="Z117" s="365"/>
      <c r="AA117" s="365">
        <f t="shared" si="71"/>
        <v>0</v>
      </c>
      <c r="AB117" s="365"/>
      <c r="AC117" s="365"/>
      <c r="AD117" s="365"/>
      <c r="AE117" s="365"/>
      <c r="AF117" s="365"/>
      <c r="AG117" s="365"/>
      <c r="AH117" s="365">
        <v>0</v>
      </c>
      <c r="AI117" s="365"/>
      <c r="AJ117" s="365"/>
      <c r="AK117" s="365"/>
      <c r="AL117" s="365">
        <f t="shared" si="47"/>
        <v>0</v>
      </c>
      <c r="AM117" s="365">
        <f t="shared" si="72"/>
        <v>0</v>
      </c>
      <c r="AN117" s="365">
        <f t="shared" si="73"/>
        <v>0</v>
      </c>
      <c r="AO117" s="365">
        <f t="shared" si="74"/>
        <v>0</v>
      </c>
      <c r="AP117" s="365">
        <f t="shared" si="75"/>
        <v>0</v>
      </c>
      <c r="AQ117" s="365">
        <f t="shared" si="76"/>
        <v>0</v>
      </c>
      <c r="AR117" s="365">
        <f t="shared" si="77"/>
        <v>0</v>
      </c>
      <c r="AS117" s="365">
        <f t="shared" si="61"/>
        <v>0</v>
      </c>
      <c r="AT117" s="365">
        <f t="shared" si="78"/>
        <v>0</v>
      </c>
      <c r="AU117" s="365">
        <f t="shared" si="79"/>
        <v>0</v>
      </c>
      <c r="AV117" s="365">
        <f t="shared" si="80"/>
        <v>0</v>
      </c>
      <c r="AW117" s="365">
        <f t="shared" si="81"/>
        <v>0</v>
      </c>
      <c r="AX117" s="365">
        <f t="shared" si="82"/>
        <v>0</v>
      </c>
      <c r="AY117" s="365">
        <f t="shared" si="83"/>
        <v>0</v>
      </c>
      <c r="AZ117" s="365">
        <f t="shared" si="84"/>
        <v>0</v>
      </c>
      <c r="BA117" s="365">
        <f t="shared" si="85"/>
        <v>0</v>
      </c>
      <c r="BB117" s="365">
        <f t="shared" si="52"/>
        <v>0</v>
      </c>
      <c r="BC117" s="365">
        <f t="shared" si="86"/>
        <v>0</v>
      </c>
      <c r="BD117" s="363"/>
      <c r="BE117">
        <v>7.6792</v>
      </c>
    </row>
    <row r="118" ht="24" spans="1:57">
      <c r="A118" s="284" t="s">
        <v>208</v>
      </c>
      <c r="B118" s="284" t="s">
        <v>196</v>
      </c>
      <c r="C118" s="284" t="s">
        <v>330</v>
      </c>
      <c r="D118" s="284" t="s">
        <v>328</v>
      </c>
      <c r="E118" s="365">
        <f t="shared" si="49"/>
        <v>0</v>
      </c>
      <c r="F118" s="365">
        <f t="shared" si="50"/>
        <v>0</v>
      </c>
      <c r="G118" s="365"/>
      <c r="H118" s="365"/>
      <c r="I118" s="365"/>
      <c r="J118" s="365"/>
      <c r="K118" s="365"/>
      <c r="L118" s="365">
        <f t="shared" si="51"/>
        <v>0</v>
      </c>
      <c r="M118" s="365"/>
      <c r="N118" s="365"/>
      <c r="O118" s="365"/>
      <c r="P118" s="365"/>
      <c r="Q118" s="365"/>
      <c r="R118" s="365"/>
      <c r="S118" s="365"/>
      <c r="T118" s="365">
        <f t="shared" si="48"/>
        <v>0</v>
      </c>
      <c r="U118" s="365">
        <f t="shared" si="53"/>
        <v>0</v>
      </c>
      <c r="V118" s="365"/>
      <c r="W118" s="365"/>
      <c r="X118" s="365"/>
      <c r="Y118" s="365"/>
      <c r="Z118" s="365"/>
      <c r="AA118" s="365">
        <f t="shared" si="71"/>
        <v>0</v>
      </c>
      <c r="AB118" s="365"/>
      <c r="AC118" s="365"/>
      <c r="AD118" s="365"/>
      <c r="AE118" s="365"/>
      <c r="AF118" s="365"/>
      <c r="AG118" s="365"/>
      <c r="AH118" s="365">
        <v>0</v>
      </c>
      <c r="AI118" s="365"/>
      <c r="AJ118" s="365"/>
      <c r="AK118" s="365"/>
      <c r="AL118" s="365">
        <f t="shared" si="47"/>
        <v>0</v>
      </c>
      <c r="AM118" s="365">
        <f t="shared" si="72"/>
        <v>0</v>
      </c>
      <c r="AN118" s="365">
        <f t="shared" si="73"/>
        <v>0</v>
      </c>
      <c r="AO118" s="365">
        <f t="shared" si="74"/>
        <v>0</v>
      </c>
      <c r="AP118" s="365">
        <f t="shared" si="75"/>
        <v>0</v>
      </c>
      <c r="AQ118" s="365">
        <f t="shared" si="76"/>
        <v>0</v>
      </c>
      <c r="AR118" s="365">
        <f t="shared" si="77"/>
        <v>0</v>
      </c>
      <c r="AS118" s="365">
        <f t="shared" si="61"/>
        <v>0</v>
      </c>
      <c r="AT118" s="365">
        <f t="shared" si="78"/>
        <v>0</v>
      </c>
      <c r="AU118" s="365">
        <f t="shared" si="79"/>
        <v>0</v>
      </c>
      <c r="AV118" s="365">
        <f t="shared" si="80"/>
        <v>0</v>
      </c>
      <c r="AW118" s="365">
        <f t="shared" si="81"/>
        <v>0</v>
      </c>
      <c r="AX118" s="365">
        <f t="shared" si="82"/>
        <v>0</v>
      </c>
      <c r="AY118" s="365">
        <f t="shared" si="83"/>
        <v>0</v>
      </c>
      <c r="AZ118" s="365">
        <f t="shared" si="84"/>
        <v>0</v>
      </c>
      <c r="BA118" s="365">
        <f t="shared" si="85"/>
        <v>0</v>
      </c>
      <c r="BB118" s="365">
        <f t="shared" si="52"/>
        <v>0</v>
      </c>
      <c r="BC118" s="365">
        <f t="shared" si="86"/>
        <v>0</v>
      </c>
      <c r="BD118" s="363"/>
      <c r="BE118">
        <v>6.8138</v>
      </c>
    </row>
    <row r="119" ht="24" spans="1:57">
      <c r="A119" s="284" t="s">
        <v>208</v>
      </c>
      <c r="B119" s="284" t="s">
        <v>199</v>
      </c>
      <c r="C119" s="284" t="s">
        <v>331</v>
      </c>
      <c r="D119" s="284" t="s">
        <v>332</v>
      </c>
      <c r="E119" s="365">
        <f t="shared" si="49"/>
        <v>144.32</v>
      </c>
      <c r="F119" s="365">
        <f t="shared" si="50"/>
        <v>73.91</v>
      </c>
      <c r="G119" s="365">
        <v>54.89</v>
      </c>
      <c r="H119" s="365"/>
      <c r="I119" s="365">
        <v>19.02</v>
      </c>
      <c r="J119" s="365"/>
      <c r="K119" s="365"/>
      <c r="L119" s="365">
        <f t="shared" si="51"/>
        <v>70.41</v>
      </c>
      <c r="M119" s="365">
        <v>11.41</v>
      </c>
      <c r="N119" s="365"/>
      <c r="O119" s="365"/>
      <c r="P119" s="365"/>
      <c r="Q119" s="365"/>
      <c r="R119" s="365"/>
      <c r="S119" s="365">
        <v>59</v>
      </c>
      <c r="T119" s="365">
        <f t="shared" si="48"/>
        <v>-20.47</v>
      </c>
      <c r="U119" s="365">
        <f t="shared" si="53"/>
        <v>7.57</v>
      </c>
      <c r="V119" s="365">
        <v>7.39</v>
      </c>
      <c r="W119" s="365"/>
      <c r="X119" s="365">
        <v>0.18</v>
      </c>
      <c r="Y119" s="365"/>
      <c r="Z119" s="365"/>
      <c r="AA119" s="365">
        <f t="shared" si="71"/>
        <v>-28.04</v>
      </c>
      <c r="AB119" s="365">
        <v>0.11</v>
      </c>
      <c r="AC119" s="365"/>
      <c r="AD119" s="365"/>
      <c r="AE119" s="365"/>
      <c r="AF119" s="365"/>
      <c r="AG119" s="365"/>
      <c r="AH119" s="365">
        <v>-59</v>
      </c>
      <c r="AI119" s="365">
        <v>14.85</v>
      </c>
      <c r="AJ119" s="365">
        <v>10</v>
      </c>
      <c r="AK119" s="365">
        <v>6</v>
      </c>
      <c r="AL119" s="365">
        <f t="shared" si="47"/>
        <v>123.85</v>
      </c>
      <c r="AM119" s="365">
        <f t="shared" si="72"/>
        <v>81.48</v>
      </c>
      <c r="AN119" s="365">
        <f t="shared" si="73"/>
        <v>62.28</v>
      </c>
      <c r="AO119" s="365">
        <f t="shared" si="74"/>
        <v>0</v>
      </c>
      <c r="AP119" s="365">
        <f t="shared" si="75"/>
        <v>19.2</v>
      </c>
      <c r="AQ119" s="365">
        <f t="shared" si="76"/>
        <v>0</v>
      </c>
      <c r="AR119" s="365">
        <f t="shared" si="77"/>
        <v>0</v>
      </c>
      <c r="AS119" s="365">
        <f t="shared" si="61"/>
        <v>42.37</v>
      </c>
      <c r="AT119" s="365">
        <f t="shared" si="78"/>
        <v>11.52</v>
      </c>
      <c r="AU119" s="365">
        <f t="shared" si="79"/>
        <v>0</v>
      </c>
      <c r="AV119" s="365">
        <f t="shared" si="80"/>
        <v>0</v>
      </c>
      <c r="AW119" s="365">
        <f t="shared" si="81"/>
        <v>0</v>
      </c>
      <c r="AX119" s="365">
        <f t="shared" si="82"/>
        <v>0</v>
      </c>
      <c r="AY119" s="365">
        <f t="shared" si="83"/>
        <v>0</v>
      </c>
      <c r="AZ119" s="365">
        <f t="shared" si="84"/>
        <v>0</v>
      </c>
      <c r="BA119" s="365">
        <f t="shared" si="85"/>
        <v>14.85</v>
      </c>
      <c r="BB119" s="365">
        <f t="shared" si="52"/>
        <v>10</v>
      </c>
      <c r="BC119" s="365">
        <f t="shared" si="86"/>
        <v>6</v>
      </c>
      <c r="BD119" s="363"/>
      <c r="BE119">
        <v>6</v>
      </c>
    </row>
    <row r="120" ht="24" spans="1:57">
      <c r="A120" s="284" t="s">
        <v>208</v>
      </c>
      <c r="B120" s="284" t="s">
        <v>199</v>
      </c>
      <c r="C120" s="284" t="s">
        <v>333</v>
      </c>
      <c r="D120" s="284" t="s">
        <v>332</v>
      </c>
      <c r="E120" s="365">
        <f t="shared" si="49"/>
        <v>122.58</v>
      </c>
      <c r="F120" s="365">
        <f t="shared" si="50"/>
        <v>63.56</v>
      </c>
      <c r="G120" s="365">
        <v>48.52</v>
      </c>
      <c r="H120" s="365"/>
      <c r="I120" s="365">
        <v>15.04</v>
      </c>
      <c r="J120" s="365"/>
      <c r="K120" s="365"/>
      <c r="L120" s="365">
        <f t="shared" si="51"/>
        <v>59.02</v>
      </c>
      <c r="M120" s="365">
        <v>9.02</v>
      </c>
      <c r="N120" s="365"/>
      <c r="O120" s="365"/>
      <c r="P120" s="365"/>
      <c r="Q120" s="365"/>
      <c r="R120" s="365"/>
      <c r="S120" s="365">
        <v>50</v>
      </c>
      <c r="T120" s="365">
        <f t="shared" si="48"/>
        <v>-26.84</v>
      </c>
      <c r="U120" s="365">
        <f t="shared" si="53"/>
        <v>-1.61</v>
      </c>
      <c r="V120" s="365">
        <v>-0.41</v>
      </c>
      <c r="W120" s="365"/>
      <c r="X120" s="365">
        <v>-1.2</v>
      </c>
      <c r="Y120" s="365"/>
      <c r="Z120" s="365"/>
      <c r="AA120" s="365">
        <f t="shared" si="71"/>
        <v>-25.23</v>
      </c>
      <c r="AB120" s="365">
        <v>-0.72</v>
      </c>
      <c r="AC120" s="365"/>
      <c r="AD120" s="365"/>
      <c r="AE120" s="365"/>
      <c r="AF120" s="365"/>
      <c r="AG120" s="365">
        <v>0.3</v>
      </c>
      <c r="AH120" s="365">
        <v>-50</v>
      </c>
      <c r="AI120" s="365">
        <v>11.19</v>
      </c>
      <c r="AJ120" s="365">
        <v>9</v>
      </c>
      <c r="AK120" s="365">
        <v>5</v>
      </c>
      <c r="AL120" s="365">
        <f t="shared" si="47"/>
        <v>95.74</v>
      </c>
      <c r="AM120" s="365">
        <f t="shared" si="72"/>
        <v>61.95</v>
      </c>
      <c r="AN120" s="365">
        <f t="shared" si="73"/>
        <v>48.11</v>
      </c>
      <c r="AO120" s="365">
        <f t="shared" si="74"/>
        <v>0</v>
      </c>
      <c r="AP120" s="365">
        <f t="shared" si="75"/>
        <v>13.84</v>
      </c>
      <c r="AQ120" s="365">
        <f t="shared" si="76"/>
        <v>0</v>
      </c>
      <c r="AR120" s="365">
        <f t="shared" si="77"/>
        <v>0</v>
      </c>
      <c r="AS120" s="365">
        <f t="shared" si="61"/>
        <v>33.79</v>
      </c>
      <c r="AT120" s="365">
        <f t="shared" si="78"/>
        <v>8.3</v>
      </c>
      <c r="AU120" s="365">
        <f t="shared" si="79"/>
        <v>0</v>
      </c>
      <c r="AV120" s="365">
        <f t="shared" si="80"/>
        <v>0</v>
      </c>
      <c r="AW120" s="365">
        <f t="shared" si="81"/>
        <v>0</v>
      </c>
      <c r="AX120" s="365">
        <f t="shared" si="82"/>
        <v>0</v>
      </c>
      <c r="AY120" s="365">
        <f t="shared" si="83"/>
        <v>0.3</v>
      </c>
      <c r="AZ120" s="365">
        <f t="shared" si="84"/>
        <v>0</v>
      </c>
      <c r="BA120" s="365">
        <f t="shared" si="85"/>
        <v>11.19</v>
      </c>
      <c r="BB120" s="365">
        <f t="shared" si="52"/>
        <v>9</v>
      </c>
      <c r="BC120" s="365">
        <f t="shared" si="86"/>
        <v>5</v>
      </c>
      <c r="BD120" s="363"/>
      <c r="BE120">
        <v>5</v>
      </c>
    </row>
    <row r="121" ht="24" spans="1:57">
      <c r="A121" s="284" t="s">
        <v>208</v>
      </c>
      <c r="B121" s="284" t="s">
        <v>199</v>
      </c>
      <c r="C121" s="284" t="s">
        <v>334</v>
      </c>
      <c r="D121" s="284" t="s">
        <v>332</v>
      </c>
      <c r="E121" s="365">
        <f t="shared" si="49"/>
        <v>30.97</v>
      </c>
      <c r="F121" s="365">
        <f t="shared" si="50"/>
        <v>13.41</v>
      </c>
      <c r="G121" s="365">
        <v>9.14</v>
      </c>
      <c r="H121" s="365"/>
      <c r="I121" s="365">
        <v>4.27</v>
      </c>
      <c r="J121" s="365"/>
      <c r="K121" s="365"/>
      <c r="L121" s="365">
        <f t="shared" si="51"/>
        <v>17.56</v>
      </c>
      <c r="M121" s="365">
        <v>2.56</v>
      </c>
      <c r="N121" s="365"/>
      <c r="O121" s="365"/>
      <c r="P121" s="365"/>
      <c r="Q121" s="365"/>
      <c r="R121" s="365"/>
      <c r="S121" s="365">
        <v>15</v>
      </c>
      <c r="T121" s="365">
        <f t="shared" si="48"/>
        <v>-5.76</v>
      </c>
      <c r="U121" s="365">
        <f t="shared" si="53"/>
        <v>1.35</v>
      </c>
      <c r="V121" s="365">
        <v>1.35</v>
      </c>
      <c r="W121" s="365"/>
      <c r="X121" s="365"/>
      <c r="Y121" s="365"/>
      <c r="Z121" s="365"/>
      <c r="AA121" s="365">
        <f t="shared" si="71"/>
        <v>-7.11</v>
      </c>
      <c r="AB121" s="365"/>
      <c r="AC121" s="365"/>
      <c r="AD121" s="365"/>
      <c r="AE121" s="365"/>
      <c r="AF121" s="365"/>
      <c r="AG121" s="365">
        <v>0.15</v>
      </c>
      <c r="AH121" s="365">
        <v>-15</v>
      </c>
      <c r="AI121" s="365">
        <v>3.24</v>
      </c>
      <c r="AJ121" s="365">
        <v>3</v>
      </c>
      <c r="AK121" s="365">
        <v>1.5</v>
      </c>
      <c r="AL121" s="365">
        <f t="shared" si="47"/>
        <v>25.21</v>
      </c>
      <c r="AM121" s="365">
        <f t="shared" si="72"/>
        <v>14.76</v>
      </c>
      <c r="AN121" s="365">
        <f t="shared" si="73"/>
        <v>10.49</v>
      </c>
      <c r="AO121" s="365">
        <f t="shared" si="74"/>
        <v>0</v>
      </c>
      <c r="AP121" s="365">
        <f t="shared" si="75"/>
        <v>4.27</v>
      </c>
      <c r="AQ121" s="365">
        <f t="shared" si="76"/>
        <v>0</v>
      </c>
      <c r="AR121" s="365">
        <f t="shared" si="77"/>
        <v>0</v>
      </c>
      <c r="AS121" s="365">
        <f t="shared" si="61"/>
        <v>10.45</v>
      </c>
      <c r="AT121" s="365">
        <f t="shared" si="78"/>
        <v>2.56</v>
      </c>
      <c r="AU121" s="365">
        <f t="shared" si="79"/>
        <v>0</v>
      </c>
      <c r="AV121" s="365">
        <f t="shared" si="80"/>
        <v>0</v>
      </c>
      <c r="AW121" s="365">
        <f t="shared" si="81"/>
        <v>0</v>
      </c>
      <c r="AX121" s="365">
        <f t="shared" si="82"/>
        <v>0</v>
      </c>
      <c r="AY121" s="365">
        <f t="shared" si="83"/>
        <v>0.15</v>
      </c>
      <c r="AZ121" s="365">
        <f t="shared" si="84"/>
        <v>0</v>
      </c>
      <c r="BA121" s="365">
        <f t="shared" si="85"/>
        <v>3.24</v>
      </c>
      <c r="BB121" s="365">
        <f t="shared" si="52"/>
        <v>3</v>
      </c>
      <c r="BC121" s="365">
        <f t="shared" si="86"/>
        <v>1.5</v>
      </c>
      <c r="BD121" s="363"/>
      <c r="BE121">
        <v>1.5</v>
      </c>
    </row>
    <row r="122" ht="24" spans="1:57">
      <c r="A122" s="284" t="s">
        <v>208</v>
      </c>
      <c r="B122" s="284" t="s">
        <v>199</v>
      </c>
      <c r="C122" s="284" t="s">
        <v>335</v>
      </c>
      <c r="D122" s="284" t="s">
        <v>332</v>
      </c>
      <c r="E122" s="365">
        <f t="shared" si="49"/>
        <v>77.83</v>
      </c>
      <c r="F122" s="365">
        <f t="shared" si="50"/>
        <v>36.5</v>
      </c>
      <c r="G122" s="365">
        <v>25.94</v>
      </c>
      <c r="H122" s="365"/>
      <c r="I122" s="365">
        <v>10.56</v>
      </c>
      <c r="J122" s="365"/>
      <c r="K122" s="365"/>
      <c r="L122" s="365">
        <f t="shared" si="51"/>
        <v>41.33</v>
      </c>
      <c r="M122" s="365">
        <v>6.33</v>
      </c>
      <c r="N122" s="365"/>
      <c r="O122" s="365"/>
      <c r="P122" s="365"/>
      <c r="Q122" s="365"/>
      <c r="R122" s="365"/>
      <c r="S122" s="365">
        <v>35</v>
      </c>
      <c r="T122" s="365">
        <f t="shared" si="48"/>
        <v>-13.28</v>
      </c>
      <c r="U122" s="365">
        <f t="shared" si="53"/>
        <v>3.68</v>
      </c>
      <c r="V122" s="365">
        <v>3.6</v>
      </c>
      <c r="W122" s="365"/>
      <c r="X122" s="365">
        <v>0.08</v>
      </c>
      <c r="Y122" s="365"/>
      <c r="Z122" s="365"/>
      <c r="AA122" s="365">
        <f t="shared" si="71"/>
        <v>-16.96</v>
      </c>
      <c r="AB122" s="365">
        <v>0.05</v>
      </c>
      <c r="AC122" s="365"/>
      <c r="AD122" s="365"/>
      <c r="AE122" s="365"/>
      <c r="AF122" s="365"/>
      <c r="AG122" s="365">
        <v>0.3</v>
      </c>
      <c r="AH122" s="365">
        <v>-35</v>
      </c>
      <c r="AI122" s="365">
        <v>8.19</v>
      </c>
      <c r="AJ122" s="365">
        <v>6</v>
      </c>
      <c r="AK122" s="365">
        <v>3.5</v>
      </c>
      <c r="AL122" s="365">
        <f t="shared" si="47"/>
        <v>64.55</v>
      </c>
      <c r="AM122" s="365">
        <f t="shared" si="72"/>
        <v>40.18</v>
      </c>
      <c r="AN122" s="365">
        <f t="shared" si="73"/>
        <v>29.54</v>
      </c>
      <c r="AO122" s="365">
        <f t="shared" si="74"/>
        <v>0</v>
      </c>
      <c r="AP122" s="365">
        <f t="shared" si="75"/>
        <v>10.64</v>
      </c>
      <c r="AQ122" s="365">
        <f t="shared" si="76"/>
        <v>0</v>
      </c>
      <c r="AR122" s="365">
        <f t="shared" si="77"/>
        <v>0</v>
      </c>
      <c r="AS122" s="365">
        <f t="shared" si="61"/>
        <v>24.37</v>
      </c>
      <c r="AT122" s="365">
        <f t="shared" si="78"/>
        <v>6.38</v>
      </c>
      <c r="AU122" s="365">
        <f t="shared" si="79"/>
        <v>0</v>
      </c>
      <c r="AV122" s="365">
        <f t="shared" si="80"/>
        <v>0</v>
      </c>
      <c r="AW122" s="365">
        <f t="shared" si="81"/>
        <v>0</v>
      </c>
      <c r="AX122" s="365">
        <f t="shared" si="82"/>
        <v>0</v>
      </c>
      <c r="AY122" s="365">
        <f t="shared" si="83"/>
        <v>0.3</v>
      </c>
      <c r="AZ122" s="365">
        <f t="shared" si="84"/>
        <v>0</v>
      </c>
      <c r="BA122" s="365">
        <f t="shared" si="85"/>
        <v>8.19</v>
      </c>
      <c r="BB122" s="365">
        <f t="shared" si="52"/>
        <v>6</v>
      </c>
      <c r="BC122" s="365">
        <f t="shared" si="86"/>
        <v>3.5</v>
      </c>
      <c r="BD122" s="363"/>
      <c r="BE122">
        <v>3.5</v>
      </c>
    </row>
    <row r="123" ht="24" spans="1:57">
      <c r="A123" s="284" t="s">
        <v>208</v>
      </c>
      <c r="B123" s="284" t="s">
        <v>199</v>
      </c>
      <c r="C123" s="284" t="s">
        <v>336</v>
      </c>
      <c r="D123" s="284" t="s">
        <v>332</v>
      </c>
      <c r="E123" s="365">
        <f t="shared" si="49"/>
        <v>29.93</v>
      </c>
      <c r="F123" s="365">
        <f t="shared" si="50"/>
        <v>12.55</v>
      </c>
      <c r="G123" s="365">
        <v>8.58</v>
      </c>
      <c r="H123" s="365"/>
      <c r="I123" s="365">
        <v>3.97</v>
      </c>
      <c r="J123" s="365"/>
      <c r="K123" s="365"/>
      <c r="L123" s="365">
        <f t="shared" si="51"/>
        <v>17.38</v>
      </c>
      <c r="M123" s="365">
        <v>2.38</v>
      </c>
      <c r="N123" s="365"/>
      <c r="O123" s="365"/>
      <c r="P123" s="365"/>
      <c r="Q123" s="365"/>
      <c r="R123" s="365"/>
      <c r="S123" s="365">
        <v>15</v>
      </c>
      <c r="T123" s="365">
        <f t="shared" si="48"/>
        <v>-0.56</v>
      </c>
      <c r="U123" s="365">
        <f t="shared" si="53"/>
        <v>5.76</v>
      </c>
      <c r="V123" s="365">
        <v>4.2</v>
      </c>
      <c r="W123" s="365"/>
      <c r="X123" s="365">
        <v>1.56</v>
      </c>
      <c r="Y123" s="365"/>
      <c r="Z123" s="365"/>
      <c r="AA123" s="365">
        <f t="shared" si="71"/>
        <v>-6.32</v>
      </c>
      <c r="AB123" s="365">
        <v>0.94</v>
      </c>
      <c r="AC123" s="365"/>
      <c r="AD123" s="365"/>
      <c r="AE123" s="365"/>
      <c r="AF123" s="365"/>
      <c r="AG123" s="365"/>
      <c r="AH123" s="365">
        <v>-15</v>
      </c>
      <c r="AI123" s="365">
        <v>3.24</v>
      </c>
      <c r="AJ123" s="365">
        <v>3</v>
      </c>
      <c r="AK123" s="365">
        <v>1.5</v>
      </c>
      <c r="AL123" s="365">
        <f t="shared" si="47"/>
        <v>29.37</v>
      </c>
      <c r="AM123" s="365">
        <f t="shared" si="72"/>
        <v>18.31</v>
      </c>
      <c r="AN123" s="365">
        <f t="shared" si="73"/>
        <v>12.78</v>
      </c>
      <c r="AO123" s="365">
        <f t="shared" si="74"/>
        <v>0</v>
      </c>
      <c r="AP123" s="365">
        <f t="shared" si="75"/>
        <v>5.53</v>
      </c>
      <c r="AQ123" s="365">
        <f t="shared" si="76"/>
        <v>0</v>
      </c>
      <c r="AR123" s="365">
        <f t="shared" si="77"/>
        <v>0</v>
      </c>
      <c r="AS123" s="365">
        <f t="shared" si="61"/>
        <v>11.06</v>
      </c>
      <c r="AT123" s="365">
        <f t="shared" si="78"/>
        <v>3.32</v>
      </c>
      <c r="AU123" s="365">
        <f t="shared" si="79"/>
        <v>0</v>
      </c>
      <c r="AV123" s="365">
        <f t="shared" si="80"/>
        <v>0</v>
      </c>
      <c r="AW123" s="365">
        <f t="shared" si="81"/>
        <v>0</v>
      </c>
      <c r="AX123" s="365">
        <f t="shared" si="82"/>
        <v>0</v>
      </c>
      <c r="AY123" s="365">
        <f t="shared" si="83"/>
        <v>0</v>
      </c>
      <c r="AZ123" s="365">
        <f t="shared" si="84"/>
        <v>0</v>
      </c>
      <c r="BA123" s="365">
        <f t="shared" si="85"/>
        <v>3.24</v>
      </c>
      <c r="BB123" s="365">
        <f t="shared" si="52"/>
        <v>3</v>
      </c>
      <c r="BC123" s="365">
        <f t="shared" si="86"/>
        <v>1.5</v>
      </c>
      <c r="BD123" s="363"/>
      <c r="BE123">
        <v>1.5</v>
      </c>
    </row>
    <row r="124" ht="24" spans="1:57">
      <c r="A124" s="284" t="s">
        <v>290</v>
      </c>
      <c r="B124" s="284" t="s">
        <v>199</v>
      </c>
      <c r="C124" s="284" t="s">
        <v>337</v>
      </c>
      <c r="D124" s="284" t="s">
        <v>332</v>
      </c>
      <c r="E124" s="365">
        <f t="shared" si="49"/>
        <v>79.61</v>
      </c>
      <c r="F124" s="365">
        <f t="shared" si="50"/>
        <v>32.56</v>
      </c>
      <c r="G124" s="365">
        <v>22.47</v>
      </c>
      <c r="H124" s="365"/>
      <c r="I124" s="365">
        <v>10.09</v>
      </c>
      <c r="J124" s="365"/>
      <c r="K124" s="365"/>
      <c r="L124" s="365">
        <f t="shared" si="51"/>
        <v>47.05</v>
      </c>
      <c r="M124" s="365">
        <v>6.05</v>
      </c>
      <c r="N124" s="365"/>
      <c r="O124" s="365"/>
      <c r="P124" s="365"/>
      <c r="Q124" s="365"/>
      <c r="R124" s="365"/>
      <c r="S124" s="366">
        <v>41</v>
      </c>
      <c r="T124" s="365">
        <f t="shared" si="48"/>
        <v>-25.1767</v>
      </c>
      <c r="U124" s="365">
        <f t="shared" si="53"/>
        <v>-0.8467</v>
      </c>
      <c r="V124" s="365">
        <v>-0.8467</v>
      </c>
      <c r="W124" s="365"/>
      <c r="X124" s="365"/>
      <c r="Y124" s="365"/>
      <c r="Z124" s="365"/>
      <c r="AA124" s="365">
        <f t="shared" si="71"/>
        <v>-24.33</v>
      </c>
      <c r="AB124" s="366">
        <v>-0.66</v>
      </c>
      <c r="AC124" s="366"/>
      <c r="AD124" s="366"/>
      <c r="AE124" s="366"/>
      <c r="AF124" s="366"/>
      <c r="AG124" s="366">
        <v>0.15</v>
      </c>
      <c r="AH124" s="365">
        <v>-41</v>
      </c>
      <c r="AI124" s="366">
        <v>7.68</v>
      </c>
      <c r="AJ124" s="366">
        <v>6</v>
      </c>
      <c r="AK124" s="365">
        <v>3.5</v>
      </c>
      <c r="AL124" s="365">
        <f t="shared" si="47"/>
        <v>54.4333</v>
      </c>
      <c r="AM124" s="365">
        <f t="shared" si="72"/>
        <v>31.7133</v>
      </c>
      <c r="AN124" s="365">
        <f t="shared" si="73"/>
        <v>21.6233</v>
      </c>
      <c r="AO124" s="365">
        <f t="shared" si="74"/>
        <v>0</v>
      </c>
      <c r="AP124" s="365">
        <f t="shared" si="75"/>
        <v>10.09</v>
      </c>
      <c r="AQ124" s="365">
        <f t="shared" si="76"/>
        <v>0</v>
      </c>
      <c r="AR124" s="365">
        <f t="shared" si="77"/>
        <v>0</v>
      </c>
      <c r="AS124" s="365">
        <f t="shared" si="61"/>
        <v>22.72</v>
      </c>
      <c r="AT124" s="365">
        <f t="shared" si="78"/>
        <v>5.39</v>
      </c>
      <c r="AU124" s="365">
        <f t="shared" si="79"/>
        <v>0</v>
      </c>
      <c r="AV124" s="365">
        <f t="shared" si="80"/>
        <v>0</v>
      </c>
      <c r="AW124" s="365">
        <f t="shared" si="81"/>
        <v>0</v>
      </c>
      <c r="AX124" s="365">
        <f t="shared" si="82"/>
        <v>0</v>
      </c>
      <c r="AY124" s="365">
        <f t="shared" si="83"/>
        <v>0.15</v>
      </c>
      <c r="AZ124" s="365">
        <f t="shared" si="84"/>
        <v>0</v>
      </c>
      <c r="BA124" s="365">
        <f t="shared" si="85"/>
        <v>7.68</v>
      </c>
      <c r="BB124" s="365">
        <f t="shared" si="52"/>
        <v>6</v>
      </c>
      <c r="BC124" s="365">
        <f t="shared" si="86"/>
        <v>3.5</v>
      </c>
      <c r="BD124" s="363"/>
      <c r="BE124">
        <v>3.5</v>
      </c>
    </row>
    <row r="125" ht="24" spans="1:57">
      <c r="A125" s="284" t="s">
        <v>290</v>
      </c>
      <c r="B125" s="284" t="s">
        <v>199</v>
      </c>
      <c r="C125" s="284" t="s">
        <v>338</v>
      </c>
      <c r="D125" s="284" t="s">
        <v>332</v>
      </c>
      <c r="E125" s="365">
        <f t="shared" si="49"/>
        <v>39.36</v>
      </c>
      <c r="F125" s="365">
        <f t="shared" si="50"/>
        <v>18.59</v>
      </c>
      <c r="G125" s="365">
        <v>13.97</v>
      </c>
      <c r="H125" s="365"/>
      <c r="I125" s="365">
        <v>4.62</v>
      </c>
      <c r="J125" s="365"/>
      <c r="K125" s="365"/>
      <c r="L125" s="365">
        <f t="shared" si="51"/>
        <v>20.77</v>
      </c>
      <c r="M125" s="365">
        <v>2.77</v>
      </c>
      <c r="N125" s="365"/>
      <c r="O125" s="365"/>
      <c r="P125" s="365"/>
      <c r="Q125" s="365"/>
      <c r="R125" s="365"/>
      <c r="S125" s="366">
        <v>18</v>
      </c>
      <c r="T125" s="365">
        <f t="shared" si="48"/>
        <v>-7.434</v>
      </c>
      <c r="U125" s="365">
        <f t="shared" si="53"/>
        <v>2.256</v>
      </c>
      <c r="V125" s="365">
        <v>2.256</v>
      </c>
      <c r="W125" s="365"/>
      <c r="X125" s="365"/>
      <c r="Y125" s="365"/>
      <c r="Z125" s="365"/>
      <c r="AA125" s="365">
        <f t="shared" si="71"/>
        <v>-9.69</v>
      </c>
      <c r="AB125" s="366"/>
      <c r="AC125" s="366"/>
      <c r="AD125" s="366"/>
      <c r="AE125" s="366"/>
      <c r="AF125" s="366"/>
      <c r="AG125" s="366">
        <v>0.15</v>
      </c>
      <c r="AH125" s="365">
        <v>-18</v>
      </c>
      <c r="AI125" s="366">
        <v>3.66</v>
      </c>
      <c r="AJ125" s="366">
        <v>3</v>
      </c>
      <c r="AK125" s="365">
        <v>1.5</v>
      </c>
      <c r="AL125" s="365">
        <f t="shared" si="47"/>
        <v>31.926</v>
      </c>
      <c r="AM125" s="365">
        <f t="shared" si="72"/>
        <v>20.846</v>
      </c>
      <c r="AN125" s="365">
        <f t="shared" si="73"/>
        <v>16.226</v>
      </c>
      <c r="AO125" s="365">
        <f t="shared" si="74"/>
        <v>0</v>
      </c>
      <c r="AP125" s="365">
        <f t="shared" si="75"/>
        <v>4.62</v>
      </c>
      <c r="AQ125" s="365">
        <f t="shared" si="76"/>
        <v>0</v>
      </c>
      <c r="AR125" s="365">
        <f t="shared" si="77"/>
        <v>0</v>
      </c>
      <c r="AS125" s="365">
        <f t="shared" si="61"/>
        <v>11.08</v>
      </c>
      <c r="AT125" s="365">
        <f t="shared" si="78"/>
        <v>2.77</v>
      </c>
      <c r="AU125" s="365">
        <f t="shared" si="79"/>
        <v>0</v>
      </c>
      <c r="AV125" s="365">
        <f t="shared" si="80"/>
        <v>0</v>
      </c>
      <c r="AW125" s="365">
        <f t="shared" si="81"/>
        <v>0</v>
      </c>
      <c r="AX125" s="365">
        <f t="shared" si="82"/>
        <v>0</v>
      </c>
      <c r="AY125" s="365">
        <f t="shared" si="83"/>
        <v>0.15</v>
      </c>
      <c r="AZ125" s="365">
        <f t="shared" si="84"/>
        <v>0</v>
      </c>
      <c r="BA125" s="365">
        <f t="shared" si="85"/>
        <v>3.66</v>
      </c>
      <c r="BB125" s="365">
        <f t="shared" si="52"/>
        <v>3</v>
      </c>
      <c r="BC125" s="365">
        <f t="shared" si="86"/>
        <v>1.5</v>
      </c>
      <c r="BD125" s="363" t="s">
        <v>815</v>
      </c>
      <c r="BE125">
        <v>1.5</v>
      </c>
    </row>
    <row r="126" ht="24" spans="1:57">
      <c r="A126" s="284" t="s">
        <v>208</v>
      </c>
      <c r="B126" s="284" t="s">
        <v>199</v>
      </c>
      <c r="C126" s="284" t="s">
        <v>339</v>
      </c>
      <c r="D126" s="284" t="s">
        <v>332</v>
      </c>
      <c r="E126" s="365">
        <f t="shared" si="49"/>
        <v>94.17</v>
      </c>
      <c r="F126" s="365">
        <f t="shared" si="50"/>
        <v>41.56</v>
      </c>
      <c r="G126" s="365">
        <v>28.87</v>
      </c>
      <c r="H126" s="365"/>
      <c r="I126" s="365">
        <v>12.69</v>
      </c>
      <c r="J126" s="365"/>
      <c r="K126" s="365"/>
      <c r="L126" s="365">
        <f t="shared" si="51"/>
        <v>52.61</v>
      </c>
      <c r="M126" s="365">
        <v>7.61</v>
      </c>
      <c r="N126" s="365"/>
      <c r="O126" s="365"/>
      <c r="P126" s="365"/>
      <c r="Q126" s="365"/>
      <c r="R126" s="365"/>
      <c r="S126" s="365">
        <v>45</v>
      </c>
      <c r="T126" s="365">
        <f t="shared" si="48"/>
        <v>-17.61</v>
      </c>
      <c r="U126" s="365">
        <f t="shared" si="53"/>
        <v>4.74</v>
      </c>
      <c r="V126" s="365">
        <v>4.47</v>
      </c>
      <c r="W126" s="365"/>
      <c r="X126" s="365">
        <v>0.27</v>
      </c>
      <c r="Y126" s="365"/>
      <c r="Z126" s="365"/>
      <c r="AA126" s="365">
        <f t="shared" si="71"/>
        <v>-22.35</v>
      </c>
      <c r="AB126" s="365">
        <v>0.16</v>
      </c>
      <c r="AC126" s="365"/>
      <c r="AD126" s="365"/>
      <c r="AE126" s="365"/>
      <c r="AF126" s="365"/>
      <c r="AG126" s="365">
        <v>0.15</v>
      </c>
      <c r="AH126" s="365">
        <v>-45</v>
      </c>
      <c r="AI126" s="365">
        <v>9.84</v>
      </c>
      <c r="AJ126" s="365">
        <v>8</v>
      </c>
      <c r="AK126" s="365">
        <v>4.5</v>
      </c>
      <c r="AL126" s="365">
        <f t="shared" si="47"/>
        <v>76.56</v>
      </c>
      <c r="AM126" s="365">
        <f t="shared" si="72"/>
        <v>46.3</v>
      </c>
      <c r="AN126" s="365">
        <f t="shared" si="73"/>
        <v>33.34</v>
      </c>
      <c r="AO126" s="365">
        <f t="shared" si="74"/>
        <v>0</v>
      </c>
      <c r="AP126" s="365">
        <f t="shared" si="75"/>
        <v>12.96</v>
      </c>
      <c r="AQ126" s="365">
        <f t="shared" si="76"/>
        <v>0</v>
      </c>
      <c r="AR126" s="365">
        <f t="shared" si="77"/>
        <v>0</v>
      </c>
      <c r="AS126" s="365">
        <f t="shared" si="61"/>
        <v>30.26</v>
      </c>
      <c r="AT126" s="365">
        <f t="shared" si="78"/>
        <v>7.77</v>
      </c>
      <c r="AU126" s="365">
        <f t="shared" si="79"/>
        <v>0</v>
      </c>
      <c r="AV126" s="365">
        <f t="shared" si="80"/>
        <v>0</v>
      </c>
      <c r="AW126" s="365">
        <f t="shared" si="81"/>
        <v>0</v>
      </c>
      <c r="AX126" s="365">
        <f t="shared" si="82"/>
        <v>0</v>
      </c>
      <c r="AY126" s="365">
        <f t="shared" si="83"/>
        <v>0.15</v>
      </c>
      <c r="AZ126" s="365">
        <f t="shared" si="84"/>
        <v>0</v>
      </c>
      <c r="BA126" s="365">
        <f t="shared" si="85"/>
        <v>9.84</v>
      </c>
      <c r="BB126" s="365">
        <f t="shared" si="52"/>
        <v>8</v>
      </c>
      <c r="BC126" s="365">
        <f t="shared" si="86"/>
        <v>4.5</v>
      </c>
      <c r="BD126" s="363"/>
      <c r="BE126">
        <v>4.5</v>
      </c>
    </row>
    <row r="127" ht="24" spans="1:57">
      <c r="A127" s="284" t="s">
        <v>208</v>
      </c>
      <c r="B127" s="284" t="s">
        <v>199</v>
      </c>
      <c r="C127" s="284" t="s">
        <v>340</v>
      </c>
      <c r="D127" s="284" t="s">
        <v>332</v>
      </c>
      <c r="E127" s="365">
        <f t="shared" si="49"/>
        <v>40.17</v>
      </c>
      <c r="F127" s="365">
        <f t="shared" si="50"/>
        <v>16.96</v>
      </c>
      <c r="G127" s="365">
        <v>11.61</v>
      </c>
      <c r="H127" s="365"/>
      <c r="I127" s="365">
        <v>5.35</v>
      </c>
      <c r="J127" s="365"/>
      <c r="K127" s="365"/>
      <c r="L127" s="365">
        <f t="shared" si="51"/>
        <v>23.21</v>
      </c>
      <c r="M127" s="365">
        <v>3.21</v>
      </c>
      <c r="N127" s="365"/>
      <c r="O127" s="365"/>
      <c r="P127" s="365"/>
      <c r="Q127" s="365"/>
      <c r="R127" s="365"/>
      <c r="S127" s="365">
        <v>20</v>
      </c>
      <c r="T127" s="365">
        <f t="shared" si="48"/>
        <v>-7.85</v>
      </c>
      <c r="U127" s="365">
        <f t="shared" si="53"/>
        <v>1.8</v>
      </c>
      <c r="V127" s="365">
        <v>1.74</v>
      </c>
      <c r="W127" s="365"/>
      <c r="X127" s="365">
        <v>0.06</v>
      </c>
      <c r="Y127" s="365"/>
      <c r="Z127" s="365"/>
      <c r="AA127" s="365">
        <f t="shared" si="71"/>
        <v>-9.65</v>
      </c>
      <c r="AB127" s="365">
        <v>0.03</v>
      </c>
      <c r="AC127" s="365"/>
      <c r="AD127" s="365"/>
      <c r="AE127" s="365"/>
      <c r="AF127" s="365"/>
      <c r="AG127" s="365"/>
      <c r="AH127" s="365">
        <v>-20</v>
      </c>
      <c r="AI127" s="365">
        <v>4.32</v>
      </c>
      <c r="AJ127" s="365">
        <v>4</v>
      </c>
      <c r="AK127" s="365">
        <v>2</v>
      </c>
      <c r="AL127" s="365">
        <f t="shared" si="47"/>
        <v>32.32</v>
      </c>
      <c r="AM127" s="365">
        <f t="shared" si="72"/>
        <v>18.76</v>
      </c>
      <c r="AN127" s="365">
        <f t="shared" si="73"/>
        <v>13.35</v>
      </c>
      <c r="AO127" s="365">
        <f t="shared" si="74"/>
        <v>0</v>
      </c>
      <c r="AP127" s="365">
        <f t="shared" si="75"/>
        <v>5.41</v>
      </c>
      <c r="AQ127" s="365">
        <f t="shared" si="76"/>
        <v>0</v>
      </c>
      <c r="AR127" s="365">
        <f t="shared" si="77"/>
        <v>0</v>
      </c>
      <c r="AS127" s="365">
        <f t="shared" si="61"/>
        <v>13.56</v>
      </c>
      <c r="AT127" s="365">
        <f t="shared" si="78"/>
        <v>3.24</v>
      </c>
      <c r="AU127" s="365">
        <f t="shared" si="79"/>
        <v>0</v>
      </c>
      <c r="AV127" s="365">
        <f t="shared" si="80"/>
        <v>0</v>
      </c>
      <c r="AW127" s="365">
        <f t="shared" si="81"/>
        <v>0</v>
      </c>
      <c r="AX127" s="365">
        <f t="shared" si="82"/>
        <v>0</v>
      </c>
      <c r="AY127" s="365">
        <f t="shared" si="83"/>
        <v>0</v>
      </c>
      <c r="AZ127" s="365">
        <f t="shared" si="84"/>
        <v>0</v>
      </c>
      <c r="BA127" s="365">
        <f t="shared" si="85"/>
        <v>4.32</v>
      </c>
      <c r="BB127" s="365">
        <f t="shared" si="52"/>
        <v>4</v>
      </c>
      <c r="BC127" s="365">
        <f t="shared" si="86"/>
        <v>2</v>
      </c>
      <c r="BD127" s="363"/>
      <c r="BE127">
        <v>2</v>
      </c>
    </row>
    <row r="128" ht="24" spans="1:57">
      <c r="A128" s="284" t="s">
        <v>208</v>
      </c>
      <c r="B128" s="284" t="s">
        <v>199</v>
      </c>
      <c r="C128" s="284" t="s">
        <v>341</v>
      </c>
      <c r="D128" s="284" t="s">
        <v>332</v>
      </c>
      <c r="E128" s="365">
        <f t="shared" si="49"/>
        <v>63.17</v>
      </c>
      <c r="F128" s="365">
        <f t="shared" si="50"/>
        <v>28.3</v>
      </c>
      <c r="G128" s="365">
        <v>20.19</v>
      </c>
      <c r="H128" s="365"/>
      <c r="I128" s="365">
        <v>8.11</v>
      </c>
      <c r="J128" s="365"/>
      <c r="K128" s="365"/>
      <c r="L128" s="365">
        <f t="shared" si="51"/>
        <v>34.87</v>
      </c>
      <c r="M128" s="365">
        <v>4.87</v>
      </c>
      <c r="N128" s="365"/>
      <c r="O128" s="365"/>
      <c r="P128" s="365"/>
      <c r="Q128" s="365"/>
      <c r="R128" s="365"/>
      <c r="S128" s="365">
        <v>30</v>
      </c>
      <c r="T128" s="365">
        <f t="shared" si="48"/>
        <v>-11.45</v>
      </c>
      <c r="U128" s="365">
        <f t="shared" si="53"/>
        <v>3.39</v>
      </c>
      <c r="V128" s="365">
        <v>3.31</v>
      </c>
      <c r="W128" s="365"/>
      <c r="X128" s="365">
        <v>0.08</v>
      </c>
      <c r="Y128" s="365"/>
      <c r="Z128" s="365"/>
      <c r="AA128" s="365">
        <f t="shared" si="71"/>
        <v>-14.84</v>
      </c>
      <c r="AB128" s="365">
        <v>0.17</v>
      </c>
      <c r="AC128" s="365"/>
      <c r="AD128" s="365"/>
      <c r="AE128" s="365"/>
      <c r="AF128" s="365"/>
      <c r="AG128" s="365">
        <v>0.3</v>
      </c>
      <c r="AH128" s="365">
        <v>-30</v>
      </c>
      <c r="AI128" s="365">
        <v>6.69</v>
      </c>
      <c r="AJ128" s="365">
        <v>5</v>
      </c>
      <c r="AK128" s="365">
        <v>3</v>
      </c>
      <c r="AL128" s="365">
        <f t="shared" si="47"/>
        <v>51.72</v>
      </c>
      <c r="AM128" s="365">
        <f t="shared" si="72"/>
        <v>31.69</v>
      </c>
      <c r="AN128" s="365">
        <f t="shared" si="73"/>
        <v>23.5</v>
      </c>
      <c r="AO128" s="365">
        <f t="shared" si="74"/>
        <v>0</v>
      </c>
      <c r="AP128" s="365">
        <f t="shared" si="75"/>
        <v>8.19</v>
      </c>
      <c r="AQ128" s="365">
        <f t="shared" si="76"/>
        <v>0</v>
      </c>
      <c r="AR128" s="365">
        <f t="shared" si="77"/>
        <v>0</v>
      </c>
      <c r="AS128" s="365">
        <f t="shared" si="61"/>
        <v>20.03</v>
      </c>
      <c r="AT128" s="365">
        <f t="shared" si="78"/>
        <v>5.04</v>
      </c>
      <c r="AU128" s="365">
        <f t="shared" si="79"/>
        <v>0</v>
      </c>
      <c r="AV128" s="365">
        <f t="shared" si="80"/>
        <v>0</v>
      </c>
      <c r="AW128" s="365">
        <f t="shared" si="81"/>
        <v>0</v>
      </c>
      <c r="AX128" s="365">
        <f t="shared" si="82"/>
        <v>0</v>
      </c>
      <c r="AY128" s="365">
        <f t="shared" si="83"/>
        <v>0.3</v>
      </c>
      <c r="AZ128" s="365">
        <f t="shared" si="84"/>
        <v>0</v>
      </c>
      <c r="BA128" s="365">
        <f t="shared" si="85"/>
        <v>6.69</v>
      </c>
      <c r="BB128" s="365">
        <f t="shared" si="52"/>
        <v>5</v>
      </c>
      <c r="BC128" s="365">
        <f t="shared" si="86"/>
        <v>3</v>
      </c>
      <c r="BD128" s="363"/>
      <c r="BE128">
        <v>3</v>
      </c>
    </row>
    <row r="129" ht="36" spans="1:57">
      <c r="A129" s="284" t="s">
        <v>290</v>
      </c>
      <c r="B129" s="284" t="s">
        <v>196</v>
      </c>
      <c r="C129" s="284" t="s">
        <v>342</v>
      </c>
      <c r="D129" s="284" t="s">
        <v>343</v>
      </c>
      <c r="E129" s="365">
        <f t="shared" si="49"/>
        <v>0</v>
      </c>
      <c r="F129" s="365">
        <f t="shared" si="50"/>
        <v>0</v>
      </c>
      <c r="G129" s="365"/>
      <c r="H129" s="365"/>
      <c r="I129" s="365"/>
      <c r="J129" s="365"/>
      <c r="K129" s="365"/>
      <c r="L129" s="365">
        <f t="shared" si="51"/>
        <v>0</v>
      </c>
      <c r="M129" s="365"/>
      <c r="N129" s="365"/>
      <c r="O129" s="365"/>
      <c r="P129" s="365"/>
      <c r="Q129" s="365"/>
      <c r="R129" s="365"/>
      <c r="S129" s="365"/>
      <c r="T129" s="365">
        <f t="shared" si="48"/>
        <v>1.32</v>
      </c>
      <c r="U129" s="365">
        <f t="shared" si="53"/>
        <v>0</v>
      </c>
      <c r="V129" s="365"/>
      <c r="W129" s="365"/>
      <c r="X129" s="365"/>
      <c r="Y129" s="365"/>
      <c r="Z129" s="365"/>
      <c r="AA129" s="365">
        <f t="shared" si="71"/>
        <v>1.32</v>
      </c>
      <c r="AB129" s="365">
        <v>1.32</v>
      </c>
      <c r="AC129" s="365"/>
      <c r="AD129" s="365"/>
      <c r="AE129" s="365"/>
      <c r="AF129" s="365"/>
      <c r="AG129" s="365"/>
      <c r="AH129" s="365">
        <v>0</v>
      </c>
      <c r="AI129" s="365"/>
      <c r="AJ129" s="365"/>
      <c r="AK129" s="365"/>
      <c r="AL129" s="365">
        <f t="shared" si="47"/>
        <v>1.32</v>
      </c>
      <c r="AM129" s="365">
        <f t="shared" si="72"/>
        <v>0</v>
      </c>
      <c r="AN129" s="365">
        <f t="shared" si="73"/>
        <v>0</v>
      </c>
      <c r="AO129" s="365">
        <f t="shared" si="74"/>
        <v>0</v>
      </c>
      <c r="AP129" s="365">
        <f t="shared" si="75"/>
        <v>0</v>
      </c>
      <c r="AQ129" s="365">
        <f t="shared" si="76"/>
        <v>0</v>
      </c>
      <c r="AR129" s="365">
        <f t="shared" si="77"/>
        <v>0</v>
      </c>
      <c r="AS129" s="365">
        <f t="shared" si="61"/>
        <v>1.32</v>
      </c>
      <c r="AT129" s="365">
        <f t="shared" si="78"/>
        <v>1.32</v>
      </c>
      <c r="AU129" s="365">
        <f t="shared" si="79"/>
        <v>0</v>
      </c>
      <c r="AV129" s="365">
        <f t="shared" si="80"/>
        <v>0</v>
      </c>
      <c r="AW129" s="365">
        <f t="shared" si="81"/>
        <v>0</v>
      </c>
      <c r="AX129" s="365">
        <f t="shared" si="82"/>
        <v>0</v>
      </c>
      <c r="AY129" s="365">
        <f t="shared" si="83"/>
        <v>0</v>
      </c>
      <c r="AZ129" s="365">
        <f t="shared" si="84"/>
        <v>0</v>
      </c>
      <c r="BA129" s="365">
        <f t="shared" si="85"/>
        <v>0</v>
      </c>
      <c r="BB129" s="365">
        <f t="shared" si="52"/>
        <v>0</v>
      </c>
      <c r="BC129" s="365">
        <f t="shared" si="86"/>
        <v>0</v>
      </c>
      <c r="BD129" s="363"/>
      <c r="BE129">
        <v>3.7676</v>
      </c>
    </row>
    <row r="130" ht="36" spans="1:57">
      <c r="A130" s="284" t="s">
        <v>290</v>
      </c>
      <c r="B130" s="284" t="s">
        <v>199</v>
      </c>
      <c r="C130" s="284" t="s">
        <v>775</v>
      </c>
      <c r="D130" s="284" t="s">
        <v>343</v>
      </c>
      <c r="E130" s="365">
        <f t="shared" si="49"/>
        <v>74.97</v>
      </c>
      <c r="F130" s="365">
        <f t="shared" si="50"/>
        <v>28.41</v>
      </c>
      <c r="G130" s="365">
        <v>18.5</v>
      </c>
      <c r="H130" s="365">
        <v>8.47</v>
      </c>
      <c r="I130" s="365"/>
      <c r="J130" s="365">
        <v>1.44</v>
      </c>
      <c r="K130" s="365"/>
      <c r="L130" s="365">
        <f t="shared" si="51"/>
        <v>46.56</v>
      </c>
      <c r="M130" s="365">
        <v>5.56</v>
      </c>
      <c r="N130" s="365"/>
      <c r="O130" s="365"/>
      <c r="P130" s="365"/>
      <c r="Q130" s="365"/>
      <c r="R130" s="365"/>
      <c r="S130" s="366">
        <v>41</v>
      </c>
      <c r="T130" s="365">
        <f t="shared" si="48"/>
        <v>-24.71</v>
      </c>
      <c r="U130" s="365">
        <f t="shared" si="53"/>
        <v>-1.75</v>
      </c>
      <c r="V130" s="365">
        <v>-1.75</v>
      </c>
      <c r="W130" s="365"/>
      <c r="X130" s="365"/>
      <c r="Y130" s="365"/>
      <c r="Z130" s="365"/>
      <c r="AA130" s="365">
        <f t="shared" si="71"/>
        <v>-22.96</v>
      </c>
      <c r="AB130" s="366">
        <v>0.84</v>
      </c>
      <c r="AC130" s="366"/>
      <c r="AD130" s="366"/>
      <c r="AE130" s="366"/>
      <c r="AF130" s="366"/>
      <c r="AG130" s="366">
        <v>0.3</v>
      </c>
      <c r="AH130" s="365">
        <v>-41</v>
      </c>
      <c r="AI130" s="366">
        <v>6.9</v>
      </c>
      <c r="AJ130" s="366">
        <v>7</v>
      </c>
      <c r="AK130" s="365">
        <v>3</v>
      </c>
      <c r="AL130" s="365">
        <f t="shared" si="47"/>
        <v>50.26</v>
      </c>
      <c r="AM130" s="365">
        <f t="shared" si="72"/>
        <v>26.66</v>
      </c>
      <c r="AN130" s="365">
        <f t="shared" si="73"/>
        <v>16.75</v>
      </c>
      <c r="AO130" s="365">
        <f t="shared" si="74"/>
        <v>8.47</v>
      </c>
      <c r="AP130" s="365">
        <f t="shared" si="75"/>
        <v>0</v>
      </c>
      <c r="AQ130" s="365">
        <f t="shared" si="76"/>
        <v>1.44</v>
      </c>
      <c r="AR130" s="365">
        <f t="shared" si="77"/>
        <v>0</v>
      </c>
      <c r="AS130" s="365">
        <f t="shared" si="61"/>
        <v>23.6</v>
      </c>
      <c r="AT130" s="365">
        <f t="shared" si="78"/>
        <v>6.4</v>
      </c>
      <c r="AU130" s="365">
        <f t="shared" si="79"/>
        <v>0</v>
      </c>
      <c r="AV130" s="365">
        <f t="shared" si="80"/>
        <v>0</v>
      </c>
      <c r="AW130" s="365">
        <f t="shared" si="81"/>
        <v>0</v>
      </c>
      <c r="AX130" s="365">
        <f t="shared" si="82"/>
        <v>0</v>
      </c>
      <c r="AY130" s="365">
        <f t="shared" si="83"/>
        <v>0.3</v>
      </c>
      <c r="AZ130" s="365">
        <f t="shared" si="84"/>
        <v>0</v>
      </c>
      <c r="BA130" s="365">
        <f t="shared" si="85"/>
        <v>6.9</v>
      </c>
      <c r="BB130" s="365">
        <f t="shared" si="52"/>
        <v>7</v>
      </c>
      <c r="BC130" s="365">
        <f t="shared" si="86"/>
        <v>3</v>
      </c>
      <c r="BD130" s="363" t="s">
        <v>815</v>
      </c>
      <c r="BE130">
        <v>3</v>
      </c>
    </row>
    <row r="131" ht="36" spans="1:57">
      <c r="A131" s="284" t="s">
        <v>290</v>
      </c>
      <c r="B131" s="284" t="s">
        <v>199</v>
      </c>
      <c r="C131" s="284" t="s">
        <v>345</v>
      </c>
      <c r="D131" s="284" t="s">
        <v>343</v>
      </c>
      <c r="E131" s="365">
        <f t="shared" si="49"/>
        <v>45.99</v>
      </c>
      <c r="F131" s="365">
        <f t="shared" si="50"/>
        <v>19.66</v>
      </c>
      <c r="G131" s="365">
        <v>12.89</v>
      </c>
      <c r="H131" s="365">
        <v>5.55</v>
      </c>
      <c r="I131" s="365"/>
      <c r="J131" s="365">
        <v>0.96</v>
      </c>
      <c r="K131" s="365">
        <v>0.26</v>
      </c>
      <c r="L131" s="365">
        <f t="shared" si="51"/>
        <v>26.33</v>
      </c>
      <c r="M131" s="365">
        <v>3.33</v>
      </c>
      <c r="N131" s="365"/>
      <c r="O131" s="365"/>
      <c r="P131" s="365"/>
      <c r="Q131" s="365"/>
      <c r="R131" s="365"/>
      <c r="S131" s="366">
        <v>23</v>
      </c>
      <c r="T131" s="365">
        <f t="shared" si="48"/>
        <v>-11.56</v>
      </c>
      <c r="U131" s="365">
        <f t="shared" si="53"/>
        <v>1.57</v>
      </c>
      <c r="V131" s="365">
        <v>1.57</v>
      </c>
      <c r="W131" s="365"/>
      <c r="X131" s="365"/>
      <c r="Y131" s="365"/>
      <c r="Z131" s="365"/>
      <c r="AA131" s="365">
        <f t="shared" si="71"/>
        <v>-13.13</v>
      </c>
      <c r="AB131" s="366">
        <v>0.13</v>
      </c>
      <c r="AC131" s="366"/>
      <c r="AD131" s="366"/>
      <c r="AE131" s="366"/>
      <c r="AF131" s="366"/>
      <c r="AG131" s="366"/>
      <c r="AH131" s="365">
        <v>-23</v>
      </c>
      <c r="AI131" s="366">
        <v>4.74</v>
      </c>
      <c r="AJ131" s="366">
        <v>3</v>
      </c>
      <c r="AK131" s="365">
        <v>2</v>
      </c>
      <c r="AL131" s="365">
        <f t="shared" si="47"/>
        <v>34.43</v>
      </c>
      <c r="AM131" s="365">
        <f t="shared" si="72"/>
        <v>21.23</v>
      </c>
      <c r="AN131" s="365">
        <f t="shared" si="73"/>
        <v>14.46</v>
      </c>
      <c r="AO131" s="365">
        <f t="shared" si="74"/>
        <v>5.55</v>
      </c>
      <c r="AP131" s="365">
        <f t="shared" si="75"/>
        <v>0</v>
      </c>
      <c r="AQ131" s="365">
        <f t="shared" si="76"/>
        <v>0.96</v>
      </c>
      <c r="AR131" s="365">
        <f t="shared" si="77"/>
        <v>0.26</v>
      </c>
      <c r="AS131" s="365">
        <f t="shared" si="61"/>
        <v>13.2</v>
      </c>
      <c r="AT131" s="365">
        <f t="shared" si="78"/>
        <v>3.46</v>
      </c>
      <c r="AU131" s="365">
        <f t="shared" si="79"/>
        <v>0</v>
      </c>
      <c r="AV131" s="365">
        <f t="shared" si="80"/>
        <v>0</v>
      </c>
      <c r="AW131" s="365">
        <f t="shared" si="81"/>
        <v>0</v>
      </c>
      <c r="AX131" s="365">
        <f t="shared" si="82"/>
        <v>0</v>
      </c>
      <c r="AY131" s="365">
        <f t="shared" si="83"/>
        <v>0</v>
      </c>
      <c r="AZ131" s="365">
        <f t="shared" si="84"/>
        <v>0</v>
      </c>
      <c r="BA131" s="365">
        <f t="shared" si="85"/>
        <v>4.74</v>
      </c>
      <c r="BB131" s="365">
        <f t="shared" si="52"/>
        <v>3</v>
      </c>
      <c r="BC131" s="365">
        <f t="shared" si="86"/>
        <v>2</v>
      </c>
      <c r="BD131" s="363"/>
      <c r="BE131">
        <v>2</v>
      </c>
    </row>
    <row r="132" ht="24" spans="1:57">
      <c r="A132" s="284" t="s">
        <v>195</v>
      </c>
      <c r="B132" s="284" t="s">
        <v>196</v>
      </c>
      <c r="C132" s="284" t="s">
        <v>346</v>
      </c>
      <c r="D132" s="284" t="s">
        <v>347</v>
      </c>
      <c r="E132" s="365">
        <f t="shared" si="49"/>
        <v>0</v>
      </c>
      <c r="F132" s="365">
        <f t="shared" si="50"/>
        <v>0</v>
      </c>
      <c r="G132" s="365"/>
      <c r="H132" s="365"/>
      <c r="I132" s="365"/>
      <c r="J132" s="365"/>
      <c r="K132" s="365"/>
      <c r="L132" s="365">
        <f t="shared" si="51"/>
        <v>0</v>
      </c>
      <c r="M132" s="365"/>
      <c r="N132" s="365"/>
      <c r="O132" s="365"/>
      <c r="P132" s="365"/>
      <c r="Q132" s="365"/>
      <c r="R132" s="365"/>
      <c r="S132" s="365"/>
      <c r="T132" s="365">
        <f t="shared" si="48"/>
        <v>0</v>
      </c>
      <c r="U132" s="365">
        <f t="shared" si="53"/>
        <v>0</v>
      </c>
      <c r="V132" s="365"/>
      <c r="W132" s="365"/>
      <c r="X132" s="365"/>
      <c r="Y132" s="365"/>
      <c r="Z132" s="365"/>
      <c r="AA132" s="365">
        <f t="shared" si="71"/>
        <v>0</v>
      </c>
      <c r="AB132" s="365"/>
      <c r="AC132" s="365"/>
      <c r="AD132" s="365"/>
      <c r="AE132" s="365"/>
      <c r="AF132" s="365"/>
      <c r="AG132" s="365"/>
      <c r="AH132" s="365">
        <v>0</v>
      </c>
      <c r="AI132" s="365"/>
      <c r="AJ132" s="365"/>
      <c r="AK132" s="365"/>
      <c r="AL132" s="365">
        <f t="shared" si="47"/>
        <v>0</v>
      </c>
      <c r="AM132" s="365">
        <f t="shared" si="72"/>
        <v>0</v>
      </c>
      <c r="AN132" s="365">
        <f t="shared" si="73"/>
        <v>0</v>
      </c>
      <c r="AO132" s="365">
        <f t="shared" si="74"/>
        <v>0</v>
      </c>
      <c r="AP132" s="365">
        <f t="shared" si="75"/>
        <v>0</v>
      </c>
      <c r="AQ132" s="365">
        <f t="shared" si="76"/>
        <v>0</v>
      </c>
      <c r="AR132" s="365">
        <f t="shared" si="77"/>
        <v>0</v>
      </c>
      <c r="AS132" s="365">
        <f t="shared" si="61"/>
        <v>0</v>
      </c>
      <c r="AT132" s="365">
        <f t="shared" si="78"/>
        <v>0</v>
      </c>
      <c r="AU132" s="365">
        <f t="shared" si="79"/>
        <v>0</v>
      </c>
      <c r="AV132" s="365">
        <f t="shared" si="80"/>
        <v>0</v>
      </c>
      <c r="AW132" s="365">
        <f t="shared" si="81"/>
        <v>0</v>
      </c>
      <c r="AX132" s="365">
        <f t="shared" si="82"/>
        <v>0</v>
      </c>
      <c r="AY132" s="365">
        <f t="shared" si="83"/>
        <v>0</v>
      </c>
      <c r="AZ132" s="365">
        <f t="shared" si="84"/>
        <v>0</v>
      </c>
      <c r="BA132" s="365">
        <f t="shared" si="85"/>
        <v>0</v>
      </c>
      <c r="BB132" s="365">
        <f t="shared" si="52"/>
        <v>0</v>
      </c>
      <c r="BC132" s="365">
        <f t="shared" si="86"/>
        <v>0</v>
      </c>
      <c r="BD132" s="363"/>
      <c r="BE132">
        <v>5.7164</v>
      </c>
    </row>
    <row r="133" ht="24" spans="1:56">
      <c r="A133" s="284" t="s">
        <v>195</v>
      </c>
      <c r="B133" s="284" t="s">
        <v>199</v>
      </c>
      <c r="C133" s="284" t="s">
        <v>348</v>
      </c>
      <c r="D133" s="284" t="s">
        <v>349</v>
      </c>
      <c r="E133" s="365">
        <f t="shared" si="49"/>
        <v>11.33</v>
      </c>
      <c r="F133" s="365">
        <f t="shared" si="50"/>
        <v>9.64</v>
      </c>
      <c r="G133" s="365">
        <v>6.82</v>
      </c>
      <c r="H133" s="365"/>
      <c r="I133" s="365">
        <v>2.82</v>
      </c>
      <c r="J133" s="365"/>
      <c r="K133" s="365"/>
      <c r="L133" s="365">
        <f t="shared" si="51"/>
        <v>1.69</v>
      </c>
      <c r="M133" s="365">
        <v>1.69</v>
      </c>
      <c r="N133" s="365"/>
      <c r="O133" s="365"/>
      <c r="P133" s="365"/>
      <c r="Q133" s="365"/>
      <c r="R133" s="365"/>
      <c r="S133" s="365"/>
      <c r="T133" s="365">
        <f t="shared" si="48"/>
        <v>-1.95</v>
      </c>
      <c r="U133" s="365">
        <f t="shared" si="53"/>
        <v>-4.47</v>
      </c>
      <c r="V133" s="365">
        <v>-3.03</v>
      </c>
      <c r="W133" s="365"/>
      <c r="X133" s="365">
        <v>-1.44</v>
      </c>
      <c r="Y133" s="365"/>
      <c r="Z133" s="365"/>
      <c r="AA133" s="365">
        <f t="shared" si="71"/>
        <v>2.52</v>
      </c>
      <c r="AB133" s="365">
        <v>-0.86</v>
      </c>
      <c r="AC133" s="365"/>
      <c r="AD133" s="365"/>
      <c r="AE133" s="365"/>
      <c r="AF133" s="365"/>
      <c r="AG133" s="365"/>
      <c r="AH133" s="365">
        <v>0</v>
      </c>
      <c r="AI133" s="365">
        <v>1.38</v>
      </c>
      <c r="AJ133" s="365">
        <v>2</v>
      </c>
      <c r="AK133" s="365">
        <v>0</v>
      </c>
      <c r="AL133" s="365">
        <f t="shared" si="47"/>
        <v>9.38</v>
      </c>
      <c r="AM133" s="365">
        <f t="shared" si="72"/>
        <v>5.17</v>
      </c>
      <c r="AN133" s="365">
        <f t="shared" si="73"/>
        <v>3.79</v>
      </c>
      <c r="AO133" s="365">
        <f t="shared" si="74"/>
        <v>0</v>
      </c>
      <c r="AP133" s="365">
        <f t="shared" si="75"/>
        <v>1.38</v>
      </c>
      <c r="AQ133" s="365">
        <f t="shared" si="76"/>
        <v>0</v>
      </c>
      <c r="AR133" s="365">
        <f t="shared" si="77"/>
        <v>0</v>
      </c>
      <c r="AS133" s="365">
        <f t="shared" si="61"/>
        <v>4.21</v>
      </c>
      <c r="AT133" s="365">
        <f t="shared" si="78"/>
        <v>0.83</v>
      </c>
      <c r="AU133" s="365">
        <f t="shared" si="79"/>
        <v>0</v>
      </c>
      <c r="AV133" s="365">
        <f t="shared" si="80"/>
        <v>0</v>
      </c>
      <c r="AW133" s="365">
        <f t="shared" si="81"/>
        <v>0</v>
      </c>
      <c r="AX133" s="365">
        <f t="shared" si="82"/>
        <v>0</v>
      </c>
      <c r="AY133" s="365">
        <f t="shared" si="83"/>
        <v>0</v>
      </c>
      <c r="AZ133" s="365">
        <f t="shared" si="84"/>
        <v>0</v>
      </c>
      <c r="BA133" s="365">
        <f t="shared" si="85"/>
        <v>1.38</v>
      </c>
      <c r="BB133" s="365">
        <f t="shared" si="52"/>
        <v>2</v>
      </c>
      <c r="BC133" s="365">
        <f t="shared" si="86"/>
        <v>0</v>
      </c>
      <c r="BD133" s="363"/>
    </row>
    <row r="134" ht="24" spans="1:57">
      <c r="A134" s="284" t="s">
        <v>208</v>
      </c>
      <c r="B134" s="284" t="s">
        <v>196</v>
      </c>
      <c r="C134" s="284" t="s">
        <v>350</v>
      </c>
      <c r="D134" s="284" t="s">
        <v>351</v>
      </c>
      <c r="E134" s="365">
        <f t="shared" si="49"/>
        <v>0</v>
      </c>
      <c r="F134" s="365">
        <f t="shared" si="50"/>
        <v>0</v>
      </c>
      <c r="G134" s="365"/>
      <c r="H134" s="365"/>
      <c r="I134" s="365"/>
      <c r="J134" s="365"/>
      <c r="K134" s="365"/>
      <c r="L134" s="365">
        <f t="shared" si="51"/>
        <v>0</v>
      </c>
      <c r="M134" s="365"/>
      <c r="N134" s="365"/>
      <c r="O134" s="365"/>
      <c r="P134" s="365"/>
      <c r="Q134" s="365"/>
      <c r="R134" s="365"/>
      <c r="S134" s="365"/>
      <c r="T134" s="365">
        <f t="shared" si="48"/>
        <v>0</v>
      </c>
      <c r="U134" s="365">
        <f t="shared" si="53"/>
        <v>0</v>
      </c>
      <c r="V134" s="365"/>
      <c r="W134" s="365"/>
      <c r="X134" s="365"/>
      <c r="Y134" s="365"/>
      <c r="Z134" s="365"/>
      <c r="AA134" s="365">
        <f t="shared" si="71"/>
        <v>0</v>
      </c>
      <c r="AB134" s="365"/>
      <c r="AC134" s="365"/>
      <c r="AD134" s="365"/>
      <c r="AE134" s="365"/>
      <c r="AF134" s="365"/>
      <c r="AG134" s="365"/>
      <c r="AH134" s="365">
        <v>0</v>
      </c>
      <c r="AI134" s="365"/>
      <c r="AJ134" s="365"/>
      <c r="AK134" s="365"/>
      <c r="AL134" s="365">
        <f t="shared" ref="AL134:AL150" si="87">AM134+AS134</f>
        <v>0</v>
      </c>
      <c r="AM134" s="365">
        <f t="shared" si="72"/>
        <v>0</v>
      </c>
      <c r="AN134" s="365">
        <f t="shared" si="73"/>
        <v>0</v>
      </c>
      <c r="AO134" s="365">
        <f t="shared" si="74"/>
        <v>0</v>
      </c>
      <c r="AP134" s="365">
        <f t="shared" si="75"/>
        <v>0</v>
      </c>
      <c r="AQ134" s="365">
        <f t="shared" si="76"/>
        <v>0</v>
      </c>
      <c r="AR134" s="365">
        <f t="shared" si="77"/>
        <v>0</v>
      </c>
      <c r="AS134" s="365">
        <f t="shared" si="61"/>
        <v>0</v>
      </c>
      <c r="AT134" s="365">
        <f t="shared" si="78"/>
        <v>0</v>
      </c>
      <c r="AU134" s="365">
        <f t="shared" si="79"/>
        <v>0</v>
      </c>
      <c r="AV134" s="365">
        <f t="shared" si="80"/>
        <v>0</v>
      </c>
      <c r="AW134" s="365">
        <f t="shared" si="81"/>
        <v>0</v>
      </c>
      <c r="AX134" s="365">
        <f t="shared" si="82"/>
        <v>0</v>
      </c>
      <c r="AY134" s="365">
        <f t="shared" si="83"/>
        <v>0</v>
      </c>
      <c r="AZ134" s="365">
        <f t="shared" si="84"/>
        <v>0</v>
      </c>
      <c r="BA134" s="365">
        <f t="shared" si="85"/>
        <v>0</v>
      </c>
      <c r="BB134" s="365">
        <f t="shared" si="52"/>
        <v>0</v>
      </c>
      <c r="BC134" s="365">
        <f t="shared" si="86"/>
        <v>0</v>
      </c>
      <c r="BD134" s="363"/>
      <c r="BE134">
        <v>5.1292</v>
      </c>
    </row>
    <row r="135" ht="24" spans="1:57">
      <c r="A135" s="284" t="s">
        <v>208</v>
      </c>
      <c r="B135" s="284" t="s">
        <v>199</v>
      </c>
      <c r="C135" s="284" t="s">
        <v>352</v>
      </c>
      <c r="D135" s="284" t="s">
        <v>353</v>
      </c>
      <c r="E135" s="365">
        <f t="shared" si="49"/>
        <v>9.95</v>
      </c>
      <c r="F135" s="365">
        <f t="shared" si="50"/>
        <v>4.16</v>
      </c>
      <c r="G135" s="365">
        <v>2.84</v>
      </c>
      <c r="H135" s="365"/>
      <c r="I135" s="365">
        <v>1.32</v>
      </c>
      <c r="J135" s="365"/>
      <c r="K135" s="365"/>
      <c r="L135" s="365">
        <f t="shared" si="51"/>
        <v>5.79</v>
      </c>
      <c r="M135" s="365">
        <v>0.79</v>
      </c>
      <c r="N135" s="365"/>
      <c r="O135" s="365"/>
      <c r="P135" s="365"/>
      <c r="Q135" s="365"/>
      <c r="R135" s="365"/>
      <c r="S135" s="366">
        <v>5</v>
      </c>
      <c r="T135" s="365">
        <f t="shared" ref="T135:T150" si="88">U135+AA135</f>
        <v>-2</v>
      </c>
      <c r="U135" s="365">
        <f t="shared" si="53"/>
        <v>0.42</v>
      </c>
      <c r="V135" s="365">
        <v>0.42</v>
      </c>
      <c r="W135" s="365"/>
      <c r="X135" s="365"/>
      <c r="Y135" s="365"/>
      <c r="Z135" s="365"/>
      <c r="AA135" s="365">
        <f t="shared" si="71"/>
        <v>-2.42</v>
      </c>
      <c r="AB135" s="366"/>
      <c r="AC135" s="366"/>
      <c r="AD135" s="366"/>
      <c r="AE135" s="366"/>
      <c r="AF135" s="366"/>
      <c r="AG135" s="366"/>
      <c r="AH135" s="365">
        <v>-5</v>
      </c>
      <c r="AI135" s="366">
        <v>1.08</v>
      </c>
      <c r="AJ135" s="366">
        <v>1</v>
      </c>
      <c r="AK135" s="365">
        <v>0.5</v>
      </c>
      <c r="AL135" s="365">
        <f t="shared" si="87"/>
        <v>7.95</v>
      </c>
      <c r="AM135" s="365">
        <f t="shared" si="72"/>
        <v>4.58</v>
      </c>
      <c r="AN135" s="365">
        <f t="shared" si="73"/>
        <v>3.26</v>
      </c>
      <c r="AO135" s="365">
        <f t="shared" si="74"/>
        <v>0</v>
      </c>
      <c r="AP135" s="365">
        <f t="shared" si="75"/>
        <v>1.32</v>
      </c>
      <c r="AQ135" s="365">
        <f t="shared" si="76"/>
        <v>0</v>
      </c>
      <c r="AR135" s="365">
        <f t="shared" si="77"/>
        <v>0</v>
      </c>
      <c r="AS135" s="365">
        <f t="shared" si="61"/>
        <v>3.37</v>
      </c>
      <c r="AT135" s="365">
        <f t="shared" si="78"/>
        <v>0.79</v>
      </c>
      <c r="AU135" s="365">
        <f t="shared" si="79"/>
        <v>0</v>
      </c>
      <c r="AV135" s="365">
        <f t="shared" si="80"/>
        <v>0</v>
      </c>
      <c r="AW135" s="365">
        <f t="shared" si="81"/>
        <v>0</v>
      </c>
      <c r="AX135" s="365">
        <f t="shared" si="82"/>
        <v>0</v>
      </c>
      <c r="AY135" s="365">
        <f t="shared" si="83"/>
        <v>0</v>
      </c>
      <c r="AZ135" s="365">
        <f t="shared" si="84"/>
        <v>0</v>
      </c>
      <c r="BA135" s="365">
        <f t="shared" si="85"/>
        <v>1.08</v>
      </c>
      <c r="BB135" s="365">
        <f t="shared" si="52"/>
        <v>1</v>
      </c>
      <c r="BC135" s="365">
        <f t="shared" si="86"/>
        <v>0.5</v>
      </c>
      <c r="BD135" s="363"/>
      <c r="BE135">
        <v>0.5</v>
      </c>
    </row>
    <row r="136" ht="24" spans="1:57">
      <c r="A136" s="284" t="s">
        <v>195</v>
      </c>
      <c r="B136" s="284" t="s">
        <v>196</v>
      </c>
      <c r="C136" s="284" t="s">
        <v>354</v>
      </c>
      <c r="D136" s="284" t="s">
        <v>355</v>
      </c>
      <c r="E136" s="365">
        <f t="shared" ref="E136:E150" si="89">F136+L136</f>
        <v>229</v>
      </c>
      <c r="F136" s="365">
        <f t="shared" ref="F136:F150" si="90">SUM(G136:K136)</f>
        <v>0</v>
      </c>
      <c r="G136" s="365"/>
      <c r="H136" s="365"/>
      <c r="I136" s="365"/>
      <c r="J136" s="365"/>
      <c r="K136" s="365"/>
      <c r="L136" s="365">
        <f t="shared" ref="L136:L150" si="91">SUM(M136:S136)</f>
        <v>229</v>
      </c>
      <c r="M136" s="365"/>
      <c r="N136" s="365"/>
      <c r="O136" s="365">
        <v>229</v>
      </c>
      <c r="P136" s="365"/>
      <c r="Q136" s="365"/>
      <c r="R136" s="365"/>
      <c r="S136" s="365"/>
      <c r="T136" s="365">
        <f t="shared" si="88"/>
        <v>0</v>
      </c>
      <c r="U136" s="365">
        <f t="shared" si="53"/>
        <v>0</v>
      </c>
      <c r="V136" s="365"/>
      <c r="W136" s="365"/>
      <c r="X136" s="365"/>
      <c r="Y136" s="365"/>
      <c r="Z136" s="365"/>
      <c r="AA136" s="365">
        <f t="shared" si="71"/>
        <v>0</v>
      </c>
      <c r="AB136" s="365"/>
      <c r="AC136" s="365"/>
      <c r="AD136" s="365"/>
      <c r="AE136" s="365"/>
      <c r="AF136" s="365"/>
      <c r="AG136" s="365"/>
      <c r="AH136" s="365">
        <v>0</v>
      </c>
      <c r="AI136" s="365"/>
      <c r="AJ136" s="365"/>
      <c r="AK136" s="365"/>
      <c r="AL136" s="365">
        <f t="shared" si="87"/>
        <v>229</v>
      </c>
      <c r="AM136" s="365">
        <f t="shared" si="72"/>
        <v>0</v>
      </c>
      <c r="AN136" s="365">
        <f t="shared" si="73"/>
        <v>0</v>
      </c>
      <c r="AO136" s="365">
        <f t="shared" si="74"/>
        <v>0</v>
      </c>
      <c r="AP136" s="365">
        <f t="shared" si="75"/>
        <v>0</v>
      </c>
      <c r="AQ136" s="365">
        <f t="shared" si="76"/>
        <v>0</v>
      </c>
      <c r="AR136" s="365">
        <f t="shared" si="77"/>
        <v>0</v>
      </c>
      <c r="AS136" s="365">
        <f t="shared" si="61"/>
        <v>229</v>
      </c>
      <c r="AT136" s="365">
        <f t="shared" si="78"/>
        <v>0</v>
      </c>
      <c r="AU136" s="365">
        <f t="shared" si="79"/>
        <v>0</v>
      </c>
      <c r="AV136" s="365">
        <f t="shared" si="80"/>
        <v>229</v>
      </c>
      <c r="AW136" s="365">
        <f t="shared" si="81"/>
        <v>0</v>
      </c>
      <c r="AX136" s="365">
        <f t="shared" si="82"/>
        <v>0</v>
      </c>
      <c r="AY136" s="365">
        <f t="shared" si="83"/>
        <v>0</v>
      </c>
      <c r="AZ136" s="365">
        <f t="shared" si="84"/>
        <v>0</v>
      </c>
      <c r="BA136" s="365">
        <f t="shared" si="85"/>
        <v>0</v>
      </c>
      <c r="BB136" s="365">
        <f t="shared" ref="BB136:BB186" si="92">AJ136</f>
        <v>0</v>
      </c>
      <c r="BC136" s="365">
        <f t="shared" si="86"/>
        <v>0</v>
      </c>
      <c r="BD136" s="363"/>
      <c r="BE136">
        <v>9.6742</v>
      </c>
    </row>
    <row r="137" ht="24" spans="1:57">
      <c r="A137" s="284" t="s">
        <v>195</v>
      </c>
      <c r="B137" s="284" t="s">
        <v>196</v>
      </c>
      <c r="C137" s="284" t="s">
        <v>356</v>
      </c>
      <c r="D137" s="284" t="s">
        <v>355</v>
      </c>
      <c r="E137" s="365">
        <f t="shared" si="89"/>
        <v>0</v>
      </c>
      <c r="F137" s="365">
        <f t="shared" si="90"/>
        <v>0</v>
      </c>
      <c r="G137" s="365"/>
      <c r="H137" s="365"/>
      <c r="I137" s="365"/>
      <c r="J137" s="365"/>
      <c r="K137" s="365"/>
      <c r="L137" s="365">
        <f t="shared" si="91"/>
        <v>0</v>
      </c>
      <c r="M137" s="365"/>
      <c r="N137" s="365"/>
      <c r="O137" s="365"/>
      <c r="P137" s="365"/>
      <c r="Q137" s="365"/>
      <c r="R137" s="365"/>
      <c r="S137" s="365"/>
      <c r="T137" s="365">
        <f t="shared" si="88"/>
        <v>0</v>
      </c>
      <c r="U137" s="365">
        <f t="shared" ref="U137:U150" si="93">SUM(V137:Z137)</f>
        <v>0</v>
      </c>
      <c r="V137" s="365"/>
      <c r="W137" s="365"/>
      <c r="X137" s="365"/>
      <c r="Y137" s="365"/>
      <c r="Z137" s="365"/>
      <c r="AA137" s="365">
        <f t="shared" si="71"/>
        <v>0</v>
      </c>
      <c r="AB137" s="365"/>
      <c r="AC137" s="365"/>
      <c r="AD137" s="365"/>
      <c r="AE137" s="365"/>
      <c r="AF137" s="365"/>
      <c r="AG137" s="365"/>
      <c r="AH137" s="365">
        <v>0</v>
      </c>
      <c r="AI137" s="365"/>
      <c r="AJ137" s="365"/>
      <c r="AK137" s="365"/>
      <c r="AL137" s="365">
        <f t="shared" si="87"/>
        <v>0</v>
      </c>
      <c r="AM137" s="365">
        <f t="shared" si="72"/>
        <v>0</v>
      </c>
      <c r="AN137" s="365">
        <f t="shared" si="73"/>
        <v>0</v>
      </c>
      <c r="AO137" s="365">
        <f t="shared" si="74"/>
        <v>0</v>
      </c>
      <c r="AP137" s="365">
        <f t="shared" si="75"/>
        <v>0</v>
      </c>
      <c r="AQ137" s="365">
        <f t="shared" si="76"/>
        <v>0</v>
      </c>
      <c r="AR137" s="365">
        <f t="shared" si="77"/>
        <v>0</v>
      </c>
      <c r="AS137" s="365">
        <f t="shared" ref="AS137:AS150" si="94">SUM(AT137:BC137)</f>
        <v>0</v>
      </c>
      <c r="AT137" s="365">
        <f t="shared" si="78"/>
        <v>0</v>
      </c>
      <c r="AU137" s="365">
        <f t="shared" si="79"/>
        <v>0</v>
      </c>
      <c r="AV137" s="365">
        <f t="shared" si="80"/>
        <v>0</v>
      </c>
      <c r="AW137" s="365">
        <f t="shared" si="81"/>
        <v>0</v>
      </c>
      <c r="AX137" s="365">
        <f t="shared" si="82"/>
        <v>0</v>
      </c>
      <c r="AY137" s="365">
        <f t="shared" si="83"/>
        <v>0</v>
      </c>
      <c r="AZ137" s="365">
        <f t="shared" si="84"/>
        <v>0</v>
      </c>
      <c r="BA137" s="365">
        <f t="shared" si="85"/>
        <v>0</v>
      </c>
      <c r="BB137" s="365">
        <f t="shared" si="92"/>
        <v>0</v>
      </c>
      <c r="BC137" s="365">
        <f t="shared" si="86"/>
        <v>0</v>
      </c>
      <c r="BD137" s="363"/>
      <c r="BE137">
        <v>3.151</v>
      </c>
    </row>
    <row r="138" ht="24" spans="1:57">
      <c r="A138" s="284" t="s">
        <v>195</v>
      </c>
      <c r="B138" s="284" t="s">
        <v>196</v>
      </c>
      <c r="C138" s="284" t="s">
        <v>357</v>
      </c>
      <c r="D138" s="284" t="s">
        <v>355</v>
      </c>
      <c r="E138" s="365">
        <f t="shared" si="89"/>
        <v>0</v>
      </c>
      <c r="F138" s="365">
        <f t="shared" si="90"/>
        <v>0</v>
      </c>
      <c r="G138" s="365"/>
      <c r="H138" s="365"/>
      <c r="I138" s="365"/>
      <c r="J138" s="365"/>
      <c r="K138" s="365"/>
      <c r="L138" s="365">
        <f t="shared" si="91"/>
        <v>0</v>
      </c>
      <c r="M138" s="365"/>
      <c r="N138" s="365"/>
      <c r="O138" s="365"/>
      <c r="P138" s="365"/>
      <c r="Q138" s="365"/>
      <c r="R138" s="365"/>
      <c r="S138" s="365"/>
      <c r="T138" s="365">
        <f t="shared" si="88"/>
        <v>0</v>
      </c>
      <c r="U138" s="365">
        <f t="shared" si="93"/>
        <v>0</v>
      </c>
      <c r="V138" s="365"/>
      <c r="W138" s="365"/>
      <c r="X138" s="365"/>
      <c r="Y138" s="365"/>
      <c r="Z138" s="365"/>
      <c r="AA138" s="365">
        <f t="shared" si="71"/>
        <v>0</v>
      </c>
      <c r="AB138" s="365"/>
      <c r="AC138" s="365"/>
      <c r="AD138" s="365"/>
      <c r="AE138" s="365"/>
      <c r="AF138" s="365"/>
      <c r="AG138" s="365"/>
      <c r="AH138" s="365">
        <v>0</v>
      </c>
      <c r="AI138" s="365"/>
      <c r="AJ138" s="365"/>
      <c r="AK138" s="365"/>
      <c r="AL138" s="365">
        <f t="shared" si="87"/>
        <v>0</v>
      </c>
      <c r="AM138" s="365">
        <f t="shared" si="72"/>
        <v>0</v>
      </c>
      <c r="AN138" s="365">
        <f t="shared" si="73"/>
        <v>0</v>
      </c>
      <c r="AO138" s="365">
        <f t="shared" si="74"/>
        <v>0</v>
      </c>
      <c r="AP138" s="365">
        <f t="shared" si="75"/>
        <v>0</v>
      </c>
      <c r="AQ138" s="365">
        <f t="shared" si="76"/>
        <v>0</v>
      </c>
      <c r="AR138" s="365">
        <f t="shared" si="77"/>
        <v>0</v>
      </c>
      <c r="AS138" s="365">
        <f t="shared" si="94"/>
        <v>0</v>
      </c>
      <c r="AT138" s="365">
        <f t="shared" si="78"/>
        <v>0</v>
      </c>
      <c r="AU138" s="365">
        <f t="shared" si="79"/>
        <v>0</v>
      </c>
      <c r="AV138" s="365">
        <f t="shared" si="80"/>
        <v>0</v>
      </c>
      <c r="AW138" s="365">
        <f t="shared" si="81"/>
        <v>0</v>
      </c>
      <c r="AX138" s="365">
        <f t="shared" si="82"/>
        <v>0</v>
      </c>
      <c r="AY138" s="365">
        <f t="shared" si="83"/>
        <v>0</v>
      </c>
      <c r="AZ138" s="365">
        <f t="shared" si="84"/>
        <v>0</v>
      </c>
      <c r="BA138" s="365">
        <f t="shared" si="85"/>
        <v>0</v>
      </c>
      <c r="BB138" s="365">
        <f t="shared" si="92"/>
        <v>0</v>
      </c>
      <c r="BC138" s="365">
        <f t="shared" si="86"/>
        <v>0</v>
      </c>
      <c r="BD138" s="363"/>
      <c r="BE138">
        <v>5.724</v>
      </c>
    </row>
    <row r="139" ht="24" spans="1:57">
      <c r="A139" s="284" t="s">
        <v>195</v>
      </c>
      <c r="B139" s="284" t="s">
        <v>196</v>
      </c>
      <c r="C139" s="284" t="s">
        <v>358</v>
      </c>
      <c r="D139" s="284" t="s">
        <v>355</v>
      </c>
      <c r="E139" s="365">
        <f t="shared" si="89"/>
        <v>0</v>
      </c>
      <c r="F139" s="365">
        <f t="shared" si="90"/>
        <v>0</v>
      </c>
      <c r="G139" s="365"/>
      <c r="H139" s="365"/>
      <c r="I139" s="365"/>
      <c r="J139" s="365"/>
      <c r="K139" s="365"/>
      <c r="L139" s="365">
        <f t="shared" si="91"/>
        <v>0</v>
      </c>
      <c r="M139" s="365"/>
      <c r="N139" s="365"/>
      <c r="O139" s="365"/>
      <c r="P139" s="365"/>
      <c r="Q139" s="365"/>
      <c r="R139" s="365"/>
      <c r="S139" s="365"/>
      <c r="T139" s="365">
        <f t="shared" si="88"/>
        <v>0</v>
      </c>
      <c r="U139" s="365">
        <f t="shared" si="93"/>
        <v>0</v>
      </c>
      <c r="V139" s="365"/>
      <c r="W139" s="365"/>
      <c r="X139" s="365"/>
      <c r="Y139" s="365"/>
      <c r="Z139" s="365"/>
      <c r="AA139" s="365">
        <f t="shared" si="71"/>
        <v>0</v>
      </c>
      <c r="AB139" s="365"/>
      <c r="AC139" s="365"/>
      <c r="AD139" s="365"/>
      <c r="AE139" s="365"/>
      <c r="AF139" s="365"/>
      <c r="AG139" s="365"/>
      <c r="AH139" s="365">
        <v>0</v>
      </c>
      <c r="AI139" s="365"/>
      <c r="AJ139" s="365"/>
      <c r="AK139" s="365"/>
      <c r="AL139" s="365">
        <f t="shared" si="87"/>
        <v>0</v>
      </c>
      <c r="AM139" s="365">
        <f t="shared" si="72"/>
        <v>0</v>
      </c>
      <c r="AN139" s="365">
        <f t="shared" si="73"/>
        <v>0</v>
      </c>
      <c r="AO139" s="365">
        <f t="shared" si="74"/>
        <v>0</v>
      </c>
      <c r="AP139" s="365">
        <f t="shared" si="75"/>
        <v>0</v>
      </c>
      <c r="AQ139" s="365">
        <f t="shared" si="76"/>
        <v>0</v>
      </c>
      <c r="AR139" s="365">
        <f t="shared" si="77"/>
        <v>0</v>
      </c>
      <c r="AS139" s="365">
        <f t="shared" si="94"/>
        <v>0</v>
      </c>
      <c r="AT139" s="365">
        <f t="shared" si="78"/>
        <v>0</v>
      </c>
      <c r="AU139" s="365">
        <f t="shared" si="79"/>
        <v>0</v>
      </c>
      <c r="AV139" s="365">
        <f t="shared" si="80"/>
        <v>0</v>
      </c>
      <c r="AW139" s="365">
        <f t="shared" si="81"/>
        <v>0</v>
      </c>
      <c r="AX139" s="365">
        <f t="shared" si="82"/>
        <v>0</v>
      </c>
      <c r="AY139" s="365">
        <f t="shared" si="83"/>
        <v>0</v>
      </c>
      <c r="AZ139" s="365">
        <f t="shared" si="84"/>
        <v>0</v>
      </c>
      <c r="BA139" s="365">
        <f t="shared" si="85"/>
        <v>0</v>
      </c>
      <c r="BB139" s="365">
        <f t="shared" si="92"/>
        <v>0</v>
      </c>
      <c r="BC139" s="365">
        <f t="shared" si="86"/>
        <v>0</v>
      </c>
      <c r="BD139" s="363"/>
      <c r="BE139">
        <v>0.5538</v>
      </c>
    </row>
    <row r="140" ht="24" spans="1:57">
      <c r="A140" s="284" t="s">
        <v>195</v>
      </c>
      <c r="B140" s="284" t="s">
        <v>196</v>
      </c>
      <c r="C140" s="284" t="s">
        <v>359</v>
      </c>
      <c r="D140" s="284" t="s">
        <v>355</v>
      </c>
      <c r="E140" s="365">
        <f t="shared" si="89"/>
        <v>0</v>
      </c>
      <c r="F140" s="365">
        <f t="shared" si="90"/>
        <v>0</v>
      </c>
      <c r="G140" s="365"/>
      <c r="H140" s="365"/>
      <c r="I140" s="365"/>
      <c r="J140" s="365"/>
      <c r="K140" s="365"/>
      <c r="L140" s="365">
        <f t="shared" si="91"/>
        <v>0</v>
      </c>
      <c r="M140" s="365"/>
      <c r="N140" s="365"/>
      <c r="O140" s="365"/>
      <c r="P140" s="365"/>
      <c r="Q140" s="365"/>
      <c r="R140" s="365"/>
      <c r="S140" s="365"/>
      <c r="T140" s="365">
        <f t="shared" si="88"/>
        <v>0</v>
      </c>
      <c r="U140" s="365">
        <f t="shared" si="93"/>
        <v>0</v>
      </c>
      <c r="V140" s="365"/>
      <c r="W140" s="365"/>
      <c r="X140" s="365"/>
      <c r="Y140" s="365"/>
      <c r="Z140" s="365"/>
      <c r="AA140" s="365">
        <f t="shared" si="71"/>
        <v>0</v>
      </c>
      <c r="AB140" s="365"/>
      <c r="AC140" s="365"/>
      <c r="AD140" s="365"/>
      <c r="AE140" s="365"/>
      <c r="AF140" s="365"/>
      <c r="AG140" s="365"/>
      <c r="AH140" s="365">
        <v>0</v>
      </c>
      <c r="AI140" s="365"/>
      <c r="AJ140" s="365"/>
      <c r="AK140" s="365"/>
      <c r="AL140" s="365">
        <f t="shared" si="87"/>
        <v>0</v>
      </c>
      <c r="AM140" s="365">
        <f t="shared" si="72"/>
        <v>0</v>
      </c>
      <c r="AN140" s="365">
        <f t="shared" si="73"/>
        <v>0</v>
      </c>
      <c r="AO140" s="365">
        <f t="shared" si="74"/>
        <v>0</v>
      </c>
      <c r="AP140" s="365">
        <f t="shared" si="75"/>
        <v>0</v>
      </c>
      <c r="AQ140" s="365">
        <f t="shared" si="76"/>
        <v>0</v>
      </c>
      <c r="AR140" s="365">
        <f t="shared" si="77"/>
        <v>0</v>
      </c>
      <c r="AS140" s="365">
        <f t="shared" si="94"/>
        <v>0</v>
      </c>
      <c r="AT140" s="365">
        <f t="shared" si="78"/>
        <v>0</v>
      </c>
      <c r="AU140" s="365">
        <f t="shared" si="79"/>
        <v>0</v>
      </c>
      <c r="AV140" s="365">
        <f t="shared" si="80"/>
        <v>0</v>
      </c>
      <c r="AW140" s="365">
        <f t="shared" si="81"/>
        <v>0</v>
      </c>
      <c r="AX140" s="365">
        <f t="shared" si="82"/>
        <v>0</v>
      </c>
      <c r="AY140" s="365">
        <f t="shared" si="83"/>
        <v>0</v>
      </c>
      <c r="AZ140" s="365">
        <f t="shared" si="84"/>
        <v>0</v>
      </c>
      <c r="BA140" s="365">
        <f t="shared" si="85"/>
        <v>0</v>
      </c>
      <c r="BB140" s="365">
        <f t="shared" si="92"/>
        <v>0</v>
      </c>
      <c r="BC140" s="365">
        <f t="shared" si="86"/>
        <v>0</v>
      </c>
      <c r="BD140" s="363"/>
      <c r="BE140">
        <v>2.3072</v>
      </c>
    </row>
    <row r="141" ht="24" spans="1:57">
      <c r="A141" s="284" t="s">
        <v>208</v>
      </c>
      <c r="B141" s="284" t="s">
        <v>196</v>
      </c>
      <c r="C141" s="284" t="s">
        <v>360</v>
      </c>
      <c r="D141" s="284" t="s">
        <v>355</v>
      </c>
      <c r="E141" s="365">
        <f t="shared" si="89"/>
        <v>0</v>
      </c>
      <c r="F141" s="365">
        <f t="shared" si="90"/>
        <v>0</v>
      </c>
      <c r="G141" s="365"/>
      <c r="H141" s="365"/>
      <c r="I141" s="365"/>
      <c r="J141" s="365"/>
      <c r="K141" s="365"/>
      <c r="L141" s="365">
        <f t="shared" si="91"/>
        <v>0</v>
      </c>
      <c r="M141" s="365"/>
      <c r="N141" s="365"/>
      <c r="O141" s="365"/>
      <c r="P141" s="365"/>
      <c r="Q141" s="365"/>
      <c r="R141" s="365"/>
      <c r="S141" s="365"/>
      <c r="T141" s="365">
        <f t="shared" si="88"/>
        <v>0</v>
      </c>
      <c r="U141" s="365">
        <f t="shared" si="93"/>
        <v>0</v>
      </c>
      <c r="V141" s="365"/>
      <c r="W141" s="365"/>
      <c r="X141" s="365"/>
      <c r="Y141" s="365"/>
      <c r="Z141" s="365"/>
      <c r="AA141" s="365">
        <f t="shared" si="71"/>
        <v>0</v>
      </c>
      <c r="AB141" s="365"/>
      <c r="AC141" s="365"/>
      <c r="AD141" s="365"/>
      <c r="AE141" s="365"/>
      <c r="AF141" s="365"/>
      <c r="AG141" s="365"/>
      <c r="AH141" s="365">
        <v>0</v>
      </c>
      <c r="AI141" s="365"/>
      <c r="AJ141" s="365"/>
      <c r="AK141" s="365"/>
      <c r="AL141" s="365">
        <f t="shared" si="87"/>
        <v>0</v>
      </c>
      <c r="AM141" s="365">
        <f t="shared" si="72"/>
        <v>0</v>
      </c>
      <c r="AN141" s="365">
        <f t="shared" si="73"/>
        <v>0</v>
      </c>
      <c r="AO141" s="365">
        <f t="shared" si="74"/>
        <v>0</v>
      </c>
      <c r="AP141" s="365">
        <f t="shared" si="75"/>
        <v>0</v>
      </c>
      <c r="AQ141" s="365">
        <f t="shared" si="76"/>
        <v>0</v>
      </c>
      <c r="AR141" s="365">
        <f t="shared" si="77"/>
        <v>0</v>
      </c>
      <c r="AS141" s="365">
        <f t="shared" si="94"/>
        <v>0</v>
      </c>
      <c r="AT141" s="365">
        <f t="shared" si="78"/>
        <v>0</v>
      </c>
      <c r="AU141" s="365">
        <f t="shared" si="79"/>
        <v>0</v>
      </c>
      <c r="AV141" s="365">
        <f t="shared" si="80"/>
        <v>0</v>
      </c>
      <c r="AW141" s="365">
        <f t="shared" si="81"/>
        <v>0</v>
      </c>
      <c r="AX141" s="365">
        <f t="shared" si="82"/>
        <v>0</v>
      </c>
      <c r="AY141" s="365">
        <f t="shared" si="83"/>
        <v>0</v>
      </c>
      <c r="AZ141" s="365">
        <f t="shared" si="84"/>
        <v>0</v>
      </c>
      <c r="BA141" s="365">
        <f t="shared" si="85"/>
        <v>0</v>
      </c>
      <c r="BB141" s="365">
        <f t="shared" si="92"/>
        <v>0</v>
      </c>
      <c r="BC141" s="365">
        <f t="shared" si="86"/>
        <v>0</v>
      </c>
      <c r="BD141" s="363"/>
      <c r="BE141">
        <v>1.4378</v>
      </c>
    </row>
    <row r="142" ht="24" spans="1:56">
      <c r="A142" s="284" t="s">
        <v>195</v>
      </c>
      <c r="B142" s="284" t="s">
        <v>199</v>
      </c>
      <c r="C142" s="284" t="s">
        <v>361</v>
      </c>
      <c r="D142" s="284" t="s">
        <v>362</v>
      </c>
      <c r="E142" s="365">
        <f t="shared" si="89"/>
        <v>17.68</v>
      </c>
      <c r="F142" s="365">
        <f t="shared" si="90"/>
        <v>15.01</v>
      </c>
      <c r="G142" s="365">
        <v>10.53</v>
      </c>
      <c r="H142" s="365">
        <v>0.02</v>
      </c>
      <c r="I142" s="365">
        <v>4.46</v>
      </c>
      <c r="J142" s="365"/>
      <c r="K142" s="365"/>
      <c r="L142" s="365">
        <f t="shared" si="91"/>
        <v>2.67</v>
      </c>
      <c r="M142" s="365">
        <v>2.67</v>
      </c>
      <c r="N142" s="365"/>
      <c r="O142" s="365"/>
      <c r="P142" s="365"/>
      <c r="Q142" s="365"/>
      <c r="R142" s="365"/>
      <c r="S142" s="365"/>
      <c r="T142" s="365">
        <f t="shared" si="88"/>
        <v>8.27</v>
      </c>
      <c r="U142" s="365">
        <f t="shared" si="93"/>
        <v>1.56</v>
      </c>
      <c r="V142" s="365">
        <v>1.56</v>
      </c>
      <c r="W142" s="365"/>
      <c r="X142" s="365"/>
      <c r="Y142" s="365"/>
      <c r="Z142" s="365"/>
      <c r="AA142" s="365">
        <f t="shared" si="71"/>
        <v>6.71</v>
      </c>
      <c r="AB142" s="365"/>
      <c r="AC142" s="365"/>
      <c r="AD142" s="365"/>
      <c r="AE142" s="365"/>
      <c r="AF142" s="365"/>
      <c r="AG142" s="365">
        <v>0.15</v>
      </c>
      <c r="AH142" s="365">
        <v>0</v>
      </c>
      <c r="AI142" s="365">
        <v>4.56</v>
      </c>
      <c r="AJ142" s="365">
        <v>2</v>
      </c>
      <c r="AK142" s="365">
        <v>0</v>
      </c>
      <c r="AL142" s="365">
        <f t="shared" si="87"/>
        <v>25.95</v>
      </c>
      <c r="AM142" s="365">
        <f t="shared" si="72"/>
        <v>16.57</v>
      </c>
      <c r="AN142" s="365">
        <f t="shared" si="73"/>
        <v>12.09</v>
      </c>
      <c r="AO142" s="365">
        <f t="shared" si="74"/>
        <v>0.02</v>
      </c>
      <c r="AP142" s="365">
        <f t="shared" si="75"/>
        <v>4.46</v>
      </c>
      <c r="AQ142" s="365">
        <f t="shared" si="76"/>
        <v>0</v>
      </c>
      <c r="AR142" s="365">
        <f t="shared" si="77"/>
        <v>0</v>
      </c>
      <c r="AS142" s="365">
        <f t="shared" si="94"/>
        <v>9.38</v>
      </c>
      <c r="AT142" s="365">
        <f t="shared" si="78"/>
        <v>2.67</v>
      </c>
      <c r="AU142" s="365">
        <f t="shared" si="79"/>
        <v>0</v>
      </c>
      <c r="AV142" s="365">
        <f t="shared" si="80"/>
        <v>0</v>
      </c>
      <c r="AW142" s="365">
        <f t="shared" si="81"/>
        <v>0</v>
      </c>
      <c r="AX142" s="365">
        <f t="shared" si="82"/>
        <v>0</v>
      </c>
      <c r="AY142" s="365">
        <f t="shared" si="83"/>
        <v>0.15</v>
      </c>
      <c r="AZ142" s="365">
        <f t="shared" si="84"/>
        <v>0</v>
      </c>
      <c r="BA142" s="365">
        <f t="shared" si="85"/>
        <v>4.56</v>
      </c>
      <c r="BB142" s="365">
        <f t="shared" si="92"/>
        <v>2</v>
      </c>
      <c r="BC142" s="365">
        <f t="shared" si="86"/>
        <v>0</v>
      </c>
      <c r="BD142" s="363"/>
    </row>
    <row r="143" ht="24" spans="1:56">
      <c r="A143" s="284" t="s">
        <v>195</v>
      </c>
      <c r="B143" s="284" t="s">
        <v>199</v>
      </c>
      <c r="C143" s="284" t="s">
        <v>363</v>
      </c>
      <c r="D143" s="284" t="s">
        <v>362</v>
      </c>
      <c r="E143" s="365">
        <f t="shared" si="89"/>
        <v>16.79</v>
      </c>
      <c r="F143" s="365">
        <f t="shared" si="90"/>
        <v>14.23</v>
      </c>
      <c r="G143" s="365">
        <v>9.96</v>
      </c>
      <c r="H143" s="365"/>
      <c r="I143" s="365">
        <v>4.27</v>
      </c>
      <c r="J143" s="365"/>
      <c r="K143" s="365"/>
      <c r="L143" s="365">
        <f t="shared" si="91"/>
        <v>2.56</v>
      </c>
      <c r="M143" s="365">
        <v>2.56</v>
      </c>
      <c r="N143" s="365"/>
      <c r="O143" s="365"/>
      <c r="P143" s="365"/>
      <c r="Q143" s="365"/>
      <c r="R143" s="365"/>
      <c r="S143" s="365"/>
      <c r="T143" s="365">
        <f t="shared" si="88"/>
        <v>7.68</v>
      </c>
      <c r="U143" s="365">
        <f t="shared" si="93"/>
        <v>1.39</v>
      </c>
      <c r="V143" s="365">
        <v>1.39</v>
      </c>
      <c r="W143" s="365"/>
      <c r="X143" s="365"/>
      <c r="Y143" s="365"/>
      <c r="Z143" s="365"/>
      <c r="AA143" s="365">
        <f t="shared" si="71"/>
        <v>6.29</v>
      </c>
      <c r="AB143" s="365"/>
      <c r="AC143" s="365"/>
      <c r="AD143" s="365"/>
      <c r="AE143" s="365"/>
      <c r="AF143" s="365"/>
      <c r="AG143" s="365">
        <v>0.15</v>
      </c>
      <c r="AH143" s="365">
        <v>0</v>
      </c>
      <c r="AI143" s="365">
        <v>4.14</v>
      </c>
      <c r="AJ143" s="365">
        <v>2</v>
      </c>
      <c r="AK143" s="365">
        <v>0</v>
      </c>
      <c r="AL143" s="365">
        <f t="shared" si="87"/>
        <v>24.47</v>
      </c>
      <c r="AM143" s="365">
        <f t="shared" si="72"/>
        <v>15.62</v>
      </c>
      <c r="AN143" s="365">
        <f t="shared" si="73"/>
        <v>11.35</v>
      </c>
      <c r="AO143" s="365">
        <f t="shared" si="74"/>
        <v>0</v>
      </c>
      <c r="AP143" s="365">
        <f t="shared" si="75"/>
        <v>4.27</v>
      </c>
      <c r="AQ143" s="365">
        <f t="shared" si="76"/>
        <v>0</v>
      </c>
      <c r="AR143" s="365">
        <f t="shared" si="77"/>
        <v>0</v>
      </c>
      <c r="AS143" s="365">
        <f t="shared" si="94"/>
        <v>8.85</v>
      </c>
      <c r="AT143" s="365">
        <f t="shared" si="78"/>
        <v>2.56</v>
      </c>
      <c r="AU143" s="365">
        <f t="shared" si="79"/>
        <v>0</v>
      </c>
      <c r="AV143" s="365">
        <f t="shared" si="80"/>
        <v>0</v>
      </c>
      <c r="AW143" s="365">
        <f t="shared" si="81"/>
        <v>0</v>
      </c>
      <c r="AX143" s="365">
        <f t="shared" si="82"/>
        <v>0</v>
      </c>
      <c r="AY143" s="365">
        <f t="shared" si="83"/>
        <v>0.15</v>
      </c>
      <c r="AZ143" s="365">
        <f t="shared" si="84"/>
        <v>0</v>
      </c>
      <c r="BA143" s="365">
        <f t="shared" si="85"/>
        <v>4.14</v>
      </c>
      <c r="BB143" s="365">
        <f t="shared" si="92"/>
        <v>2</v>
      </c>
      <c r="BC143" s="365">
        <f t="shared" si="86"/>
        <v>0</v>
      </c>
      <c r="BD143" s="363" t="s">
        <v>776</v>
      </c>
    </row>
    <row r="144" ht="24" spans="1:57">
      <c r="A144" s="284" t="s">
        <v>195</v>
      </c>
      <c r="B144" s="284" t="s">
        <v>199</v>
      </c>
      <c r="C144" s="284" t="s">
        <v>364</v>
      </c>
      <c r="D144" s="284" t="s">
        <v>362</v>
      </c>
      <c r="E144" s="365">
        <f t="shared" si="89"/>
        <v>35.94</v>
      </c>
      <c r="F144" s="365">
        <f t="shared" si="90"/>
        <v>15.43</v>
      </c>
      <c r="G144" s="365">
        <v>11.25</v>
      </c>
      <c r="H144" s="365"/>
      <c r="I144" s="365">
        <v>4.18</v>
      </c>
      <c r="J144" s="365"/>
      <c r="K144" s="365"/>
      <c r="L144" s="365">
        <f t="shared" si="91"/>
        <v>20.51</v>
      </c>
      <c r="M144" s="365">
        <v>2.51</v>
      </c>
      <c r="N144" s="365"/>
      <c r="O144" s="365"/>
      <c r="P144" s="365"/>
      <c r="Q144" s="365"/>
      <c r="R144" s="365"/>
      <c r="S144" s="366">
        <v>18</v>
      </c>
      <c r="T144" s="365">
        <f t="shared" si="88"/>
        <v>-8.29</v>
      </c>
      <c r="U144" s="365">
        <f t="shared" si="93"/>
        <v>1.8</v>
      </c>
      <c r="V144" s="365">
        <v>1.71</v>
      </c>
      <c r="W144" s="365"/>
      <c r="X144" s="365">
        <v>0.09</v>
      </c>
      <c r="Y144" s="365"/>
      <c r="Z144" s="365"/>
      <c r="AA144" s="365">
        <f t="shared" si="71"/>
        <v>-10.09</v>
      </c>
      <c r="AB144" s="366">
        <v>0.06</v>
      </c>
      <c r="AC144" s="366"/>
      <c r="AD144" s="366"/>
      <c r="AE144" s="366"/>
      <c r="AF144" s="366"/>
      <c r="AG144" s="366"/>
      <c r="AH144" s="365">
        <v>-18</v>
      </c>
      <c r="AI144" s="366">
        <v>4.35</v>
      </c>
      <c r="AJ144" s="366">
        <v>2</v>
      </c>
      <c r="AK144" s="365">
        <v>1.5</v>
      </c>
      <c r="AL144" s="365">
        <f t="shared" si="87"/>
        <v>27.65</v>
      </c>
      <c r="AM144" s="365">
        <f t="shared" si="72"/>
        <v>17.23</v>
      </c>
      <c r="AN144" s="365">
        <f t="shared" si="73"/>
        <v>12.96</v>
      </c>
      <c r="AO144" s="365">
        <f t="shared" si="74"/>
        <v>0</v>
      </c>
      <c r="AP144" s="365">
        <f t="shared" si="75"/>
        <v>4.27</v>
      </c>
      <c r="AQ144" s="365">
        <f t="shared" si="76"/>
        <v>0</v>
      </c>
      <c r="AR144" s="365">
        <f t="shared" si="77"/>
        <v>0</v>
      </c>
      <c r="AS144" s="365">
        <f t="shared" si="94"/>
        <v>10.42</v>
      </c>
      <c r="AT144" s="365">
        <f t="shared" si="78"/>
        <v>2.57</v>
      </c>
      <c r="AU144" s="365">
        <f t="shared" si="79"/>
        <v>0</v>
      </c>
      <c r="AV144" s="365">
        <f t="shared" si="80"/>
        <v>0</v>
      </c>
      <c r="AW144" s="365">
        <f t="shared" si="81"/>
        <v>0</v>
      </c>
      <c r="AX144" s="365">
        <f t="shared" si="82"/>
        <v>0</v>
      </c>
      <c r="AY144" s="365">
        <f t="shared" si="83"/>
        <v>0</v>
      </c>
      <c r="AZ144" s="365">
        <f t="shared" si="84"/>
        <v>0</v>
      </c>
      <c r="BA144" s="365">
        <f t="shared" si="85"/>
        <v>4.35</v>
      </c>
      <c r="BB144" s="365">
        <f t="shared" si="92"/>
        <v>2</v>
      </c>
      <c r="BC144" s="365">
        <f t="shared" si="86"/>
        <v>1.5</v>
      </c>
      <c r="BD144" s="363"/>
      <c r="BE144">
        <v>1.5</v>
      </c>
    </row>
    <row r="145" ht="24" spans="1:57">
      <c r="A145" s="284" t="s">
        <v>208</v>
      </c>
      <c r="B145" s="284" t="s">
        <v>199</v>
      </c>
      <c r="C145" s="284" t="s">
        <v>365</v>
      </c>
      <c r="D145" s="284" t="s">
        <v>362</v>
      </c>
      <c r="E145" s="365">
        <f t="shared" si="89"/>
        <v>24.66</v>
      </c>
      <c r="F145" s="365">
        <f t="shared" si="90"/>
        <v>10.91</v>
      </c>
      <c r="G145" s="365">
        <v>8</v>
      </c>
      <c r="H145" s="365"/>
      <c r="I145" s="365">
        <v>2.91</v>
      </c>
      <c r="J145" s="365"/>
      <c r="K145" s="365"/>
      <c r="L145" s="365">
        <f t="shared" si="91"/>
        <v>13.75</v>
      </c>
      <c r="M145" s="365">
        <v>1.75</v>
      </c>
      <c r="N145" s="365"/>
      <c r="O145" s="365"/>
      <c r="P145" s="365"/>
      <c r="Q145" s="365"/>
      <c r="R145" s="365"/>
      <c r="S145" s="366">
        <v>12</v>
      </c>
      <c r="T145" s="365">
        <f t="shared" si="88"/>
        <v>-5.59</v>
      </c>
      <c r="U145" s="365">
        <f t="shared" si="93"/>
        <v>1.04</v>
      </c>
      <c r="V145" s="365">
        <v>1.04</v>
      </c>
      <c r="W145" s="365"/>
      <c r="X145" s="365"/>
      <c r="Y145" s="365"/>
      <c r="Z145" s="365"/>
      <c r="AA145" s="365">
        <f t="shared" si="71"/>
        <v>-6.63</v>
      </c>
      <c r="AB145" s="366"/>
      <c r="AC145" s="366"/>
      <c r="AD145" s="366"/>
      <c r="AE145" s="366"/>
      <c r="AF145" s="366"/>
      <c r="AG145" s="366"/>
      <c r="AH145" s="365">
        <v>-12</v>
      </c>
      <c r="AI145" s="366">
        <v>2.37</v>
      </c>
      <c r="AJ145" s="366">
        <v>2</v>
      </c>
      <c r="AK145" s="365">
        <v>1</v>
      </c>
      <c r="AL145" s="365">
        <f t="shared" si="87"/>
        <v>19.07</v>
      </c>
      <c r="AM145" s="365">
        <f t="shared" si="72"/>
        <v>11.95</v>
      </c>
      <c r="AN145" s="365">
        <f t="shared" si="73"/>
        <v>9.04</v>
      </c>
      <c r="AO145" s="365">
        <f t="shared" si="74"/>
        <v>0</v>
      </c>
      <c r="AP145" s="365">
        <f t="shared" si="75"/>
        <v>2.91</v>
      </c>
      <c r="AQ145" s="365">
        <f t="shared" si="76"/>
        <v>0</v>
      </c>
      <c r="AR145" s="365">
        <f t="shared" si="77"/>
        <v>0</v>
      </c>
      <c r="AS145" s="365">
        <f t="shared" si="94"/>
        <v>7.12</v>
      </c>
      <c r="AT145" s="365">
        <f t="shared" si="78"/>
        <v>1.75</v>
      </c>
      <c r="AU145" s="365">
        <f t="shared" si="79"/>
        <v>0</v>
      </c>
      <c r="AV145" s="365">
        <f t="shared" si="80"/>
        <v>0</v>
      </c>
      <c r="AW145" s="365">
        <f t="shared" si="81"/>
        <v>0</v>
      </c>
      <c r="AX145" s="365">
        <f t="shared" si="82"/>
        <v>0</v>
      </c>
      <c r="AY145" s="365">
        <f t="shared" si="83"/>
        <v>0</v>
      </c>
      <c r="AZ145" s="365">
        <f t="shared" si="84"/>
        <v>0</v>
      </c>
      <c r="BA145" s="365">
        <f t="shared" si="85"/>
        <v>2.37</v>
      </c>
      <c r="BB145" s="365">
        <f t="shared" si="92"/>
        <v>2</v>
      </c>
      <c r="BC145" s="365">
        <f t="shared" si="86"/>
        <v>1</v>
      </c>
      <c r="BD145" s="363"/>
      <c r="BE145">
        <v>1</v>
      </c>
    </row>
    <row r="146" ht="36" spans="1:56">
      <c r="A146" s="284" t="s">
        <v>195</v>
      </c>
      <c r="B146" s="284" t="s">
        <v>366</v>
      </c>
      <c r="C146" s="284" t="s">
        <v>367</v>
      </c>
      <c r="D146" s="284" t="s">
        <v>368</v>
      </c>
      <c r="E146" s="365">
        <f t="shared" si="89"/>
        <v>0</v>
      </c>
      <c r="F146" s="365">
        <f t="shared" si="90"/>
        <v>0</v>
      </c>
      <c r="G146" s="365"/>
      <c r="H146" s="365"/>
      <c r="I146" s="365"/>
      <c r="J146" s="365"/>
      <c r="K146" s="365"/>
      <c r="L146" s="365">
        <f t="shared" si="91"/>
        <v>0</v>
      </c>
      <c r="M146" s="365"/>
      <c r="N146" s="365"/>
      <c r="O146" s="365"/>
      <c r="P146" s="365"/>
      <c r="Q146" s="365"/>
      <c r="R146" s="365"/>
      <c r="S146" s="366"/>
      <c r="T146" s="365">
        <f t="shared" si="88"/>
        <v>0</v>
      </c>
      <c r="U146" s="365">
        <f t="shared" si="93"/>
        <v>0</v>
      </c>
      <c r="V146" s="365"/>
      <c r="W146" s="365"/>
      <c r="X146" s="365"/>
      <c r="Y146" s="365"/>
      <c r="Z146" s="365"/>
      <c r="AA146" s="365">
        <f t="shared" si="71"/>
        <v>0</v>
      </c>
      <c r="AB146" s="366"/>
      <c r="AC146" s="366"/>
      <c r="AD146" s="366"/>
      <c r="AE146" s="366"/>
      <c r="AF146" s="366"/>
      <c r="AG146" s="366"/>
      <c r="AH146" s="365">
        <v>0</v>
      </c>
      <c r="AI146" s="366"/>
      <c r="AJ146" s="366"/>
      <c r="AK146" s="365">
        <v>0</v>
      </c>
      <c r="AL146" s="365">
        <f t="shared" si="87"/>
        <v>0</v>
      </c>
      <c r="AM146" s="365">
        <f t="shared" si="72"/>
        <v>0</v>
      </c>
      <c r="AN146" s="365">
        <f t="shared" si="73"/>
        <v>0</v>
      </c>
      <c r="AO146" s="365">
        <f t="shared" si="74"/>
        <v>0</v>
      </c>
      <c r="AP146" s="365">
        <f t="shared" si="75"/>
        <v>0</v>
      </c>
      <c r="AQ146" s="365">
        <f t="shared" si="76"/>
        <v>0</v>
      </c>
      <c r="AR146" s="365">
        <f t="shared" si="77"/>
        <v>0</v>
      </c>
      <c r="AS146" s="365">
        <f t="shared" si="94"/>
        <v>0</v>
      </c>
      <c r="AT146" s="365">
        <f t="shared" si="78"/>
        <v>0</v>
      </c>
      <c r="AU146" s="365">
        <f t="shared" si="79"/>
        <v>0</v>
      </c>
      <c r="AV146" s="365">
        <f t="shared" si="80"/>
        <v>0</v>
      </c>
      <c r="AW146" s="365">
        <f t="shared" si="81"/>
        <v>0</v>
      </c>
      <c r="AX146" s="365">
        <f t="shared" si="82"/>
        <v>0</v>
      </c>
      <c r="AY146" s="365">
        <f t="shared" si="83"/>
        <v>0</v>
      </c>
      <c r="AZ146" s="365">
        <f t="shared" si="84"/>
        <v>0</v>
      </c>
      <c r="BA146" s="365">
        <f t="shared" si="85"/>
        <v>0</v>
      </c>
      <c r="BB146" s="365">
        <f t="shared" si="92"/>
        <v>0</v>
      </c>
      <c r="BC146" s="365">
        <f t="shared" si="86"/>
        <v>0</v>
      </c>
      <c r="BD146" s="363"/>
    </row>
    <row r="147" ht="24" spans="1:57">
      <c r="A147" s="284" t="s">
        <v>195</v>
      </c>
      <c r="B147" s="284" t="s">
        <v>196</v>
      </c>
      <c r="C147" s="369" t="s">
        <v>369</v>
      </c>
      <c r="D147" s="284" t="s">
        <v>370</v>
      </c>
      <c r="E147" s="365">
        <f t="shared" si="89"/>
        <v>0</v>
      </c>
      <c r="F147" s="365">
        <f t="shared" si="90"/>
        <v>0</v>
      </c>
      <c r="G147" s="365"/>
      <c r="H147" s="365"/>
      <c r="I147" s="365"/>
      <c r="J147" s="365"/>
      <c r="K147" s="365"/>
      <c r="L147" s="365">
        <f t="shared" si="91"/>
        <v>0</v>
      </c>
      <c r="M147" s="365"/>
      <c r="N147" s="365"/>
      <c r="O147" s="365"/>
      <c r="P147" s="365"/>
      <c r="Q147" s="365"/>
      <c r="R147" s="365"/>
      <c r="S147" s="365"/>
      <c r="T147" s="365">
        <f t="shared" si="88"/>
        <v>0</v>
      </c>
      <c r="U147" s="365">
        <f t="shared" si="93"/>
        <v>0</v>
      </c>
      <c r="V147" s="365"/>
      <c r="W147" s="365"/>
      <c r="X147" s="365"/>
      <c r="Y147" s="365"/>
      <c r="Z147" s="365"/>
      <c r="AA147" s="365">
        <f t="shared" si="71"/>
        <v>0</v>
      </c>
      <c r="AB147" s="365"/>
      <c r="AC147" s="365"/>
      <c r="AD147" s="365"/>
      <c r="AE147" s="365"/>
      <c r="AF147" s="365"/>
      <c r="AG147" s="365"/>
      <c r="AH147" s="365">
        <v>0</v>
      </c>
      <c r="AI147" s="365"/>
      <c r="AJ147" s="365"/>
      <c r="AK147" s="365"/>
      <c r="AL147" s="365">
        <f t="shared" si="87"/>
        <v>0</v>
      </c>
      <c r="AM147" s="365">
        <f t="shared" si="72"/>
        <v>0</v>
      </c>
      <c r="AN147" s="365">
        <f t="shared" si="73"/>
        <v>0</v>
      </c>
      <c r="AO147" s="365">
        <f t="shared" si="74"/>
        <v>0</v>
      </c>
      <c r="AP147" s="365">
        <f t="shared" si="75"/>
        <v>0</v>
      </c>
      <c r="AQ147" s="365">
        <f t="shared" si="76"/>
        <v>0</v>
      </c>
      <c r="AR147" s="365">
        <f t="shared" si="77"/>
        <v>0</v>
      </c>
      <c r="AS147" s="365">
        <f t="shared" si="94"/>
        <v>0</v>
      </c>
      <c r="AT147" s="365">
        <f t="shared" si="78"/>
        <v>0</v>
      </c>
      <c r="AU147" s="365">
        <f t="shared" si="79"/>
        <v>0</v>
      </c>
      <c r="AV147" s="365">
        <f t="shared" si="80"/>
        <v>0</v>
      </c>
      <c r="AW147" s="365">
        <f t="shared" si="81"/>
        <v>0</v>
      </c>
      <c r="AX147" s="365">
        <f t="shared" si="82"/>
        <v>0</v>
      </c>
      <c r="AY147" s="365">
        <f t="shared" si="83"/>
        <v>0</v>
      </c>
      <c r="AZ147" s="365">
        <f t="shared" si="84"/>
        <v>0</v>
      </c>
      <c r="BA147" s="365">
        <f t="shared" si="85"/>
        <v>0</v>
      </c>
      <c r="BB147" s="365">
        <f t="shared" si="92"/>
        <v>0</v>
      </c>
      <c r="BC147" s="365">
        <f t="shared" si="86"/>
        <v>0</v>
      </c>
      <c r="BD147" s="363"/>
      <c r="BE147">
        <v>30.0696</v>
      </c>
    </row>
    <row r="148" ht="24" spans="1:56">
      <c r="A148" s="284" t="s">
        <v>195</v>
      </c>
      <c r="B148" s="284" t="s">
        <v>196</v>
      </c>
      <c r="C148" s="369" t="s">
        <v>371</v>
      </c>
      <c r="D148" s="284" t="s">
        <v>370</v>
      </c>
      <c r="E148" s="365">
        <f t="shared" si="89"/>
        <v>0</v>
      </c>
      <c r="F148" s="365">
        <f t="shared" si="90"/>
        <v>0</v>
      </c>
      <c r="G148" s="365"/>
      <c r="H148" s="365"/>
      <c r="I148" s="365"/>
      <c r="J148" s="365"/>
      <c r="K148" s="365"/>
      <c r="L148" s="365">
        <f t="shared" si="91"/>
        <v>0</v>
      </c>
      <c r="M148" s="365"/>
      <c r="N148" s="365"/>
      <c r="O148" s="365"/>
      <c r="P148" s="365"/>
      <c r="Q148" s="365"/>
      <c r="R148" s="365"/>
      <c r="S148" s="365"/>
      <c r="T148" s="365">
        <f t="shared" si="88"/>
        <v>0</v>
      </c>
      <c r="U148" s="365">
        <f t="shared" si="93"/>
        <v>0</v>
      </c>
      <c r="V148" s="365"/>
      <c r="W148" s="365"/>
      <c r="X148" s="365"/>
      <c r="Y148" s="365"/>
      <c r="Z148" s="365"/>
      <c r="AA148" s="365">
        <f t="shared" si="71"/>
        <v>0</v>
      </c>
      <c r="AB148" s="365"/>
      <c r="AC148" s="365"/>
      <c r="AD148" s="365"/>
      <c r="AE148" s="365"/>
      <c r="AF148" s="365"/>
      <c r="AG148" s="365"/>
      <c r="AH148" s="365">
        <v>0</v>
      </c>
      <c r="AI148" s="365"/>
      <c r="AJ148" s="365"/>
      <c r="AK148" s="365"/>
      <c r="AL148" s="365">
        <f t="shared" si="87"/>
        <v>0</v>
      </c>
      <c r="AM148" s="365">
        <f t="shared" si="72"/>
        <v>0</v>
      </c>
      <c r="AN148" s="365">
        <f t="shared" si="73"/>
        <v>0</v>
      </c>
      <c r="AO148" s="365">
        <f t="shared" si="74"/>
        <v>0</v>
      </c>
      <c r="AP148" s="365">
        <f t="shared" si="75"/>
        <v>0</v>
      </c>
      <c r="AQ148" s="365">
        <f t="shared" si="76"/>
        <v>0</v>
      </c>
      <c r="AR148" s="365">
        <f t="shared" si="77"/>
        <v>0</v>
      </c>
      <c r="AS148" s="365">
        <f t="shared" si="94"/>
        <v>0</v>
      </c>
      <c r="AT148" s="365">
        <f t="shared" si="78"/>
        <v>0</v>
      </c>
      <c r="AU148" s="365">
        <f t="shared" si="79"/>
        <v>0</v>
      </c>
      <c r="AV148" s="365">
        <f t="shared" si="80"/>
        <v>0</v>
      </c>
      <c r="AW148" s="365">
        <f t="shared" si="81"/>
        <v>0</v>
      </c>
      <c r="AX148" s="365">
        <f t="shared" si="82"/>
        <v>0</v>
      </c>
      <c r="AY148" s="365">
        <f t="shared" si="83"/>
        <v>0</v>
      </c>
      <c r="AZ148" s="365">
        <f t="shared" si="84"/>
        <v>0</v>
      </c>
      <c r="BA148" s="365">
        <f t="shared" si="85"/>
        <v>0</v>
      </c>
      <c r="BB148" s="365">
        <f t="shared" si="92"/>
        <v>0</v>
      </c>
      <c r="BC148" s="365">
        <f t="shared" si="86"/>
        <v>0</v>
      </c>
      <c r="BD148" s="363"/>
    </row>
    <row r="149" ht="24" spans="1:57">
      <c r="A149" s="284" t="s">
        <v>195</v>
      </c>
      <c r="B149" s="284" t="s">
        <v>196</v>
      </c>
      <c r="C149" s="284" t="s">
        <v>372</v>
      </c>
      <c r="D149" s="284" t="s">
        <v>370</v>
      </c>
      <c r="E149" s="365">
        <f t="shared" si="89"/>
        <v>0</v>
      </c>
      <c r="F149" s="365">
        <f t="shared" si="90"/>
        <v>0</v>
      </c>
      <c r="G149" s="365"/>
      <c r="H149" s="365"/>
      <c r="I149" s="365"/>
      <c r="J149" s="365"/>
      <c r="K149" s="365"/>
      <c r="L149" s="365">
        <f t="shared" si="91"/>
        <v>0</v>
      </c>
      <c r="M149" s="365"/>
      <c r="N149" s="365"/>
      <c r="O149" s="365"/>
      <c r="P149" s="365"/>
      <c r="Q149" s="365"/>
      <c r="R149" s="365"/>
      <c r="S149" s="365"/>
      <c r="T149" s="365">
        <f t="shared" si="88"/>
        <v>0</v>
      </c>
      <c r="U149" s="365">
        <f t="shared" si="93"/>
        <v>0</v>
      </c>
      <c r="V149" s="365"/>
      <c r="W149" s="365"/>
      <c r="X149" s="365"/>
      <c r="Y149" s="365"/>
      <c r="Z149" s="365"/>
      <c r="AA149" s="365">
        <f t="shared" si="71"/>
        <v>0</v>
      </c>
      <c r="AB149" s="365"/>
      <c r="AC149" s="365"/>
      <c r="AD149" s="365"/>
      <c r="AE149" s="365"/>
      <c r="AF149" s="365"/>
      <c r="AG149" s="365"/>
      <c r="AH149" s="365">
        <v>0</v>
      </c>
      <c r="AI149" s="365"/>
      <c r="AJ149" s="365"/>
      <c r="AK149" s="365"/>
      <c r="AL149" s="365">
        <f t="shared" si="87"/>
        <v>0</v>
      </c>
      <c r="AM149" s="365">
        <f t="shared" si="72"/>
        <v>0</v>
      </c>
      <c r="AN149" s="365">
        <f t="shared" si="73"/>
        <v>0</v>
      </c>
      <c r="AO149" s="365">
        <f t="shared" si="74"/>
        <v>0</v>
      </c>
      <c r="AP149" s="365">
        <f t="shared" si="75"/>
        <v>0</v>
      </c>
      <c r="AQ149" s="365">
        <f t="shared" si="76"/>
        <v>0</v>
      </c>
      <c r="AR149" s="365">
        <f t="shared" si="77"/>
        <v>0</v>
      </c>
      <c r="AS149" s="365">
        <f t="shared" si="94"/>
        <v>0</v>
      </c>
      <c r="AT149" s="365">
        <f t="shared" si="78"/>
        <v>0</v>
      </c>
      <c r="AU149" s="365">
        <f t="shared" si="79"/>
        <v>0</v>
      </c>
      <c r="AV149" s="365">
        <f t="shared" si="80"/>
        <v>0</v>
      </c>
      <c r="AW149" s="365">
        <f t="shared" si="81"/>
        <v>0</v>
      </c>
      <c r="AX149" s="365">
        <f t="shared" si="82"/>
        <v>0</v>
      </c>
      <c r="AY149" s="365">
        <f t="shared" si="83"/>
        <v>0</v>
      </c>
      <c r="AZ149" s="365">
        <f t="shared" si="84"/>
        <v>0</v>
      </c>
      <c r="BA149" s="365">
        <f t="shared" si="85"/>
        <v>0</v>
      </c>
      <c r="BB149" s="365">
        <f t="shared" si="92"/>
        <v>0</v>
      </c>
      <c r="BC149" s="365">
        <f t="shared" si="86"/>
        <v>0</v>
      </c>
      <c r="BD149" s="363"/>
      <c r="BE149">
        <v>7.8102</v>
      </c>
    </row>
    <row r="150" ht="24" spans="1:56">
      <c r="A150" s="284" t="s">
        <v>195</v>
      </c>
      <c r="B150" s="284" t="s">
        <v>199</v>
      </c>
      <c r="C150" s="284" t="s">
        <v>779</v>
      </c>
      <c r="D150" s="284" t="s">
        <v>376</v>
      </c>
      <c r="E150" s="365">
        <f t="shared" si="89"/>
        <v>0</v>
      </c>
      <c r="F150" s="365">
        <f t="shared" si="90"/>
        <v>0</v>
      </c>
      <c r="G150" s="365"/>
      <c r="H150" s="365"/>
      <c r="I150" s="365"/>
      <c r="J150" s="365"/>
      <c r="K150" s="365"/>
      <c r="L150" s="365">
        <f t="shared" si="91"/>
        <v>0</v>
      </c>
      <c r="M150" s="365"/>
      <c r="N150" s="365"/>
      <c r="O150" s="365"/>
      <c r="P150" s="365"/>
      <c r="Q150" s="365"/>
      <c r="R150" s="365"/>
      <c r="S150" s="365"/>
      <c r="T150" s="365">
        <f t="shared" si="88"/>
        <v>7.17</v>
      </c>
      <c r="U150" s="365">
        <f t="shared" si="93"/>
        <v>3.53</v>
      </c>
      <c r="V150" s="365">
        <v>2.47</v>
      </c>
      <c r="W150" s="365"/>
      <c r="X150" s="365">
        <v>1.06</v>
      </c>
      <c r="Y150" s="365"/>
      <c r="Z150" s="365"/>
      <c r="AA150" s="365">
        <f t="shared" si="71"/>
        <v>3.64</v>
      </c>
      <c r="AB150" s="365">
        <v>0.64</v>
      </c>
      <c r="AC150" s="365"/>
      <c r="AD150" s="365"/>
      <c r="AE150" s="365"/>
      <c r="AF150" s="365"/>
      <c r="AG150" s="365"/>
      <c r="AH150" s="365"/>
      <c r="AI150" s="365"/>
      <c r="AJ150" s="365">
        <v>3</v>
      </c>
      <c r="AK150" s="365"/>
      <c r="AL150" s="365">
        <f t="shared" si="87"/>
        <v>7.17</v>
      </c>
      <c r="AM150" s="365">
        <f t="shared" si="72"/>
        <v>3.53</v>
      </c>
      <c r="AN150" s="365">
        <f t="shared" si="73"/>
        <v>2.47</v>
      </c>
      <c r="AO150" s="365">
        <f t="shared" si="74"/>
        <v>0</v>
      </c>
      <c r="AP150" s="365">
        <f t="shared" si="75"/>
        <v>1.06</v>
      </c>
      <c r="AQ150" s="365">
        <f t="shared" si="76"/>
        <v>0</v>
      </c>
      <c r="AR150" s="365">
        <f t="shared" si="77"/>
        <v>0</v>
      </c>
      <c r="AS150" s="365">
        <f t="shared" si="94"/>
        <v>3.64</v>
      </c>
      <c r="AT150" s="365">
        <f t="shared" si="78"/>
        <v>0.64</v>
      </c>
      <c r="AU150" s="365">
        <f t="shared" si="79"/>
        <v>0</v>
      </c>
      <c r="AV150" s="365">
        <f t="shared" si="80"/>
        <v>0</v>
      </c>
      <c r="AW150" s="365">
        <f t="shared" si="81"/>
        <v>0</v>
      </c>
      <c r="AX150" s="365">
        <f t="shared" si="82"/>
        <v>0</v>
      </c>
      <c r="AY150" s="365">
        <f t="shared" si="83"/>
        <v>0</v>
      </c>
      <c r="AZ150" s="365">
        <f t="shared" si="84"/>
        <v>0</v>
      </c>
      <c r="BA150" s="365">
        <f t="shared" si="85"/>
        <v>0</v>
      </c>
      <c r="BB150" s="365">
        <f t="shared" si="92"/>
        <v>3</v>
      </c>
      <c r="BC150" s="365">
        <f t="shared" si="86"/>
        <v>0</v>
      </c>
      <c r="BD150" s="363"/>
    </row>
    <row r="151" ht="24" spans="1:57">
      <c r="A151" s="284" t="s">
        <v>195</v>
      </c>
      <c r="B151" s="284" t="s">
        <v>196</v>
      </c>
      <c r="C151" s="284" t="s">
        <v>373</v>
      </c>
      <c r="D151" s="284" t="s">
        <v>370</v>
      </c>
      <c r="E151" s="365">
        <f t="shared" ref="E151:E186" si="95">F151+L151</f>
        <v>0</v>
      </c>
      <c r="F151" s="365">
        <f t="shared" ref="F151:F170" si="96">SUM(G151:K151)</f>
        <v>0</v>
      </c>
      <c r="G151" s="365"/>
      <c r="H151" s="365"/>
      <c r="I151" s="365"/>
      <c r="J151" s="365"/>
      <c r="K151" s="365"/>
      <c r="L151" s="365">
        <f t="shared" ref="L151:L186" si="97">SUM(M151:S151)</f>
        <v>0</v>
      </c>
      <c r="M151" s="365"/>
      <c r="N151" s="365"/>
      <c r="O151" s="365"/>
      <c r="P151" s="365"/>
      <c r="Q151" s="365"/>
      <c r="R151" s="365"/>
      <c r="S151" s="365"/>
      <c r="T151" s="365">
        <f t="shared" ref="T151:T199" si="98">U151+AA151</f>
        <v>0</v>
      </c>
      <c r="U151" s="365">
        <f t="shared" ref="U151:U197" si="99">SUM(V151:Z151)</f>
        <v>0</v>
      </c>
      <c r="V151" s="365"/>
      <c r="W151" s="365"/>
      <c r="X151" s="365"/>
      <c r="Y151" s="365"/>
      <c r="Z151" s="365"/>
      <c r="AA151" s="365">
        <f t="shared" ref="AA151:AA169" si="100">SUM(AB151:AK151)</f>
        <v>0</v>
      </c>
      <c r="AB151" s="365"/>
      <c r="AC151" s="365"/>
      <c r="AD151" s="365"/>
      <c r="AE151" s="365"/>
      <c r="AF151" s="365"/>
      <c r="AG151" s="365"/>
      <c r="AH151" s="365">
        <v>0</v>
      </c>
      <c r="AI151" s="365"/>
      <c r="AJ151" s="365"/>
      <c r="AK151" s="365"/>
      <c r="AL151" s="365">
        <f t="shared" ref="AL151:AL198" si="101">AM151+AS151</f>
        <v>0</v>
      </c>
      <c r="AM151" s="365">
        <f t="shared" ref="AM151:AM169" si="102">SUM(AN151:AR151)</f>
        <v>0</v>
      </c>
      <c r="AN151" s="365">
        <f t="shared" ref="AN151:AN169" si="103">G151+V151</f>
        <v>0</v>
      </c>
      <c r="AO151" s="365">
        <f t="shared" ref="AO151:AO169" si="104">H151+W151</f>
        <v>0</v>
      </c>
      <c r="AP151" s="365">
        <f t="shared" ref="AP151:AP169" si="105">I151+X151</f>
        <v>0</v>
      </c>
      <c r="AQ151" s="365">
        <f t="shared" ref="AQ151:AQ169" si="106">J151+Y151</f>
        <v>0</v>
      </c>
      <c r="AR151" s="365">
        <f t="shared" ref="AR151:AR169" si="107">K151+Z151</f>
        <v>0</v>
      </c>
      <c r="AS151" s="365">
        <f t="shared" ref="AS151:AS197" si="108">SUM(AT151:BC151)</f>
        <v>0</v>
      </c>
      <c r="AT151" s="365">
        <f t="shared" ref="AT151:AT169" si="109">M151+AB151</f>
        <v>0</v>
      </c>
      <c r="AU151" s="365">
        <f t="shared" ref="AU151:AU169" si="110">N151+AC151</f>
        <v>0</v>
      </c>
      <c r="AV151" s="365">
        <f t="shared" ref="AV151:AV169" si="111">O151+AD151</f>
        <v>0</v>
      </c>
      <c r="AW151" s="365">
        <f t="shared" ref="AW151:AW169" si="112">P151+AE151</f>
        <v>0</v>
      </c>
      <c r="AX151" s="365">
        <f t="shared" ref="AX151:AX169" si="113">Q151+AF151</f>
        <v>0</v>
      </c>
      <c r="AY151" s="365">
        <f t="shared" ref="AY151:AY169" si="114">R151+AG151</f>
        <v>0</v>
      </c>
      <c r="AZ151" s="365">
        <f t="shared" ref="AZ151:AZ169" si="115">S151+AH151</f>
        <v>0</v>
      </c>
      <c r="BA151" s="365">
        <f t="shared" ref="BA151:BA169" si="116">AI151</f>
        <v>0</v>
      </c>
      <c r="BB151" s="365">
        <f t="shared" si="92"/>
        <v>0</v>
      </c>
      <c r="BC151" s="365">
        <f t="shared" ref="BC151:BC169" si="117">AK151</f>
        <v>0</v>
      </c>
      <c r="BD151" s="363"/>
      <c r="BE151">
        <v>7.2556</v>
      </c>
    </row>
    <row r="152" ht="24" spans="1:57">
      <c r="A152" s="284" t="s">
        <v>195</v>
      </c>
      <c r="B152" s="284" t="s">
        <v>196</v>
      </c>
      <c r="C152" s="284" t="s">
        <v>374</v>
      </c>
      <c r="D152" s="284" t="s">
        <v>370</v>
      </c>
      <c r="E152" s="365">
        <f t="shared" si="95"/>
        <v>0</v>
      </c>
      <c r="F152" s="365">
        <f t="shared" si="96"/>
        <v>0</v>
      </c>
      <c r="G152" s="365"/>
      <c r="H152" s="365"/>
      <c r="I152" s="365"/>
      <c r="J152" s="365"/>
      <c r="K152" s="365"/>
      <c r="L152" s="365">
        <f t="shared" si="97"/>
        <v>0</v>
      </c>
      <c r="M152" s="365"/>
      <c r="N152" s="365"/>
      <c r="O152" s="365"/>
      <c r="P152" s="365"/>
      <c r="Q152" s="365"/>
      <c r="R152" s="365"/>
      <c r="S152" s="365"/>
      <c r="T152" s="365">
        <f t="shared" si="98"/>
        <v>0</v>
      </c>
      <c r="U152" s="365">
        <f t="shared" si="99"/>
        <v>0</v>
      </c>
      <c r="V152" s="365"/>
      <c r="W152" s="365"/>
      <c r="X152" s="365"/>
      <c r="Y152" s="365"/>
      <c r="Z152" s="365"/>
      <c r="AA152" s="365">
        <f t="shared" si="100"/>
        <v>0</v>
      </c>
      <c r="AB152" s="365"/>
      <c r="AC152" s="365"/>
      <c r="AD152" s="365"/>
      <c r="AE152" s="365"/>
      <c r="AF152" s="365"/>
      <c r="AG152" s="365"/>
      <c r="AH152" s="365">
        <v>0</v>
      </c>
      <c r="AI152" s="365"/>
      <c r="AJ152" s="365"/>
      <c r="AK152" s="365"/>
      <c r="AL152" s="365">
        <f t="shared" si="101"/>
        <v>0</v>
      </c>
      <c r="AM152" s="365">
        <f t="shared" si="102"/>
        <v>0</v>
      </c>
      <c r="AN152" s="365">
        <f t="shared" si="103"/>
        <v>0</v>
      </c>
      <c r="AO152" s="365">
        <f t="shared" si="104"/>
        <v>0</v>
      </c>
      <c r="AP152" s="365">
        <f t="shared" si="105"/>
        <v>0</v>
      </c>
      <c r="AQ152" s="365">
        <f t="shared" si="106"/>
        <v>0</v>
      </c>
      <c r="AR152" s="365">
        <f t="shared" si="107"/>
        <v>0</v>
      </c>
      <c r="AS152" s="365">
        <f t="shared" si="108"/>
        <v>0</v>
      </c>
      <c r="AT152" s="365">
        <f t="shared" si="109"/>
        <v>0</v>
      </c>
      <c r="AU152" s="365">
        <f t="shared" si="110"/>
        <v>0</v>
      </c>
      <c r="AV152" s="365">
        <f t="shared" si="111"/>
        <v>0</v>
      </c>
      <c r="AW152" s="365">
        <f t="shared" si="112"/>
        <v>0</v>
      </c>
      <c r="AX152" s="365">
        <f t="shared" si="113"/>
        <v>0</v>
      </c>
      <c r="AY152" s="365">
        <f t="shared" si="114"/>
        <v>0</v>
      </c>
      <c r="AZ152" s="365">
        <f t="shared" si="115"/>
        <v>0</v>
      </c>
      <c r="BA152" s="365">
        <f t="shared" si="116"/>
        <v>0</v>
      </c>
      <c r="BB152" s="365">
        <f t="shared" si="92"/>
        <v>0</v>
      </c>
      <c r="BC152" s="365">
        <f t="shared" si="117"/>
        <v>0</v>
      </c>
      <c r="BD152" s="363"/>
      <c r="BE152">
        <v>12.118</v>
      </c>
    </row>
    <row r="153" ht="24" spans="1:56">
      <c r="A153" s="284" t="s">
        <v>195</v>
      </c>
      <c r="B153" s="284" t="s">
        <v>199</v>
      </c>
      <c r="C153" s="369" t="s">
        <v>375</v>
      </c>
      <c r="D153" s="284" t="s">
        <v>376</v>
      </c>
      <c r="E153" s="365">
        <f t="shared" si="95"/>
        <v>21.12</v>
      </c>
      <c r="F153" s="365">
        <f t="shared" si="96"/>
        <v>17.64</v>
      </c>
      <c r="G153" s="365">
        <v>11.84</v>
      </c>
      <c r="H153" s="365"/>
      <c r="I153" s="365">
        <v>5.8</v>
      </c>
      <c r="J153" s="365"/>
      <c r="K153" s="365"/>
      <c r="L153" s="365">
        <f t="shared" si="97"/>
        <v>3.48</v>
      </c>
      <c r="M153" s="365">
        <v>3.48</v>
      </c>
      <c r="N153" s="365"/>
      <c r="O153" s="365"/>
      <c r="P153" s="365"/>
      <c r="Q153" s="365"/>
      <c r="R153" s="365"/>
      <c r="S153" s="365"/>
      <c r="T153" s="365">
        <f t="shared" si="98"/>
        <v>20.21</v>
      </c>
      <c r="U153" s="365">
        <f t="shared" si="99"/>
        <v>6.78</v>
      </c>
      <c r="V153" s="365">
        <v>5.33</v>
      </c>
      <c r="W153" s="365"/>
      <c r="X153" s="365">
        <v>1.45</v>
      </c>
      <c r="Y153" s="365"/>
      <c r="Z153" s="365"/>
      <c r="AA153" s="365">
        <f t="shared" si="100"/>
        <v>13.43</v>
      </c>
      <c r="AB153" s="365">
        <v>0.87</v>
      </c>
      <c r="AC153" s="365"/>
      <c r="AD153" s="365"/>
      <c r="AE153" s="365"/>
      <c r="AF153" s="365"/>
      <c r="AG153" s="365"/>
      <c r="AH153" s="365">
        <v>0</v>
      </c>
      <c r="AI153" s="365">
        <v>11.56</v>
      </c>
      <c r="AJ153" s="365">
        <v>1</v>
      </c>
      <c r="AK153" s="365">
        <v>0</v>
      </c>
      <c r="AL153" s="365">
        <f t="shared" si="101"/>
        <v>41.33</v>
      </c>
      <c r="AM153" s="365">
        <f t="shared" si="102"/>
        <v>24.42</v>
      </c>
      <c r="AN153" s="365">
        <f t="shared" si="103"/>
        <v>17.17</v>
      </c>
      <c r="AO153" s="365">
        <f t="shared" si="104"/>
        <v>0</v>
      </c>
      <c r="AP153" s="365">
        <f t="shared" si="105"/>
        <v>7.25</v>
      </c>
      <c r="AQ153" s="365">
        <f t="shared" si="106"/>
        <v>0</v>
      </c>
      <c r="AR153" s="365">
        <f t="shared" si="107"/>
        <v>0</v>
      </c>
      <c r="AS153" s="365">
        <f t="shared" si="108"/>
        <v>16.91</v>
      </c>
      <c r="AT153" s="365">
        <f t="shared" si="109"/>
        <v>4.35</v>
      </c>
      <c r="AU153" s="365">
        <f t="shared" si="110"/>
        <v>0</v>
      </c>
      <c r="AV153" s="365">
        <f t="shared" si="111"/>
        <v>0</v>
      </c>
      <c r="AW153" s="365">
        <f t="shared" si="112"/>
        <v>0</v>
      </c>
      <c r="AX153" s="365">
        <f t="shared" si="113"/>
        <v>0</v>
      </c>
      <c r="AY153" s="365">
        <f t="shared" si="114"/>
        <v>0</v>
      </c>
      <c r="AZ153" s="365">
        <f t="shared" si="115"/>
        <v>0</v>
      </c>
      <c r="BA153" s="365">
        <f t="shared" si="116"/>
        <v>11.56</v>
      </c>
      <c r="BB153" s="365">
        <f t="shared" si="92"/>
        <v>1</v>
      </c>
      <c r="BC153" s="365">
        <f t="shared" si="117"/>
        <v>0</v>
      </c>
      <c r="BD153" s="363"/>
    </row>
    <row r="154" ht="24" spans="1:56">
      <c r="A154" s="284" t="s">
        <v>195</v>
      </c>
      <c r="B154" s="284" t="s">
        <v>199</v>
      </c>
      <c r="C154" s="369" t="s">
        <v>781</v>
      </c>
      <c r="D154" s="284" t="s">
        <v>376</v>
      </c>
      <c r="E154" s="365">
        <f t="shared" si="95"/>
        <v>16.15</v>
      </c>
      <c r="F154" s="365">
        <f t="shared" si="96"/>
        <v>13.54</v>
      </c>
      <c r="G154" s="365">
        <v>9.19</v>
      </c>
      <c r="H154" s="365"/>
      <c r="I154" s="365">
        <v>4.35</v>
      </c>
      <c r="J154" s="365"/>
      <c r="K154" s="365"/>
      <c r="L154" s="365">
        <f t="shared" si="97"/>
        <v>2.61</v>
      </c>
      <c r="M154" s="365">
        <v>2.61</v>
      </c>
      <c r="N154" s="365"/>
      <c r="O154" s="365"/>
      <c r="P154" s="365"/>
      <c r="Q154" s="365"/>
      <c r="R154" s="365"/>
      <c r="S154" s="365"/>
      <c r="T154" s="365">
        <f t="shared" si="98"/>
        <v>-3.49</v>
      </c>
      <c r="U154" s="365">
        <f t="shared" si="99"/>
        <v>-8.01</v>
      </c>
      <c r="V154" s="365">
        <v>-5.28</v>
      </c>
      <c r="W154" s="365"/>
      <c r="X154" s="365">
        <v>-2.73</v>
      </c>
      <c r="Y154" s="365"/>
      <c r="Z154" s="365"/>
      <c r="AA154" s="365">
        <f t="shared" si="100"/>
        <v>4.52</v>
      </c>
      <c r="AB154" s="365">
        <v>-1.64</v>
      </c>
      <c r="AC154" s="365"/>
      <c r="AD154" s="365"/>
      <c r="AE154" s="365"/>
      <c r="AF154" s="365"/>
      <c r="AG154" s="365"/>
      <c r="AH154" s="365">
        <v>0</v>
      </c>
      <c r="AI154" s="365">
        <v>3.16</v>
      </c>
      <c r="AJ154" s="365">
        <v>3</v>
      </c>
      <c r="AK154" s="365">
        <v>0</v>
      </c>
      <c r="AL154" s="365">
        <f t="shared" si="101"/>
        <v>12.66</v>
      </c>
      <c r="AM154" s="365">
        <f t="shared" si="102"/>
        <v>5.53</v>
      </c>
      <c r="AN154" s="365">
        <f t="shared" si="103"/>
        <v>3.91</v>
      </c>
      <c r="AO154" s="365">
        <f t="shared" si="104"/>
        <v>0</v>
      </c>
      <c r="AP154" s="365">
        <f t="shared" si="105"/>
        <v>1.62</v>
      </c>
      <c r="AQ154" s="365">
        <f t="shared" si="106"/>
        <v>0</v>
      </c>
      <c r="AR154" s="365">
        <f t="shared" si="107"/>
        <v>0</v>
      </c>
      <c r="AS154" s="365">
        <f t="shared" si="108"/>
        <v>7.13</v>
      </c>
      <c r="AT154" s="365">
        <f t="shared" si="109"/>
        <v>0.97</v>
      </c>
      <c r="AU154" s="365">
        <f t="shared" si="110"/>
        <v>0</v>
      </c>
      <c r="AV154" s="365">
        <f t="shared" si="111"/>
        <v>0</v>
      </c>
      <c r="AW154" s="365">
        <f t="shared" si="112"/>
        <v>0</v>
      </c>
      <c r="AX154" s="365">
        <f t="shared" si="113"/>
        <v>0</v>
      </c>
      <c r="AY154" s="365">
        <f t="shared" si="114"/>
        <v>0</v>
      </c>
      <c r="AZ154" s="365">
        <f t="shared" si="115"/>
        <v>0</v>
      </c>
      <c r="BA154" s="365">
        <f t="shared" si="116"/>
        <v>3.16</v>
      </c>
      <c r="BB154" s="365">
        <f t="shared" si="92"/>
        <v>3</v>
      </c>
      <c r="BC154" s="365">
        <f t="shared" si="117"/>
        <v>0</v>
      </c>
      <c r="BD154" s="363"/>
    </row>
    <row r="155" ht="24" spans="1:56">
      <c r="A155" s="284" t="s">
        <v>195</v>
      </c>
      <c r="B155" s="284" t="s">
        <v>199</v>
      </c>
      <c r="C155" s="369" t="s">
        <v>378</v>
      </c>
      <c r="D155" s="284" t="s">
        <v>376</v>
      </c>
      <c r="E155" s="365">
        <f t="shared" si="95"/>
        <v>11.46</v>
      </c>
      <c r="F155" s="365">
        <f t="shared" si="96"/>
        <v>9.69</v>
      </c>
      <c r="G155" s="365">
        <v>6.74</v>
      </c>
      <c r="H155" s="365"/>
      <c r="I155" s="365">
        <v>2.95</v>
      </c>
      <c r="J155" s="365"/>
      <c r="K155" s="365"/>
      <c r="L155" s="365">
        <f t="shared" si="97"/>
        <v>1.77</v>
      </c>
      <c r="M155" s="365">
        <v>1.77</v>
      </c>
      <c r="N155" s="365"/>
      <c r="O155" s="365"/>
      <c r="P155" s="365"/>
      <c r="Q155" s="365"/>
      <c r="R155" s="365"/>
      <c r="S155" s="365"/>
      <c r="T155" s="365">
        <f t="shared" si="98"/>
        <v>15.56</v>
      </c>
      <c r="U155" s="365">
        <f t="shared" si="99"/>
        <v>6.29</v>
      </c>
      <c r="V155" s="365">
        <v>4.91</v>
      </c>
      <c r="W155" s="365"/>
      <c r="X155" s="365">
        <v>1.38</v>
      </c>
      <c r="Y155" s="365"/>
      <c r="Z155" s="365"/>
      <c r="AA155" s="365">
        <f t="shared" si="100"/>
        <v>9.27</v>
      </c>
      <c r="AB155" s="365">
        <v>0.83</v>
      </c>
      <c r="AC155" s="365"/>
      <c r="AD155" s="365"/>
      <c r="AE155" s="365"/>
      <c r="AF155" s="365"/>
      <c r="AG155" s="365"/>
      <c r="AH155" s="365">
        <v>0</v>
      </c>
      <c r="AI155" s="365">
        <v>7.44</v>
      </c>
      <c r="AJ155" s="365">
        <v>1</v>
      </c>
      <c r="AK155" s="365">
        <v>0</v>
      </c>
      <c r="AL155" s="365">
        <f t="shared" si="101"/>
        <v>27.02</v>
      </c>
      <c r="AM155" s="365">
        <f t="shared" si="102"/>
        <v>15.98</v>
      </c>
      <c r="AN155" s="365">
        <f t="shared" si="103"/>
        <v>11.65</v>
      </c>
      <c r="AO155" s="365">
        <f t="shared" si="104"/>
        <v>0</v>
      </c>
      <c r="AP155" s="365">
        <f t="shared" si="105"/>
        <v>4.33</v>
      </c>
      <c r="AQ155" s="365">
        <f t="shared" si="106"/>
        <v>0</v>
      </c>
      <c r="AR155" s="365">
        <f t="shared" si="107"/>
        <v>0</v>
      </c>
      <c r="AS155" s="365">
        <f t="shared" si="108"/>
        <v>11.04</v>
      </c>
      <c r="AT155" s="365">
        <f t="shared" si="109"/>
        <v>2.6</v>
      </c>
      <c r="AU155" s="365">
        <f t="shared" si="110"/>
        <v>0</v>
      </c>
      <c r="AV155" s="365">
        <f t="shared" si="111"/>
        <v>0</v>
      </c>
      <c r="AW155" s="365">
        <f t="shared" si="112"/>
        <v>0</v>
      </c>
      <c r="AX155" s="365">
        <f t="shared" si="113"/>
        <v>0</v>
      </c>
      <c r="AY155" s="365">
        <f t="shared" si="114"/>
        <v>0</v>
      </c>
      <c r="AZ155" s="365">
        <f t="shared" si="115"/>
        <v>0</v>
      </c>
      <c r="BA155" s="365">
        <f t="shared" si="116"/>
        <v>7.44</v>
      </c>
      <c r="BB155" s="365">
        <f t="shared" si="92"/>
        <v>1</v>
      </c>
      <c r="BC155" s="365">
        <f t="shared" si="117"/>
        <v>0</v>
      </c>
      <c r="BD155" s="363"/>
    </row>
    <row r="156" ht="24" spans="1:56">
      <c r="A156" s="284" t="s">
        <v>195</v>
      </c>
      <c r="B156" s="284" t="s">
        <v>199</v>
      </c>
      <c r="C156" s="369" t="s">
        <v>379</v>
      </c>
      <c r="D156" s="284" t="s">
        <v>376</v>
      </c>
      <c r="E156" s="365">
        <f t="shared" si="95"/>
        <v>12.8</v>
      </c>
      <c r="F156" s="365">
        <f t="shared" si="96"/>
        <v>11.14</v>
      </c>
      <c r="G156" s="365">
        <v>7.17</v>
      </c>
      <c r="H156" s="365">
        <v>1.2</v>
      </c>
      <c r="I156" s="365">
        <v>2.77</v>
      </c>
      <c r="J156" s="365"/>
      <c r="K156" s="365"/>
      <c r="L156" s="365">
        <f t="shared" si="97"/>
        <v>1.66</v>
      </c>
      <c r="M156" s="365">
        <v>1.66</v>
      </c>
      <c r="N156" s="365"/>
      <c r="O156" s="365"/>
      <c r="P156" s="365"/>
      <c r="Q156" s="365"/>
      <c r="R156" s="365"/>
      <c r="S156" s="365"/>
      <c r="T156" s="365">
        <f t="shared" si="98"/>
        <v>6.39</v>
      </c>
      <c r="U156" s="365">
        <f t="shared" si="99"/>
        <v>1.11</v>
      </c>
      <c r="V156" s="365">
        <v>0.98</v>
      </c>
      <c r="W156" s="365"/>
      <c r="X156" s="365">
        <v>0.13</v>
      </c>
      <c r="Y156" s="365"/>
      <c r="Z156" s="365"/>
      <c r="AA156" s="365">
        <f t="shared" si="100"/>
        <v>5.28</v>
      </c>
      <c r="AB156" s="365">
        <v>0.08</v>
      </c>
      <c r="AC156" s="365"/>
      <c r="AD156" s="365"/>
      <c r="AE156" s="365"/>
      <c r="AF156" s="365"/>
      <c r="AG156" s="365"/>
      <c r="AH156" s="365">
        <v>0</v>
      </c>
      <c r="AI156" s="365">
        <v>4.2</v>
      </c>
      <c r="AJ156" s="365">
        <v>1</v>
      </c>
      <c r="AK156" s="365">
        <v>0</v>
      </c>
      <c r="AL156" s="365">
        <f t="shared" si="101"/>
        <v>19.19</v>
      </c>
      <c r="AM156" s="365">
        <f t="shared" si="102"/>
        <v>12.25</v>
      </c>
      <c r="AN156" s="365">
        <f t="shared" si="103"/>
        <v>8.15</v>
      </c>
      <c r="AO156" s="365">
        <f t="shared" si="104"/>
        <v>1.2</v>
      </c>
      <c r="AP156" s="365">
        <f t="shared" si="105"/>
        <v>2.9</v>
      </c>
      <c r="AQ156" s="365">
        <f t="shared" si="106"/>
        <v>0</v>
      </c>
      <c r="AR156" s="365">
        <f t="shared" si="107"/>
        <v>0</v>
      </c>
      <c r="AS156" s="365">
        <f t="shared" si="108"/>
        <v>6.94</v>
      </c>
      <c r="AT156" s="365">
        <f t="shared" si="109"/>
        <v>1.74</v>
      </c>
      <c r="AU156" s="365">
        <f t="shared" si="110"/>
        <v>0</v>
      </c>
      <c r="AV156" s="365">
        <f t="shared" si="111"/>
        <v>0</v>
      </c>
      <c r="AW156" s="365">
        <f t="shared" si="112"/>
        <v>0</v>
      </c>
      <c r="AX156" s="365">
        <f t="shared" si="113"/>
        <v>0</v>
      </c>
      <c r="AY156" s="365">
        <f t="shared" si="114"/>
        <v>0</v>
      </c>
      <c r="AZ156" s="365">
        <f t="shared" si="115"/>
        <v>0</v>
      </c>
      <c r="BA156" s="365">
        <f t="shared" si="116"/>
        <v>4.2</v>
      </c>
      <c r="BB156" s="365">
        <f t="shared" si="92"/>
        <v>1</v>
      </c>
      <c r="BC156" s="365">
        <f t="shared" si="117"/>
        <v>0</v>
      </c>
      <c r="BD156" s="363"/>
    </row>
    <row r="157" ht="24" spans="1:57">
      <c r="A157" s="284" t="s">
        <v>195</v>
      </c>
      <c r="B157" s="284" t="s">
        <v>199</v>
      </c>
      <c r="C157" s="369" t="s">
        <v>380</v>
      </c>
      <c r="D157" s="284" t="s">
        <v>376</v>
      </c>
      <c r="E157" s="365">
        <f t="shared" si="95"/>
        <v>23.75</v>
      </c>
      <c r="F157" s="365">
        <f t="shared" si="96"/>
        <v>9.06</v>
      </c>
      <c r="G157" s="365">
        <v>6.24</v>
      </c>
      <c r="H157" s="365"/>
      <c r="I157" s="365">
        <v>2.82</v>
      </c>
      <c r="J157" s="365"/>
      <c r="K157" s="365"/>
      <c r="L157" s="365">
        <f t="shared" si="97"/>
        <v>14.69</v>
      </c>
      <c r="M157" s="365">
        <v>1.69</v>
      </c>
      <c r="N157" s="365"/>
      <c r="O157" s="365"/>
      <c r="P157" s="365"/>
      <c r="Q157" s="365"/>
      <c r="R157" s="365"/>
      <c r="S157" s="366">
        <v>13</v>
      </c>
      <c r="T157" s="365">
        <f t="shared" si="98"/>
        <v>14.49</v>
      </c>
      <c r="U157" s="365">
        <f t="shared" si="99"/>
        <v>13.89</v>
      </c>
      <c r="V157" s="365">
        <v>10.02</v>
      </c>
      <c r="W157" s="365"/>
      <c r="X157" s="365">
        <v>3.87</v>
      </c>
      <c r="Y157" s="365"/>
      <c r="Z157" s="365"/>
      <c r="AA157" s="365">
        <f t="shared" si="100"/>
        <v>0.6</v>
      </c>
      <c r="AB157" s="366">
        <v>2.32</v>
      </c>
      <c r="AC157" s="366"/>
      <c r="AD157" s="366"/>
      <c r="AE157" s="366"/>
      <c r="AF157" s="366"/>
      <c r="AG157" s="366"/>
      <c r="AH157" s="365">
        <v>-13</v>
      </c>
      <c r="AI157" s="366">
        <v>10.28</v>
      </c>
      <c r="AJ157" s="366">
        <v>1</v>
      </c>
      <c r="AK157" s="365">
        <v>0</v>
      </c>
      <c r="AL157" s="365">
        <f t="shared" si="101"/>
        <v>38.24</v>
      </c>
      <c r="AM157" s="365">
        <f t="shared" si="102"/>
        <v>22.95</v>
      </c>
      <c r="AN157" s="365">
        <f t="shared" si="103"/>
        <v>16.26</v>
      </c>
      <c r="AO157" s="365">
        <f t="shared" si="104"/>
        <v>0</v>
      </c>
      <c r="AP157" s="365">
        <f t="shared" si="105"/>
        <v>6.69</v>
      </c>
      <c r="AQ157" s="365">
        <f t="shared" si="106"/>
        <v>0</v>
      </c>
      <c r="AR157" s="365">
        <f t="shared" si="107"/>
        <v>0</v>
      </c>
      <c r="AS157" s="365">
        <f t="shared" si="108"/>
        <v>15.29</v>
      </c>
      <c r="AT157" s="365">
        <f t="shared" si="109"/>
        <v>4.01</v>
      </c>
      <c r="AU157" s="365">
        <f t="shared" si="110"/>
        <v>0</v>
      </c>
      <c r="AV157" s="365">
        <f t="shared" si="111"/>
        <v>0</v>
      </c>
      <c r="AW157" s="365">
        <f t="shared" si="112"/>
        <v>0</v>
      </c>
      <c r="AX157" s="365">
        <f t="shared" si="113"/>
        <v>0</v>
      </c>
      <c r="AY157" s="365">
        <f t="shared" si="114"/>
        <v>0</v>
      </c>
      <c r="AZ157" s="365">
        <f t="shared" si="115"/>
        <v>0</v>
      </c>
      <c r="BA157" s="365">
        <f t="shared" si="116"/>
        <v>10.28</v>
      </c>
      <c r="BB157" s="365">
        <f t="shared" si="92"/>
        <v>1</v>
      </c>
      <c r="BC157" s="365">
        <f t="shared" si="117"/>
        <v>0</v>
      </c>
      <c r="BD157" s="363"/>
      <c r="BE157">
        <v>0</v>
      </c>
    </row>
    <row r="158" ht="24" spans="1:56">
      <c r="A158" s="284" t="s">
        <v>195</v>
      </c>
      <c r="B158" s="284" t="s">
        <v>199</v>
      </c>
      <c r="C158" s="284" t="s">
        <v>381</v>
      </c>
      <c r="D158" s="284" t="s">
        <v>376</v>
      </c>
      <c r="E158" s="365">
        <f t="shared" si="95"/>
        <v>21.35</v>
      </c>
      <c r="F158" s="365">
        <f t="shared" si="96"/>
        <v>18.15</v>
      </c>
      <c r="G158" s="365">
        <v>12.82</v>
      </c>
      <c r="H158" s="365"/>
      <c r="I158" s="365">
        <v>5.33</v>
      </c>
      <c r="J158" s="365"/>
      <c r="K158" s="365"/>
      <c r="L158" s="365">
        <f t="shared" si="97"/>
        <v>3.2</v>
      </c>
      <c r="M158" s="365">
        <v>3.2</v>
      </c>
      <c r="N158" s="365"/>
      <c r="O158" s="365"/>
      <c r="P158" s="365"/>
      <c r="Q158" s="365"/>
      <c r="R158" s="365"/>
      <c r="S158" s="365"/>
      <c r="T158" s="365">
        <f t="shared" si="98"/>
        <v>10.82</v>
      </c>
      <c r="U158" s="365">
        <f t="shared" si="99"/>
        <v>2.02</v>
      </c>
      <c r="V158" s="365">
        <v>1.81</v>
      </c>
      <c r="W158" s="365"/>
      <c r="X158" s="365">
        <v>0.21</v>
      </c>
      <c r="Y158" s="365"/>
      <c r="Z158" s="365"/>
      <c r="AA158" s="365">
        <f t="shared" si="100"/>
        <v>8.8</v>
      </c>
      <c r="AB158" s="365">
        <v>0.13</v>
      </c>
      <c r="AC158" s="365"/>
      <c r="AD158" s="365"/>
      <c r="AE158" s="365"/>
      <c r="AF158" s="365"/>
      <c r="AG158" s="365">
        <v>0.15</v>
      </c>
      <c r="AH158" s="365">
        <v>0</v>
      </c>
      <c r="AI158" s="365">
        <v>5.52</v>
      </c>
      <c r="AJ158" s="365">
        <v>3</v>
      </c>
      <c r="AK158" s="365">
        <v>0</v>
      </c>
      <c r="AL158" s="365">
        <f t="shared" si="101"/>
        <v>32.17</v>
      </c>
      <c r="AM158" s="365">
        <f t="shared" si="102"/>
        <v>20.17</v>
      </c>
      <c r="AN158" s="365">
        <f t="shared" si="103"/>
        <v>14.63</v>
      </c>
      <c r="AO158" s="365">
        <f t="shared" si="104"/>
        <v>0</v>
      </c>
      <c r="AP158" s="365">
        <f t="shared" si="105"/>
        <v>5.54</v>
      </c>
      <c r="AQ158" s="365">
        <f t="shared" si="106"/>
        <v>0</v>
      </c>
      <c r="AR158" s="365">
        <f t="shared" si="107"/>
        <v>0</v>
      </c>
      <c r="AS158" s="365">
        <f t="shared" si="108"/>
        <v>12</v>
      </c>
      <c r="AT158" s="365">
        <f t="shared" si="109"/>
        <v>3.33</v>
      </c>
      <c r="AU158" s="365">
        <f t="shared" si="110"/>
        <v>0</v>
      </c>
      <c r="AV158" s="365">
        <f t="shared" si="111"/>
        <v>0</v>
      </c>
      <c r="AW158" s="365">
        <f t="shared" si="112"/>
        <v>0</v>
      </c>
      <c r="AX158" s="365">
        <f t="shared" si="113"/>
        <v>0</v>
      </c>
      <c r="AY158" s="365">
        <f t="shared" si="114"/>
        <v>0.15</v>
      </c>
      <c r="AZ158" s="365">
        <f t="shared" si="115"/>
        <v>0</v>
      </c>
      <c r="BA158" s="365">
        <f t="shared" si="116"/>
        <v>5.52</v>
      </c>
      <c r="BB158" s="365">
        <f t="shared" si="92"/>
        <v>3</v>
      </c>
      <c r="BC158" s="365">
        <f t="shared" si="117"/>
        <v>0</v>
      </c>
      <c r="BD158" s="363"/>
    </row>
    <row r="159" ht="24" spans="1:56">
      <c r="A159" s="284" t="s">
        <v>195</v>
      </c>
      <c r="B159" s="284" t="s">
        <v>199</v>
      </c>
      <c r="C159" s="284" t="s">
        <v>382</v>
      </c>
      <c r="D159" s="284" t="s">
        <v>376</v>
      </c>
      <c r="E159" s="365">
        <f t="shared" si="95"/>
        <v>17.45</v>
      </c>
      <c r="F159" s="365">
        <f t="shared" si="96"/>
        <v>14.84</v>
      </c>
      <c r="G159" s="365">
        <v>10.49</v>
      </c>
      <c r="H159" s="365"/>
      <c r="I159" s="365">
        <v>4.35</v>
      </c>
      <c r="J159" s="365"/>
      <c r="K159" s="365"/>
      <c r="L159" s="365">
        <f t="shared" si="97"/>
        <v>2.61</v>
      </c>
      <c r="M159" s="365">
        <v>2.61</v>
      </c>
      <c r="N159" s="365"/>
      <c r="O159" s="365"/>
      <c r="P159" s="365"/>
      <c r="Q159" s="365"/>
      <c r="R159" s="365"/>
      <c r="S159" s="365"/>
      <c r="T159" s="365">
        <f t="shared" si="98"/>
        <v>7.59</v>
      </c>
      <c r="U159" s="365">
        <f t="shared" si="99"/>
        <v>1.45</v>
      </c>
      <c r="V159" s="365">
        <v>1.45</v>
      </c>
      <c r="W159" s="365"/>
      <c r="X159" s="365"/>
      <c r="Y159" s="365"/>
      <c r="Z159" s="365"/>
      <c r="AA159" s="365">
        <f t="shared" si="100"/>
        <v>6.14</v>
      </c>
      <c r="AB159" s="365"/>
      <c r="AC159" s="365"/>
      <c r="AD159" s="365"/>
      <c r="AE159" s="365"/>
      <c r="AF159" s="365"/>
      <c r="AG159" s="365"/>
      <c r="AH159" s="365">
        <v>0</v>
      </c>
      <c r="AI159" s="365">
        <v>4.14</v>
      </c>
      <c r="AJ159" s="365">
        <v>2</v>
      </c>
      <c r="AK159" s="365">
        <v>0</v>
      </c>
      <c r="AL159" s="365">
        <f t="shared" si="101"/>
        <v>25.04</v>
      </c>
      <c r="AM159" s="365">
        <f t="shared" si="102"/>
        <v>16.29</v>
      </c>
      <c r="AN159" s="365">
        <f t="shared" si="103"/>
        <v>11.94</v>
      </c>
      <c r="AO159" s="365">
        <f t="shared" si="104"/>
        <v>0</v>
      </c>
      <c r="AP159" s="365">
        <f t="shared" si="105"/>
        <v>4.35</v>
      </c>
      <c r="AQ159" s="365">
        <f t="shared" si="106"/>
        <v>0</v>
      </c>
      <c r="AR159" s="365">
        <f t="shared" si="107"/>
        <v>0</v>
      </c>
      <c r="AS159" s="365">
        <f t="shared" si="108"/>
        <v>8.75</v>
      </c>
      <c r="AT159" s="365">
        <f t="shared" si="109"/>
        <v>2.61</v>
      </c>
      <c r="AU159" s="365">
        <f t="shared" si="110"/>
        <v>0</v>
      </c>
      <c r="AV159" s="365">
        <f t="shared" si="111"/>
        <v>0</v>
      </c>
      <c r="AW159" s="365">
        <f t="shared" si="112"/>
        <v>0</v>
      </c>
      <c r="AX159" s="365">
        <f t="shared" si="113"/>
        <v>0</v>
      </c>
      <c r="AY159" s="365">
        <f t="shared" si="114"/>
        <v>0</v>
      </c>
      <c r="AZ159" s="365">
        <f t="shared" si="115"/>
        <v>0</v>
      </c>
      <c r="BA159" s="365">
        <f t="shared" si="116"/>
        <v>4.14</v>
      </c>
      <c r="BB159" s="365">
        <f t="shared" si="92"/>
        <v>2</v>
      </c>
      <c r="BC159" s="365">
        <f t="shared" si="117"/>
        <v>0</v>
      </c>
      <c r="BD159" s="363"/>
    </row>
    <row r="160" ht="24" spans="1:56">
      <c r="A160" s="284" t="s">
        <v>195</v>
      </c>
      <c r="B160" s="284" t="s">
        <v>199</v>
      </c>
      <c r="C160" s="284" t="s">
        <v>383</v>
      </c>
      <c r="D160" s="284" t="s">
        <v>376</v>
      </c>
      <c r="E160" s="365">
        <f t="shared" si="95"/>
        <v>53.46</v>
      </c>
      <c r="F160" s="365">
        <f t="shared" si="96"/>
        <v>46.83</v>
      </c>
      <c r="G160" s="365">
        <v>33.06</v>
      </c>
      <c r="H160" s="365"/>
      <c r="I160" s="365">
        <v>13.77</v>
      </c>
      <c r="J160" s="365"/>
      <c r="K160" s="365"/>
      <c r="L160" s="365">
        <f t="shared" si="97"/>
        <v>6.63</v>
      </c>
      <c r="M160" s="366">
        <v>6.63</v>
      </c>
      <c r="N160" s="365"/>
      <c r="O160" s="365"/>
      <c r="P160" s="365"/>
      <c r="Q160" s="365"/>
      <c r="R160" s="365"/>
      <c r="S160" s="365"/>
      <c r="T160" s="365">
        <f t="shared" si="98"/>
        <v>26.33</v>
      </c>
      <c r="U160" s="365">
        <f t="shared" si="99"/>
        <v>5.1</v>
      </c>
      <c r="V160" s="365">
        <v>4.89</v>
      </c>
      <c r="W160" s="365"/>
      <c r="X160" s="365">
        <v>0.21</v>
      </c>
      <c r="Y160" s="365"/>
      <c r="Z160" s="365"/>
      <c r="AA160" s="365">
        <f t="shared" si="100"/>
        <v>21.23</v>
      </c>
      <c r="AB160" s="365">
        <v>0.13</v>
      </c>
      <c r="AC160" s="365"/>
      <c r="AD160" s="365"/>
      <c r="AE160" s="365"/>
      <c r="AF160" s="365"/>
      <c r="AG160" s="365">
        <v>0.3</v>
      </c>
      <c r="AH160" s="365">
        <v>0</v>
      </c>
      <c r="AI160" s="365">
        <v>13.8</v>
      </c>
      <c r="AJ160" s="365">
        <v>7</v>
      </c>
      <c r="AK160" s="365">
        <v>0</v>
      </c>
      <c r="AL160" s="365">
        <f t="shared" si="101"/>
        <v>79.79</v>
      </c>
      <c r="AM160" s="365">
        <f t="shared" si="102"/>
        <v>51.93</v>
      </c>
      <c r="AN160" s="365">
        <f t="shared" si="103"/>
        <v>37.95</v>
      </c>
      <c r="AO160" s="365">
        <f t="shared" si="104"/>
        <v>0</v>
      </c>
      <c r="AP160" s="365">
        <f t="shared" si="105"/>
        <v>13.98</v>
      </c>
      <c r="AQ160" s="365">
        <f t="shared" si="106"/>
        <v>0</v>
      </c>
      <c r="AR160" s="365">
        <f t="shared" si="107"/>
        <v>0</v>
      </c>
      <c r="AS160" s="365">
        <f t="shared" si="108"/>
        <v>27.86</v>
      </c>
      <c r="AT160" s="365">
        <f t="shared" si="109"/>
        <v>6.76</v>
      </c>
      <c r="AU160" s="365">
        <f t="shared" si="110"/>
        <v>0</v>
      </c>
      <c r="AV160" s="365">
        <f t="shared" si="111"/>
        <v>0</v>
      </c>
      <c r="AW160" s="365">
        <f t="shared" si="112"/>
        <v>0</v>
      </c>
      <c r="AX160" s="365">
        <f t="shared" si="113"/>
        <v>0</v>
      </c>
      <c r="AY160" s="365">
        <f t="shared" si="114"/>
        <v>0.3</v>
      </c>
      <c r="AZ160" s="365">
        <f t="shared" si="115"/>
        <v>0</v>
      </c>
      <c r="BA160" s="365">
        <f t="shared" si="116"/>
        <v>13.8</v>
      </c>
      <c r="BB160" s="365">
        <f t="shared" si="92"/>
        <v>7</v>
      </c>
      <c r="BC160" s="365">
        <f t="shared" si="117"/>
        <v>0</v>
      </c>
      <c r="BD160" s="363"/>
    </row>
    <row r="161" ht="24" spans="1:57">
      <c r="A161" s="284" t="s">
        <v>195</v>
      </c>
      <c r="B161" s="284" t="s">
        <v>196</v>
      </c>
      <c r="C161" s="284" t="s">
        <v>384</v>
      </c>
      <c r="D161" s="284" t="s">
        <v>385</v>
      </c>
      <c r="E161" s="365">
        <f t="shared" si="95"/>
        <v>0</v>
      </c>
      <c r="F161" s="365">
        <f t="shared" si="96"/>
        <v>0</v>
      </c>
      <c r="G161" s="365"/>
      <c r="H161" s="365"/>
      <c r="I161" s="365"/>
      <c r="J161" s="365"/>
      <c r="K161" s="365"/>
      <c r="L161" s="365">
        <f t="shared" si="97"/>
        <v>0</v>
      </c>
      <c r="M161" s="365"/>
      <c r="N161" s="365"/>
      <c r="O161" s="365"/>
      <c r="P161" s="365"/>
      <c r="Q161" s="365"/>
      <c r="R161" s="365"/>
      <c r="S161" s="365"/>
      <c r="T161" s="365">
        <f t="shared" si="98"/>
        <v>0</v>
      </c>
      <c r="U161" s="365">
        <f t="shared" si="99"/>
        <v>0</v>
      </c>
      <c r="V161" s="365"/>
      <c r="W161" s="365"/>
      <c r="X161" s="365"/>
      <c r="Y161" s="365"/>
      <c r="Z161" s="365"/>
      <c r="AA161" s="365">
        <f t="shared" si="100"/>
        <v>0</v>
      </c>
      <c r="AB161" s="365"/>
      <c r="AC161" s="365"/>
      <c r="AD161" s="365"/>
      <c r="AE161" s="365"/>
      <c r="AF161" s="365"/>
      <c r="AG161" s="365"/>
      <c r="AH161" s="365">
        <v>0</v>
      </c>
      <c r="AI161" s="365"/>
      <c r="AJ161" s="365"/>
      <c r="AK161" s="365"/>
      <c r="AL161" s="365">
        <f t="shared" si="101"/>
        <v>0</v>
      </c>
      <c r="AM161" s="365">
        <f t="shared" si="102"/>
        <v>0</v>
      </c>
      <c r="AN161" s="365">
        <f t="shared" si="103"/>
        <v>0</v>
      </c>
      <c r="AO161" s="365">
        <f t="shared" si="104"/>
        <v>0</v>
      </c>
      <c r="AP161" s="365">
        <f t="shared" si="105"/>
        <v>0</v>
      </c>
      <c r="AQ161" s="365">
        <f t="shared" si="106"/>
        <v>0</v>
      </c>
      <c r="AR161" s="365">
        <f t="shared" si="107"/>
        <v>0</v>
      </c>
      <c r="AS161" s="365">
        <f t="shared" si="108"/>
        <v>0</v>
      </c>
      <c r="AT161" s="365">
        <f t="shared" si="109"/>
        <v>0</v>
      </c>
      <c r="AU161" s="365">
        <f t="shared" si="110"/>
        <v>0</v>
      </c>
      <c r="AV161" s="365">
        <f t="shared" si="111"/>
        <v>0</v>
      </c>
      <c r="AW161" s="365">
        <f t="shared" si="112"/>
        <v>0</v>
      </c>
      <c r="AX161" s="365">
        <f t="shared" si="113"/>
        <v>0</v>
      </c>
      <c r="AY161" s="365">
        <f t="shared" si="114"/>
        <v>0</v>
      </c>
      <c r="AZ161" s="365">
        <f t="shared" si="115"/>
        <v>0</v>
      </c>
      <c r="BA161" s="365">
        <f t="shared" si="116"/>
        <v>0</v>
      </c>
      <c r="BB161" s="365">
        <f t="shared" si="92"/>
        <v>0</v>
      </c>
      <c r="BC161" s="365">
        <f t="shared" si="117"/>
        <v>0</v>
      </c>
      <c r="BD161" s="363"/>
      <c r="BE161">
        <v>16.3551</v>
      </c>
    </row>
    <row r="162" ht="24" spans="1:56">
      <c r="A162" s="284" t="s">
        <v>195</v>
      </c>
      <c r="B162" s="284" t="s">
        <v>196</v>
      </c>
      <c r="C162" s="284" t="s">
        <v>386</v>
      </c>
      <c r="D162" s="284" t="s">
        <v>385</v>
      </c>
      <c r="E162" s="365">
        <f t="shared" si="95"/>
        <v>0</v>
      </c>
      <c r="F162" s="365">
        <f t="shared" si="96"/>
        <v>0</v>
      </c>
      <c r="G162" s="365"/>
      <c r="H162" s="365"/>
      <c r="I162" s="365"/>
      <c r="J162" s="365"/>
      <c r="K162" s="365"/>
      <c r="L162" s="365">
        <f t="shared" si="97"/>
        <v>0</v>
      </c>
      <c r="M162" s="365"/>
      <c r="N162" s="365"/>
      <c r="O162" s="365"/>
      <c r="P162" s="365"/>
      <c r="Q162" s="365"/>
      <c r="R162" s="365"/>
      <c r="S162" s="365"/>
      <c r="T162" s="365">
        <f t="shared" si="98"/>
        <v>0</v>
      </c>
      <c r="U162" s="365">
        <f t="shared" si="99"/>
        <v>0</v>
      </c>
      <c r="V162" s="365"/>
      <c r="W162" s="365"/>
      <c r="X162" s="365"/>
      <c r="Y162" s="365"/>
      <c r="Z162" s="365"/>
      <c r="AA162" s="365">
        <f t="shared" si="100"/>
        <v>0</v>
      </c>
      <c r="AB162" s="365"/>
      <c r="AC162" s="365"/>
      <c r="AD162" s="365"/>
      <c r="AE162" s="365"/>
      <c r="AF162" s="365"/>
      <c r="AG162" s="365"/>
      <c r="AH162" s="365">
        <v>0</v>
      </c>
      <c r="AI162" s="365"/>
      <c r="AJ162" s="365"/>
      <c r="AK162" s="365"/>
      <c r="AL162" s="365">
        <f t="shared" si="101"/>
        <v>0</v>
      </c>
      <c r="AM162" s="365">
        <f t="shared" si="102"/>
        <v>0</v>
      </c>
      <c r="AN162" s="365">
        <f t="shared" si="103"/>
        <v>0</v>
      </c>
      <c r="AO162" s="365">
        <f t="shared" si="104"/>
        <v>0</v>
      </c>
      <c r="AP162" s="365">
        <f t="shared" si="105"/>
        <v>0</v>
      </c>
      <c r="AQ162" s="365">
        <f t="shared" si="106"/>
        <v>0</v>
      </c>
      <c r="AR162" s="365">
        <f t="shared" si="107"/>
        <v>0</v>
      </c>
      <c r="AS162" s="365">
        <f t="shared" si="108"/>
        <v>0</v>
      </c>
      <c r="AT162" s="365">
        <f t="shared" si="109"/>
        <v>0</v>
      </c>
      <c r="AU162" s="365">
        <f t="shared" si="110"/>
        <v>0</v>
      </c>
      <c r="AV162" s="365">
        <f t="shared" si="111"/>
        <v>0</v>
      </c>
      <c r="AW162" s="365">
        <f t="shared" si="112"/>
        <v>0</v>
      </c>
      <c r="AX162" s="365">
        <f t="shared" si="113"/>
        <v>0</v>
      </c>
      <c r="AY162" s="365">
        <f t="shared" si="114"/>
        <v>0</v>
      </c>
      <c r="AZ162" s="365">
        <f t="shared" si="115"/>
        <v>0</v>
      </c>
      <c r="BA162" s="365">
        <f t="shared" si="116"/>
        <v>0</v>
      </c>
      <c r="BB162" s="365">
        <f t="shared" si="92"/>
        <v>0</v>
      </c>
      <c r="BC162" s="365">
        <f t="shared" si="117"/>
        <v>0</v>
      </c>
      <c r="BD162" s="363"/>
    </row>
    <row r="163" ht="24" spans="1:56">
      <c r="A163" s="284" t="s">
        <v>195</v>
      </c>
      <c r="B163" s="284" t="s">
        <v>199</v>
      </c>
      <c r="C163" s="284" t="s">
        <v>387</v>
      </c>
      <c r="D163" s="284" t="s">
        <v>388</v>
      </c>
      <c r="E163" s="365">
        <f t="shared" si="95"/>
        <v>9.96</v>
      </c>
      <c r="F163" s="365">
        <f t="shared" si="96"/>
        <v>8.38</v>
      </c>
      <c r="G163" s="365">
        <v>5.74</v>
      </c>
      <c r="H163" s="365"/>
      <c r="I163" s="365">
        <v>2.64</v>
      </c>
      <c r="J163" s="365"/>
      <c r="K163" s="365"/>
      <c r="L163" s="365">
        <f t="shared" si="97"/>
        <v>1.58</v>
      </c>
      <c r="M163" s="365">
        <v>1.58</v>
      </c>
      <c r="N163" s="365"/>
      <c r="O163" s="365"/>
      <c r="P163" s="365"/>
      <c r="Q163" s="365"/>
      <c r="R163" s="365"/>
      <c r="S163" s="365"/>
      <c r="T163" s="365">
        <f t="shared" si="98"/>
        <v>9.68</v>
      </c>
      <c r="U163" s="365">
        <f t="shared" si="99"/>
        <v>4.35</v>
      </c>
      <c r="V163" s="365">
        <v>3.17</v>
      </c>
      <c r="W163" s="365"/>
      <c r="X163" s="365">
        <v>1.18</v>
      </c>
      <c r="Y163" s="365"/>
      <c r="Z163" s="365"/>
      <c r="AA163" s="365">
        <f t="shared" si="100"/>
        <v>5.33</v>
      </c>
      <c r="AB163" s="365">
        <v>0.71</v>
      </c>
      <c r="AC163" s="365"/>
      <c r="AD163" s="365"/>
      <c r="AE163" s="365"/>
      <c r="AF163" s="365"/>
      <c r="AG163" s="365"/>
      <c r="AH163" s="365">
        <v>0</v>
      </c>
      <c r="AI163" s="365">
        <v>3.62</v>
      </c>
      <c r="AJ163" s="365">
        <v>1</v>
      </c>
      <c r="AK163" s="365">
        <v>0</v>
      </c>
      <c r="AL163" s="365">
        <f t="shared" si="101"/>
        <v>19.64</v>
      </c>
      <c r="AM163" s="365">
        <f t="shared" si="102"/>
        <v>12.73</v>
      </c>
      <c r="AN163" s="365">
        <f t="shared" si="103"/>
        <v>8.91</v>
      </c>
      <c r="AO163" s="365">
        <f t="shared" si="104"/>
        <v>0</v>
      </c>
      <c r="AP163" s="365">
        <f t="shared" si="105"/>
        <v>3.82</v>
      </c>
      <c r="AQ163" s="365">
        <f t="shared" si="106"/>
        <v>0</v>
      </c>
      <c r="AR163" s="365">
        <f t="shared" si="107"/>
        <v>0</v>
      </c>
      <c r="AS163" s="365">
        <f t="shared" si="108"/>
        <v>6.91</v>
      </c>
      <c r="AT163" s="365">
        <f t="shared" si="109"/>
        <v>2.29</v>
      </c>
      <c r="AU163" s="365">
        <f t="shared" si="110"/>
        <v>0</v>
      </c>
      <c r="AV163" s="365">
        <f t="shared" si="111"/>
        <v>0</v>
      </c>
      <c r="AW163" s="365">
        <f t="shared" si="112"/>
        <v>0</v>
      </c>
      <c r="AX163" s="365">
        <f t="shared" si="113"/>
        <v>0</v>
      </c>
      <c r="AY163" s="365">
        <f t="shared" si="114"/>
        <v>0</v>
      </c>
      <c r="AZ163" s="365">
        <f t="shared" si="115"/>
        <v>0</v>
      </c>
      <c r="BA163" s="365">
        <f t="shared" si="116"/>
        <v>3.62</v>
      </c>
      <c r="BB163" s="365">
        <f t="shared" si="92"/>
        <v>1</v>
      </c>
      <c r="BC163" s="365">
        <f t="shared" si="117"/>
        <v>0</v>
      </c>
      <c r="BD163" s="363"/>
    </row>
    <row r="164" ht="24" spans="1:56">
      <c r="A164" s="284" t="s">
        <v>195</v>
      </c>
      <c r="B164" s="284" t="s">
        <v>199</v>
      </c>
      <c r="C164" s="284" t="s">
        <v>389</v>
      </c>
      <c r="D164" s="284" t="s">
        <v>388</v>
      </c>
      <c r="E164" s="365">
        <f t="shared" si="95"/>
        <v>29.59</v>
      </c>
      <c r="F164" s="365">
        <f t="shared" si="96"/>
        <v>25.05</v>
      </c>
      <c r="G164" s="365">
        <v>17.48</v>
      </c>
      <c r="H164" s="365"/>
      <c r="I164" s="365">
        <v>7.57</v>
      </c>
      <c r="J164" s="365"/>
      <c r="K164" s="365"/>
      <c r="L164" s="365">
        <f t="shared" si="97"/>
        <v>4.54</v>
      </c>
      <c r="M164" s="365">
        <v>4.54</v>
      </c>
      <c r="N164" s="365"/>
      <c r="O164" s="365"/>
      <c r="P164" s="365"/>
      <c r="Q164" s="365"/>
      <c r="R164" s="365"/>
      <c r="S164" s="365"/>
      <c r="T164" s="365">
        <f t="shared" si="98"/>
        <v>13.2</v>
      </c>
      <c r="U164" s="365">
        <f t="shared" si="99"/>
        <v>2.43</v>
      </c>
      <c r="V164" s="365">
        <v>2.43</v>
      </c>
      <c r="W164" s="365"/>
      <c r="X164" s="365"/>
      <c r="Y164" s="365"/>
      <c r="Z164" s="365"/>
      <c r="AA164" s="365">
        <f t="shared" si="100"/>
        <v>10.77</v>
      </c>
      <c r="AB164" s="365"/>
      <c r="AC164" s="365"/>
      <c r="AD164" s="365"/>
      <c r="AE164" s="365"/>
      <c r="AF164" s="365"/>
      <c r="AG164" s="365">
        <v>0.45</v>
      </c>
      <c r="AH164" s="365">
        <v>0</v>
      </c>
      <c r="AI164" s="365">
        <v>7.32</v>
      </c>
      <c r="AJ164" s="365">
        <v>3</v>
      </c>
      <c r="AK164" s="365">
        <v>0</v>
      </c>
      <c r="AL164" s="365">
        <f t="shared" si="101"/>
        <v>42.79</v>
      </c>
      <c r="AM164" s="365">
        <f t="shared" si="102"/>
        <v>27.48</v>
      </c>
      <c r="AN164" s="365">
        <f t="shared" si="103"/>
        <v>19.91</v>
      </c>
      <c r="AO164" s="365">
        <f t="shared" si="104"/>
        <v>0</v>
      </c>
      <c r="AP164" s="365">
        <f t="shared" si="105"/>
        <v>7.57</v>
      </c>
      <c r="AQ164" s="365">
        <f t="shared" si="106"/>
        <v>0</v>
      </c>
      <c r="AR164" s="365">
        <f t="shared" si="107"/>
        <v>0</v>
      </c>
      <c r="AS164" s="365">
        <f t="shared" si="108"/>
        <v>15.31</v>
      </c>
      <c r="AT164" s="365">
        <f t="shared" si="109"/>
        <v>4.54</v>
      </c>
      <c r="AU164" s="365">
        <f t="shared" si="110"/>
        <v>0</v>
      </c>
      <c r="AV164" s="365">
        <f t="shared" si="111"/>
        <v>0</v>
      </c>
      <c r="AW164" s="365">
        <f t="shared" si="112"/>
        <v>0</v>
      </c>
      <c r="AX164" s="365">
        <f t="shared" si="113"/>
        <v>0</v>
      </c>
      <c r="AY164" s="365">
        <f t="shared" si="114"/>
        <v>0.45</v>
      </c>
      <c r="AZ164" s="365">
        <f t="shared" si="115"/>
        <v>0</v>
      </c>
      <c r="BA164" s="365">
        <f t="shared" si="116"/>
        <v>7.32</v>
      </c>
      <c r="BB164" s="365">
        <f t="shared" si="92"/>
        <v>3</v>
      </c>
      <c r="BC164" s="365">
        <f t="shared" si="117"/>
        <v>0</v>
      </c>
      <c r="BD164" s="363"/>
    </row>
    <row r="165" ht="24" spans="1:57">
      <c r="A165" s="284" t="s">
        <v>195</v>
      </c>
      <c r="B165" s="284" t="s">
        <v>196</v>
      </c>
      <c r="C165" s="284" t="s">
        <v>390</v>
      </c>
      <c r="D165" s="284" t="s">
        <v>391</v>
      </c>
      <c r="E165" s="365">
        <f t="shared" si="95"/>
        <v>0</v>
      </c>
      <c r="F165" s="365">
        <f t="shared" si="96"/>
        <v>0</v>
      </c>
      <c r="G165" s="365"/>
      <c r="H165" s="365"/>
      <c r="I165" s="365"/>
      <c r="J165" s="365"/>
      <c r="K165" s="365"/>
      <c r="L165" s="365">
        <f t="shared" si="97"/>
        <v>0</v>
      </c>
      <c r="M165" s="365"/>
      <c r="N165" s="365"/>
      <c r="O165" s="365"/>
      <c r="P165" s="365"/>
      <c r="Q165" s="365"/>
      <c r="R165" s="365"/>
      <c r="S165" s="365"/>
      <c r="T165" s="365">
        <f t="shared" si="98"/>
        <v>0</v>
      </c>
      <c r="U165" s="365">
        <f t="shared" si="99"/>
        <v>0</v>
      </c>
      <c r="V165" s="365"/>
      <c r="W165" s="365"/>
      <c r="X165" s="365"/>
      <c r="Y165" s="365"/>
      <c r="Z165" s="365"/>
      <c r="AA165" s="365">
        <f t="shared" si="100"/>
        <v>0</v>
      </c>
      <c r="AB165" s="365"/>
      <c r="AC165" s="365"/>
      <c r="AD165" s="365"/>
      <c r="AE165" s="365"/>
      <c r="AF165" s="365"/>
      <c r="AG165" s="365"/>
      <c r="AH165" s="365">
        <v>0</v>
      </c>
      <c r="AI165" s="365"/>
      <c r="AJ165" s="365"/>
      <c r="AK165" s="365"/>
      <c r="AL165" s="365">
        <f t="shared" si="101"/>
        <v>0</v>
      </c>
      <c r="AM165" s="365">
        <f t="shared" si="102"/>
        <v>0</v>
      </c>
      <c r="AN165" s="365">
        <f t="shared" si="103"/>
        <v>0</v>
      </c>
      <c r="AO165" s="365">
        <f t="shared" si="104"/>
        <v>0</v>
      </c>
      <c r="AP165" s="365">
        <f t="shared" si="105"/>
        <v>0</v>
      </c>
      <c r="AQ165" s="365">
        <f t="shared" si="106"/>
        <v>0</v>
      </c>
      <c r="AR165" s="365">
        <f t="shared" si="107"/>
        <v>0</v>
      </c>
      <c r="AS165" s="365">
        <f t="shared" si="108"/>
        <v>0</v>
      </c>
      <c r="AT165" s="365">
        <f t="shared" si="109"/>
        <v>0</v>
      </c>
      <c r="AU165" s="365">
        <f t="shared" si="110"/>
        <v>0</v>
      </c>
      <c r="AV165" s="365">
        <f t="shared" si="111"/>
        <v>0</v>
      </c>
      <c r="AW165" s="365">
        <f t="shared" si="112"/>
        <v>0</v>
      </c>
      <c r="AX165" s="365">
        <f t="shared" si="113"/>
        <v>0</v>
      </c>
      <c r="AY165" s="365">
        <f t="shared" si="114"/>
        <v>0</v>
      </c>
      <c r="AZ165" s="365">
        <f t="shared" si="115"/>
        <v>0</v>
      </c>
      <c r="BA165" s="365">
        <f t="shared" si="116"/>
        <v>0</v>
      </c>
      <c r="BB165" s="365">
        <f t="shared" si="92"/>
        <v>0</v>
      </c>
      <c r="BC165" s="365">
        <f t="shared" si="117"/>
        <v>0</v>
      </c>
      <c r="BD165" s="363"/>
      <c r="BE165">
        <v>14.276</v>
      </c>
    </row>
    <row r="166" ht="24" spans="1:56">
      <c r="A166" s="284" t="s">
        <v>195</v>
      </c>
      <c r="B166" s="284" t="s">
        <v>199</v>
      </c>
      <c r="C166" s="284" t="s">
        <v>392</v>
      </c>
      <c r="D166" s="284" t="s">
        <v>393</v>
      </c>
      <c r="E166" s="365">
        <f t="shared" si="95"/>
        <v>47.07</v>
      </c>
      <c r="F166" s="365">
        <f t="shared" si="96"/>
        <v>39.98</v>
      </c>
      <c r="G166" s="365">
        <v>28.17</v>
      </c>
      <c r="H166" s="365"/>
      <c r="I166" s="365">
        <v>11.81</v>
      </c>
      <c r="J166" s="365"/>
      <c r="K166" s="365"/>
      <c r="L166" s="365">
        <f t="shared" si="97"/>
        <v>7.09</v>
      </c>
      <c r="M166" s="365">
        <v>7.09</v>
      </c>
      <c r="N166" s="365"/>
      <c r="O166" s="365"/>
      <c r="P166" s="365"/>
      <c r="Q166" s="365"/>
      <c r="R166" s="365"/>
      <c r="S166" s="365"/>
      <c r="T166" s="365">
        <f t="shared" si="98"/>
        <v>27</v>
      </c>
      <c r="U166" s="365">
        <f t="shared" si="99"/>
        <v>4.86</v>
      </c>
      <c r="V166" s="365">
        <v>3.86</v>
      </c>
      <c r="W166" s="365"/>
      <c r="X166" s="365">
        <v>1</v>
      </c>
      <c r="Y166" s="365"/>
      <c r="Z166" s="365"/>
      <c r="AA166" s="365">
        <f t="shared" si="100"/>
        <v>22.14</v>
      </c>
      <c r="AB166" s="365">
        <v>0.31</v>
      </c>
      <c r="AC166" s="365"/>
      <c r="AD166" s="365"/>
      <c r="AE166" s="365"/>
      <c r="AF166" s="365"/>
      <c r="AG166" s="365">
        <v>3.2</v>
      </c>
      <c r="AH166" s="365">
        <v>0</v>
      </c>
      <c r="AI166" s="365">
        <v>12.63</v>
      </c>
      <c r="AJ166" s="365">
        <v>6</v>
      </c>
      <c r="AK166" s="365">
        <v>0</v>
      </c>
      <c r="AL166" s="365">
        <f t="shared" si="101"/>
        <v>74.07</v>
      </c>
      <c r="AM166" s="365">
        <f t="shared" si="102"/>
        <v>44.84</v>
      </c>
      <c r="AN166" s="365">
        <f t="shared" si="103"/>
        <v>32.03</v>
      </c>
      <c r="AO166" s="365">
        <f t="shared" si="104"/>
        <v>0</v>
      </c>
      <c r="AP166" s="365">
        <f t="shared" si="105"/>
        <v>12.81</v>
      </c>
      <c r="AQ166" s="365">
        <f t="shared" si="106"/>
        <v>0</v>
      </c>
      <c r="AR166" s="365">
        <f t="shared" si="107"/>
        <v>0</v>
      </c>
      <c r="AS166" s="365">
        <f t="shared" si="108"/>
        <v>29.23</v>
      </c>
      <c r="AT166" s="365">
        <f t="shared" si="109"/>
        <v>7.4</v>
      </c>
      <c r="AU166" s="365">
        <f t="shared" si="110"/>
        <v>0</v>
      </c>
      <c r="AV166" s="365">
        <f t="shared" si="111"/>
        <v>0</v>
      </c>
      <c r="AW166" s="365">
        <f t="shared" si="112"/>
        <v>0</v>
      </c>
      <c r="AX166" s="365">
        <f t="shared" si="113"/>
        <v>0</v>
      </c>
      <c r="AY166" s="365">
        <f t="shared" si="114"/>
        <v>3.2</v>
      </c>
      <c r="AZ166" s="365">
        <f t="shared" si="115"/>
        <v>0</v>
      </c>
      <c r="BA166" s="365">
        <f t="shared" si="116"/>
        <v>12.63</v>
      </c>
      <c r="BB166" s="365">
        <f t="shared" si="92"/>
        <v>6</v>
      </c>
      <c r="BC166" s="365">
        <f t="shared" si="117"/>
        <v>0</v>
      </c>
      <c r="BD166" s="363"/>
    </row>
    <row r="167" ht="24" spans="1:57">
      <c r="A167" s="284" t="s">
        <v>195</v>
      </c>
      <c r="B167" s="284" t="s">
        <v>196</v>
      </c>
      <c r="C167" s="284" t="s">
        <v>394</v>
      </c>
      <c r="D167" s="284" t="s">
        <v>395</v>
      </c>
      <c r="E167" s="365">
        <f t="shared" si="95"/>
        <v>0</v>
      </c>
      <c r="F167" s="365">
        <f t="shared" si="96"/>
        <v>0</v>
      </c>
      <c r="G167" s="365"/>
      <c r="H167" s="365"/>
      <c r="I167" s="365"/>
      <c r="J167" s="365"/>
      <c r="K167" s="365"/>
      <c r="L167" s="365">
        <f t="shared" si="97"/>
        <v>0</v>
      </c>
      <c r="M167" s="365"/>
      <c r="N167" s="365"/>
      <c r="O167" s="365"/>
      <c r="P167" s="365"/>
      <c r="Q167" s="365"/>
      <c r="R167" s="365"/>
      <c r="S167" s="365"/>
      <c r="T167" s="365">
        <f t="shared" si="98"/>
        <v>0</v>
      </c>
      <c r="U167" s="365">
        <f t="shared" si="99"/>
        <v>0</v>
      </c>
      <c r="V167" s="365"/>
      <c r="W167" s="365"/>
      <c r="X167" s="365"/>
      <c r="Y167" s="365"/>
      <c r="Z167" s="365"/>
      <c r="AA167" s="365">
        <f t="shared" si="100"/>
        <v>0</v>
      </c>
      <c r="AB167" s="365"/>
      <c r="AC167" s="365"/>
      <c r="AD167" s="365"/>
      <c r="AE167" s="365"/>
      <c r="AF167" s="365"/>
      <c r="AG167" s="365"/>
      <c r="AH167" s="365">
        <v>0</v>
      </c>
      <c r="AI167" s="365"/>
      <c r="AJ167" s="365"/>
      <c r="AK167" s="365"/>
      <c r="AL167" s="365">
        <f t="shared" si="101"/>
        <v>0</v>
      </c>
      <c r="AM167" s="365">
        <f t="shared" si="102"/>
        <v>0</v>
      </c>
      <c r="AN167" s="365">
        <f t="shared" si="103"/>
        <v>0</v>
      </c>
      <c r="AO167" s="365">
        <f t="shared" si="104"/>
        <v>0</v>
      </c>
      <c r="AP167" s="365">
        <f t="shared" si="105"/>
        <v>0</v>
      </c>
      <c r="AQ167" s="365">
        <f t="shared" si="106"/>
        <v>0</v>
      </c>
      <c r="AR167" s="365">
        <f t="shared" si="107"/>
        <v>0</v>
      </c>
      <c r="AS167" s="365">
        <f t="shared" si="108"/>
        <v>0</v>
      </c>
      <c r="AT167" s="365">
        <f t="shared" si="109"/>
        <v>0</v>
      </c>
      <c r="AU167" s="365">
        <f t="shared" si="110"/>
        <v>0</v>
      </c>
      <c r="AV167" s="365">
        <f t="shared" si="111"/>
        <v>0</v>
      </c>
      <c r="AW167" s="365">
        <f t="shared" si="112"/>
        <v>0</v>
      </c>
      <c r="AX167" s="365">
        <f t="shared" si="113"/>
        <v>0</v>
      </c>
      <c r="AY167" s="365">
        <f t="shared" si="114"/>
        <v>0</v>
      </c>
      <c r="AZ167" s="365">
        <f t="shared" si="115"/>
        <v>0</v>
      </c>
      <c r="BA167" s="365">
        <f t="shared" si="116"/>
        <v>0</v>
      </c>
      <c r="BB167" s="365">
        <f t="shared" si="92"/>
        <v>0</v>
      </c>
      <c r="BC167" s="365">
        <f t="shared" si="117"/>
        <v>0</v>
      </c>
      <c r="BD167" s="363" t="s">
        <v>816</v>
      </c>
      <c r="BE167">
        <v>8.5438</v>
      </c>
    </row>
    <row r="168" ht="24" spans="1:56">
      <c r="A168" s="284" t="s">
        <v>195</v>
      </c>
      <c r="B168" s="284" t="s">
        <v>199</v>
      </c>
      <c r="C168" s="284" t="s">
        <v>396</v>
      </c>
      <c r="D168" s="284" t="s">
        <v>397</v>
      </c>
      <c r="E168" s="365">
        <f t="shared" si="95"/>
        <v>15.3</v>
      </c>
      <c r="F168" s="365">
        <f t="shared" si="96"/>
        <v>12.89</v>
      </c>
      <c r="G168" s="365">
        <v>8.88</v>
      </c>
      <c r="H168" s="365"/>
      <c r="I168" s="365">
        <v>4.01</v>
      </c>
      <c r="J168" s="365"/>
      <c r="K168" s="365"/>
      <c r="L168" s="365">
        <f t="shared" si="97"/>
        <v>2.41</v>
      </c>
      <c r="M168" s="370">
        <v>2.41</v>
      </c>
      <c r="N168" s="365"/>
      <c r="O168" s="365"/>
      <c r="P168" s="365"/>
      <c r="Q168" s="365"/>
      <c r="R168" s="365"/>
      <c r="S168" s="365"/>
      <c r="T168" s="365">
        <f t="shared" si="98"/>
        <v>7.9</v>
      </c>
      <c r="U168" s="365">
        <f t="shared" si="99"/>
        <v>1.63</v>
      </c>
      <c r="V168" s="365">
        <v>1.42</v>
      </c>
      <c r="W168" s="365"/>
      <c r="X168" s="365">
        <v>0.21</v>
      </c>
      <c r="Y168" s="365"/>
      <c r="Z168" s="365"/>
      <c r="AA168" s="365">
        <f t="shared" si="100"/>
        <v>6.27</v>
      </c>
      <c r="AB168" s="365">
        <v>0.13</v>
      </c>
      <c r="AC168" s="365"/>
      <c r="AD168" s="365"/>
      <c r="AE168" s="365"/>
      <c r="AF168" s="365"/>
      <c r="AG168" s="365"/>
      <c r="AH168" s="365">
        <v>0</v>
      </c>
      <c r="AI168" s="365">
        <v>4.14</v>
      </c>
      <c r="AJ168" s="365">
        <v>2</v>
      </c>
      <c r="AK168" s="365">
        <v>0</v>
      </c>
      <c r="AL168" s="365">
        <f t="shared" si="101"/>
        <v>23.2</v>
      </c>
      <c r="AM168" s="365">
        <f t="shared" si="102"/>
        <v>14.52</v>
      </c>
      <c r="AN168" s="365">
        <f t="shared" si="103"/>
        <v>10.3</v>
      </c>
      <c r="AO168" s="365">
        <f t="shared" si="104"/>
        <v>0</v>
      </c>
      <c r="AP168" s="365">
        <f t="shared" si="105"/>
        <v>4.22</v>
      </c>
      <c r="AQ168" s="365">
        <f t="shared" si="106"/>
        <v>0</v>
      </c>
      <c r="AR168" s="365">
        <f t="shared" si="107"/>
        <v>0</v>
      </c>
      <c r="AS168" s="365">
        <f t="shared" si="108"/>
        <v>8.68</v>
      </c>
      <c r="AT168" s="365">
        <f t="shared" si="109"/>
        <v>2.54</v>
      </c>
      <c r="AU168" s="365">
        <f t="shared" si="110"/>
        <v>0</v>
      </c>
      <c r="AV168" s="365">
        <f t="shared" si="111"/>
        <v>0</v>
      </c>
      <c r="AW168" s="365">
        <f t="shared" si="112"/>
        <v>0</v>
      </c>
      <c r="AX168" s="365">
        <f t="shared" si="113"/>
        <v>0</v>
      </c>
      <c r="AY168" s="365">
        <f t="shared" si="114"/>
        <v>0</v>
      </c>
      <c r="AZ168" s="365">
        <f t="shared" si="115"/>
        <v>0</v>
      </c>
      <c r="BA168" s="365">
        <f t="shared" si="116"/>
        <v>4.14</v>
      </c>
      <c r="BB168" s="365">
        <f t="shared" si="92"/>
        <v>2</v>
      </c>
      <c r="BC168" s="365">
        <f t="shared" si="117"/>
        <v>0</v>
      </c>
      <c r="BD168" s="363"/>
    </row>
    <row r="169" ht="24" spans="1:56">
      <c r="A169" s="284" t="s">
        <v>195</v>
      </c>
      <c r="B169" s="284" t="s">
        <v>199</v>
      </c>
      <c r="C169" s="284" t="s">
        <v>398</v>
      </c>
      <c r="D169" s="284" t="s">
        <v>397</v>
      </c>
      <c r="E169" s="365">
        <f t="shared" si="95"/>
        <v>5.45</v>
      </c>
      <c r="F169" s="365">
        <f t="shared" si="96"/>
        <v>4.58</v>
      </c>
      <c r="G169" s="365">
        <v>3.13</v>
      </c>
      <c r="H169" s="365"/>
      <c r="I169" s="365">
        <v>1.45</v>
      </c>
      <c r="J169" s="365"/>
      <c r="K169" s="365"/>
      <c r="L169" s="365">
        <f t="shared" si="97"/>
        <v>0.87</v>
      </c>
      <c r="M169" s="365">
        <v>0.87</v>
      </c>
      <c r="N169" s="365"/>
      <c r="O169" s="365"/>
      <c r="P169" s="365"/>
      <c r="Q169" s="365"/>
      <c r="R169" s="365"/>
      <c r="S169" s="365"/>
      <c r="T169" s="365">
        <f t="shared" si="98"/>
        <v>2.84</v>
      </c>
      <c r="U169" s="365">
        <f t="shared" si="99"/>
        <v>0.46</v>
      </c>
      <c r="V169" s="365">
        <v>0.46</v>
      </c>
      <c r="W169" s="365"/>
      <c r="X169" s="365"/>
      <c r="Y169" s="365"/>
      <c r="Z169" s="365"/>
      <c r="AA169" s="365">
        <f t="shared" si="100"/>
        <v>2.38</v>
      </c>
      <c r="AB169" s="365"/>
      <c r="AC169" s="365"/>
      <c r="AD169" s="365"/>
      <c r="AE169" s="365"/>
      <c r="AF169" s="365"/>
      <c r="AG169" s="365"/>
      <c r="AH169" s="365">
        <v>0</v>
      </c>
      <c r="AI169" s="365">
        <v>1.38</v>
      </c>
      <c r="AJ169" s="365">
        <v>1</v>
      </c>
      <c r="AK169" s="365">
        <v>0</v>
      </c>
      <c r="AL169" s="365">
        <f t="shared" si="101"/>
        <v>8.29</v>
      </c>
      <c r="AM169" s="365">
        <f t="shared" si="102"/>
        <v>5.04</v>
      </c>
      <c r="AN169" s="365">
        <f t="shared" si="103"/>
        <v>3.59</v>
      </c>
      <c r="AO169" s="365">
        <f t="shared" si="104"/>
        <v>0</v>
      </c>
      <c r="AP169" s="365">
        <f t="shared" si="105"/>
        <v>1.45</v>
      </c>
      <c r="AQ169" s="365">
        <f t="shared" si="106"/>
        <v>0</v>
      </c>
      <c r="AR169" s="365">
        <f t="shared" si="107"/>
        <v>0</v>
      </c>
      <c r="AS169" s="365">
        <f t="shared" si="108"/>
        <v>3.25</v>
      </c>
      <c r="AT169" s="365">
        <f t="shared" si="109"/>
        <v>0.87</v>
      </c>
      <c r="AU169" s="365">
        <f t="shared" si="110"/>
        <v>0</v>
      </c>
      <c r="AV169" s="365">
        <f t="shared" si="111"/>
        <v>0</v>
      </c>
      <c r="AW169" s="365">
        <f t="shared" si="112"/>
        <v>0</v>
      </c>
      <c r="AX169" s="365">
        <f t="shared" si="113"/>
        <v>0</v>
      </c>
      <c r="AY169" s="365">
        <f t="shared" si="114"/>
        <v>0</v>
      </c>
      <c r="AZ169" s="365">
        <f t="shared" si="115"/>
        <v>0</v>
      </c>
      <c r="BA169" s="365">
        <f t="shared" si="116"/>
        <v>1.38</v>
      </c>
      <c r="BB169" s="365">
        <f t="shared" si="92"/>
        <v>1</v>
      </c>
      <c r="BC169" s="365">
        <f t="shared" si="117"/>
        <v>0</v>
      </c>
      <c r="BD169" s="363"/>
    </row>
    <row r="170" ht="24" spans="1:57">
      <c r="A170" s="284" t="s">
        <v>195</v>
      </c>
      <c r="B170" s="284" t="s">
        <v>196</v>
      </c>
      <c r="C170" s="284" t="s">
        <v>399</v>
      </c>
      <c r="D170" s="284" t="s">
        <v>400</v>
      </c>
      <c r="E170" s="365">
        <f t="shared" si="95"/>
        <v>0</v>
      </c>
      <c r="F170" s="365">
        <f t="shared" si="96"/>
        <v>0</v>
      </c>
      <c r="G170" s="365"/>
      <c r="H170" s="365"/>
      <c r="I170" s="365"/>
      <c r="J170" s="365"/>
      <c r="K170" s="365"/>
      <c r="L170" s="365">
        <f t="shared" si="97"/>
        <v>0</v>
      </c>
      <c r="M170" s="365"/>
      <c r="N170" s="365"/>
      <c r="O170" s="365"/>
      <c r="P170" s="365"/>
      <c r="Q170" s="365"/>
      <c r="R170" s="371"/>
      <c r="S170" s="365"/>
      <c r="T170" s="365">
        <f t="shared" si="98"/>
        <v>0</v>
      </c>
      <c r="U170" s="365">
        <f t="shared" si="99"/>
        <v>0</v>
      </c>
      <c r="V170" s="365"/>
      <c r="W170" s="365"/>
      <c r="X170" s="365"/>
      <c r="Y170" s="365"/>
      <c r="Z170" s="365"/>
      <c r="AA170" s="365">
        <f t="shared" ref="AA170:AA186" si="118">SUM(AB170:AK170)</f>
        <v>0</v>
      </c>
      <c r="AB170" s="365"/>
      <c r="AC170" s="365"/>
      <c r="AD170" s="365"/>
      <c r="AE170" s="365"/>
      <c r="AF170" s="365"/>
      <c r="AG170" s="365"/>
      <c r="AH170" s="365">
        <v>0</v>
      </c>
      <c r="AI170" s="365"/>
      <c r="AJ170" s="365"/>
      <c r="AK170" s="365"/>
      <c r="AL170" s="365">
        <f t="shared" si="101"/>
        <v>0</v>
      </c>
      <c r="AM170" s="365">
        <f t="shared" ref="AM170:AM186" si="119">SUM(AN170:AR170)</f>
        <v>0</v>
      </c>
      <c r="AN170" s="365">
        <f t="shared" ref="AN170:AN186" si="120">G170+V170</f>
        <v>0</v>
      </c>
      <c r="AO170" s="365">
        <f t="shared" ref="AO170:AO186" si="121">H170+W170</f>
        <v>0</v>
      </c>
      <c r="AP170" s="365">
        <f t="shared" ref="AP170:AP186" si="122">I170+X170</f>
        <v>0</v>
      </c>
      <c r="AQ170" s="365">
        <f t="shared" ref="AQ170:AQ186" si="123">J170+Y170</f>
        <v>0</v>
      </c>
      <c r="AR170" s="365">
        <f t="shared" ref="AR170:AR186" si="124">K170+Z170</f>
        <v>0</v>
      </c>
      <c r="AS170" s="365">
        <f t="shared" si="108"/>
        <v>0</v>
      </c>
      <c r="AT170" s="365">
        <f t="shared" ref="AT170:AT186" si="125">M170+AB170</f>
        <v>0</v>
      </c>
      <c r="AU170" s="365">
        <f t="shared" ref="AU170:AU186" si="126">N170+AC170</f>
        <v>0</v>
      </c>
      <c r="AV170" s="365">
        <f t="shared" ref="AV170:AV186" si="127">O170+AD170</f>
        <v>0</v>
      </c>
      <c r="AW170" s="365">
        <f t="shared" ref="AW170:AW186" si="128">P170+AE170</f>
        <v>0</v>
      </c>
      <c r="AX170" s="365">
        <f t="shared" ref="AX170:AX186" si="129">Q170+AF170</f>
        <v>0</v>
      </c>
      <c r="AY170" s="365">
        <f t="shared" ref="AY170:AY186" si="130">R170+AG170</f>
        <v>0</v>
      </c>
      <c r="AZ170" s="365">
        <f t="shared" ref="AZ170:AZ186" si="131">S170+AH170</f>
        <v>0</v>
      </c>
      <c r="BA170" s="365">
        <f t="shared" ref="BA170:BA186" si="132">AI170</f>
        <v>0</v>
      </c>
      <c r="BB170" s="365">
        <f t="shared" si="92"/>
        <v>0</v>
      </c>
      <c r="BC170" s="365">
        <f t="shared" ref="BC170:BC186" si="133">AK170</f>
        <v>0</v>
      </c>
      <c r="BD170" s="363"/>
      <c r="BE170">
        <v>6.2848</v>
      </c>
    </row>
    <row r="171" ht="24" spans="1:56">
      <c r="A171" s="284" t="s">
        <v>195</v>
      </c>
      <c r="B171" s="284" t="s">
        <v>196</v>
      </c>
      <c r="C171" s="284" t="s">
        <v>401</v>
      </c>
      <c r="D171" s="284" t="s">
        <v>355</v>
      </c>
      <c r="E171" s="365">
        <f t="shared" si="95"/>
        <v>0</v>
      </c>
      <c r="F171" s="365"/>
      <c r="G171" s="365"/>
      <c r="H171" s="365"/>
      <c r="I171" s="365"/>
      <c r="J171" s="365"/>
      <c r="K171" s="365"/>
      <c r="L171" s="365">
        <f t="shared" si="97"/>
        <v>0</v>
      </c>
      <c r="M171" s="365"/>
      <c r="N171" s="365"/>
      <c r="O171" s="365"/>
      <c r="P171" s="365"/>
      <c r="Q171" s="365"/>
      <c r="R171" s="370"/>
      <c r="S171" s="365"/>
      <c r="T171" s="365">
        <f t="shared" si="98"/>
        <v>0</v>
      </c>
      <c r="U171" s="365">
        <f t="shared" si="99"/>
        <v>0</v>
      </c>
      <c r="V171" s="365"/>
      <c r="W171" s="365"/>
      <c r="X171" s="365"/>
      <c r="Y171" s="365"/>
      <c r="Z171" s="365"/>
      <c r="AA171" s="365">
        <f t="shared" si="118"/>
        <v>0</v>
      </c>
      <c r="AB171" s="365"/>
      <c r="AC171" s="365"/>
      <c r="AD171" s="365"/>
      <c r="AE171" s="365"/>
      <c r="AF171" s="365"/>
      <c r="AG171" s="365"/>
      <c r="AH171" s="365">
        <v>0</v>
      </c>
      <c r="AI171" s="365"/>
      <c r="AJ171" s="365"/>
      <c r="AK171" s="365"/>
      <c r="AL171" s="365">
        <f t="shared" si="101"/>
        <v>0</v>
      </c>
      <c r="AM171" s="365">
        <f t="shared" si="119"/>
        <v>0</v>
      </c>
      <c r="AN171" s="365">
        <f t="shared" si="120"/>
        <v>0</v>
      </c>
      <c r="AO171" s="365">
        <f t="shared" si="121"/>
        <v>0</v>
      </c>
      <c r="AP171" s="365">
        <f t="shared" si="122"/>
        <v>0</v>
      </c>
      <c r="AQ171" s="365">
        <f t="shared" si="123"/>
        <v>0</v>
      </c>
      <c r="AR171" s="365">
        <f t="shared" si="124"/>
        <v>0</v>
      </c>
      <c r="AS171" s="365">
        <f t="shared" si="108"/>
        <v>0</v>
      </c>
      <c r="AT171" s="365">
        <f t="shared" si="125"/>
        <v>0</v>
      </c>
      <c r="AU171" s="365">
        <f t="shared" si="126"/>
        <v>0</v>
      </c>
      <c r="AV171" s="365">
        <f t="shared" si="127"/>
        <v>0</v>
      </c>
      <c r="AW171" s="365">
        <f t="shared" si="128"/>
        <v>0</v>
      </c>
      <c r="AX171" s="365">
        <f t="shared" si="129"/>
        <v>0</v>
      </c>
      <c r="AY171" s="365">
        <f t="shared" si="130"/>
        <v>0</v>
      </c>
      <c r="AZ171" s="365">
        <f t="shared" si="131"/>
        <v>0</v>
      </c>
      <c r="BA171" s="365">
        <f t="shared" si="132"/>
        <v>0</v>
      </c>
      <c r="BB171" s="365">
        <f t="shared" si="92"/>
        <v>0</v>
      </c>
      <c r="BC171" s="365">
        <f t="shared" si="133"/>
        <v>0</v>
      </c>
      <c r="BD171" s="363"/>
    </row>
    <row r="172" ht="24" spans="1:57">
      <c r="A172" s="284" t="s">
        <v>195</v>
      </c>
      <c r="B172" s="284" t="s">
        <v>196</v>
      </c>
      <c r="C172" s="284" t="s">
        <v>402</v>
      </c>
      <c r="D172" s="284" t="s">
        <v>355</v>
      </c>
      <c r="E172" s="365">
        <f t="shared" si="95"/>
        <v>0</v>
      </c>
      <c r="F172" s="365"/>
      <c r="G172" s="365"/>
      <c r="H172" s="365"/>
      <c r="I172" s="365"/>
      <c r="J172" s="365"/>
      <c r="K172" s="365"/>
      <c r="L172" s="365">
        <f t="shared" si="97"/>
        <v>0</v>
      </c>
      <c r="M172" s="365"/>
      <c r="N172" s="365"/>
      <c r="O172" s="365"/>
      <c r="P172" s="365"/>
      <c r="Q172" s="365"/>
      <c r="R172" s="370"/>
      <c r="S172" s="365"/>
      <c r="T172" s="365">
        <f t="shared" si="98"/>
        <v>0</v>
      </c>
      <c r="U172" s="365">
        <f t="shared" si="99"/>
        <v>0</v>
      </c>
      <c r="V172" s="365"/>
      <c r="W172" s="365"/>
      <c r="X172" s="365"/>
      <c r="Y172" s="365"/>
      <c r="Z172" s="365"/>
      <c r="AA172" s="365">
        <f t="shared" si="118"/>
        <v>0</v>
      </c>
      <c r="AB172" s="365"/>
      <c r="AC172" s="365"/>
      <c r="AD172" s="365"/>
      <c r="AE172" s="365"/>
      <c r="AF172" s="365"/>
      <c r="AG172" s="365"/>
      <c r="AH172" s="365">
        <v>0</v>
      </c>
      <c r="AI172" s="365"/>
      <c r="AJ172" s="365"/>
      <c r="AK172" s="365"/>
      <c r="AL172" s="365">
        <f t="shared" si="101"/>
        <v>0</v>
      </c>
      <c r="AM172" s="365">
        <f t="shared" si="119"/>
        <v>0</v>
      </c>
      <c r="AN172" s="365">
        <f t="shared" si="120"/>
        <v>0</v>
      </c>
      <c r="AO172" s="365">
        <f t="shared" si="121"/>
        <v>0</v>
      </c>
      <c r="AP172" s="365">
        <f t="shared" si="122"/>
        <v>0</v>
      </c>
      <c r="AQ172" s="365">
        <f t="shared" si="123"/>
        <v>0</v>
      </c>
      <c r="AR172" s="365">
        <f t="shared" si="124"/>
        <v>0</v>
      </c>
      <c r="AS172" s="365">
        <f t="shared" si="108"/>
        <v>0</v>
      </c>
      <c r="AT172" s="365">
        <f t="shared" si="125"/>
        <v>0</v>
      </c>
      <c r="AU172" s="365">
        <f t="shared" si="126"/>
        <v>0</v>
      </c>
      <c r="AV172" s="365">
        <f t="shared" si="127"/>
        <v>0</v>
      </c>
      <c r="AW172" s="365">
        <f t="shared" si="128"/>
        <v>0</v>
      </c>
      <c r="AX172" s="365">
        <f t="shared" si="129"/>
        <v>0</v>
      </c>
      <c r="AY172" s="365">
        <f t="shared" si="130"/>
        <v>0</v>
      </c>
      <c r="AZ172" s="365">
        <f t="shared" si="131"/>
        <v>0</v>
      </c>
      <c r="BA172" s="365">
        <f t="shared" si="132"/>
        <v>0</v>
      </c>
      <c r="BB172" s="365">
        <f t="shared" si="92"/>
        <v>0</v>
      </c>
      <c r="BC172" s="365">
        <f t="shared" si="133"/>
        <v>0</v>
      </c>
      <c r="BD172" s="363"/>
      <c r="BE172">
        <v>0</v>
      </c>
    </row>
    <row r="173" ht="24" spans="1:57">
      <c r="A173" s="284" t="s">
        <v>195</v>
      </c>
      <c r="B173" s="284" t="s">
        <v>196</v>
      </c>
      <c r="C173" s="284" t="s">
        <v>403</v>
      </c>
      <c r="D173" s="284" t="s">
        <v>355</v>
      </c>
      <c r="E173" s="365">
        <f t="shared" si="95"/>
        <v>0</v>
      </c>
      <c r="F173" s="365"/>
      <c r="G173" s="365"/>
      <c r="H173" s="365"/>
      <c r="I173" s="365"/>
      <c r="J173" s="365"/>
      <c r="K173" s="365"/>
      <c r="L173" s="365">
        <f t="shared" si="97"/>
        <v>0</v>
      </c>
      <c r="M173" s="365"/>
      <c r="N173" s="365"/>
      <c r="O173" s="365"/>
      <c r="P173" s="365"/>
      <c r="Q173" s="365"/>
      <c r="R173" s="370"/>
      <c r="S173" s="365"/>
      <c r="T173" s="365">
        <f t="shared" si="98"/>
        <v>0</v>
      </c>
      <c r="U173" s="365">
        <f t="shared" si="99"/>
        <v>0</v>
      </c>
      <c r="V173" s="365"/>
      <c r="W173" s="365"/>
      <c r="X173" s="365"/>
      <c r="Y173" s="365"/>
      <c r="Z173" s="365"/>
      <c r="AA173" s="365">
        <f t="shared" si="118"/>
        <v>0</v>
      </c>
      <c r="AB173" s="365"/>
      <c r="AC173" s="365"/>
      <c r="AD173" s="365"/>
      <c r="AE173" s="365"/>
      <c r="AF173" s="365"/>
      <c r="AG173" s="365"/>
      <c r="AH173" s="365">
        <v>0</v>
      </c>
      <c r="AI173" s="365"/>
      <c r="AJ173" s="365"/>
      <c r="AK173" s="365"/>
      <c r="AL173" s="365">
        <f t="shared" si="101"/>
        <v>0</v>
      </c>
      <c r="AM173" s="365">
        <f t="shared" si="119"/>
        <v>0</v>
      </c>
      <c r="AN173" s="365">
        <f t="shared" si="120"/>
        <v>0</v>
      </c>
      <c r="AO173" s="365">
        <f t="shared" si="121"/>
        <v>0</v>
      </c>
      <c r="AP173" s="365">
        <f t="shared" si="122"/>
        <v>0</v>
      </c>
      <c r="AQ173" s="365">
        <f t="shared" si="123"/>
        <v>0</v>
      </c>
      <c r="AR173" s="365">
        <f t="shared" si="124"/>
        <v>0</v>
      </c>
      <c r="AS173" s="365">
        <f t="shared" si="108"/>
        <v>0</v>
      </c>
      <c r="AT173" s="365">
        <f t="shared" si="125"/>
        <v>0</v>
      </c>
      <c r="AU173" s="365">
        <f t="shared" si="126"/>
        <v>0</v>
      </c>
      <c r="AV173" s="365">
        <f t="shared" si="127"/>
        <v>0</v>
      </c>
      <c r="AW173" s="365">
        <f t="shared" si="128"/>
        <v>0</v>
      </c>
      <c r="AX173" s="365">
        <f t="shared" si="129"/>
        <v>0</v>
      </c>
      <c r="AY173" s="365">
        <f t="shared" si="130"/>
        <v>0</v>
      </c>
      <c r="AZ173" s="365">
        <f t="shared" si="131"/>
        <v>0</v>
      </c>
      <c r="BA173" s="365">
        <f t="shared" si="132"/>
        <v>0</v>
      </c>
      <c r="BB173" s="365">
        <f t="shared" si="92"/>
        <v>0</v>
      </c>
      <c r="BC173" s="365">
        <f t="shared" si="133"/>
        <v>0</v>
      </c>
      <c r="BD173" s="363"/>
      <c r="BE173">
        <v>0</v>
      </c>
    </row>
    <row r="174" ht="24" spans="1:57">
      <c r="A174" s="284" t="s">
        <v>195</v>
      </c>
      <c r="B174" s="284" t="s">
        <v>196</v>
      </c>
      <c r="C174" s="284" t="s">
        <v>404</v>
      </c>
      <c r="D174" s="284" t="s">
        <v>400</v>
      </c>
      <c r="E174" s="365">
        <f t="shared" si="95"/>
        <v>0</v>
      </c>
      <c r="F174" s="365">
        <f t="shared" ref="F174:F186" si="134">SUM(G174:K174)</f>
        <v>0</v>
      </c>
      <c r="G174" s="365"/>
      <c r="H174" s="365"/>
      <c r="I174" s="365"/>
      <c r="J174" s="365"/>
      <c r="K174" s="365"/>
      <c r="L174" s="365">
        <f t="shared" si="97"/>
        <v>0</v>
      </c>
      <c r="M174" s="365"/>
      <c r="N174" s="365"/>
      <c r="O174" s="365"/>
      <c r="P174" s="365"/>
      <c r="Q174" s="365"/>
      <c r="R174" s="365"/>
      <c r="S174" s="365"/>
      <c r="T174" s="365">
        <f t="shared" si="98"/>
        <v>0</v>
      </c>
      <c r="U174" s="365">
        <f t="shared" si="99"/>
        <v>0</v>
      </c>
      <c r="V174" s="365"/>
      <c r="W174" s="365"/>
      <c r="X174" s="365"/>
      <c r="Y174" s="365"/>
      <c r="Z174" s="365"/>
      <c r="AA174" s="365">
        <f t="shared" si="118"/>
        <v>0</v>
      </c>
      <c r="AB174" s="365"/>
      <c r="AC174" s="365"/>
      <c r="AD174" s="365"/>
      <c r="AE174" s="365"/>
      <c r="AF174" s="365"/>
      <c r="AG174" s="365"/>
      <c r="AH174" s="365">
        <v>0</v>
      </c>
      <c r="AI174" s="365"/>
      <c r="AJ174" s="365"/>
      <c r="AK174" s="365"/>
      <c r="AL174" s="365">
        <f t="shared" si="101"/>
        <v>0</v>
      </c>
      <c r="AM174" s="365">
        <f t="shared" si="119"/>
        <v>0</v>
      </c>
      <c r="AN174" s="365">
        <f t="shared" si="120"/>
        <v>0</v>
      </c>
      <c r="AO174" s="365">
        <f t="shared" si="121"/>
        <v>0</v>
      </c>
      <c r="AP174" s="365">
        <f t="shared" si="122"/>
        <v>0</v>
      </c>
      <c r="AQ174" s="365">
        <f t="shared" si="123"/>
        <v>0</v>
      </c>
      <c r="AR174" s="365">
        <f t="shared" si="124"/>
        <v>0</v>
      </c>
      <c r="AS174" s="365">
        <f t="shared" si="108"/>
        <v>0</v>
      </c>
      <c r="AT174" s="365">
        <f t="shared" si="125"/>
        <v>0</v>
      </c>
      <c r="AU174" s="365">
        <f t="shared" si="126"/>
        <v>0</v>
      </c>
      <c r="AV174" s="365">
        <f t="shared" si="127"/>
        <v>0</v>
      </c>
      <c r="AW174" s="365">
        <f t="shared" si="128"/>
        <v>0</v>
      </c>
      <c r="AX174" s="365">
        <f t="shared" si="129"/>
        <v>0</v>
      </c>
      <c r="AY174" s="365">
        <f t="shared" si="130"/>
        <v>0</v>
      </c>
      <c r="AZ174" s="365">
        <f t="shared" si="131"/>
        <v>0</v>
      </c>
      <c r="BA174" s="365">
        <f t="shared" si="132"/>
        <v>0</v>
      </c>
      <c r="BB174" s="365">
        <f t="shared" si="92"/>
        <v>0</v>
      </c>
      <c r="BC174" s="365">
        <f t="shared" si="133"/>
        <v>0</v>
      </c>
      <c r="BD174" s="363"/>
      <c r="BE174">
        <v>1.639</v>
      </c>
    </row>
    <row r="175" ht="24" spans="1:57">
      <c r="A175" s="284" t="s">
        <v>195</v>
      </c>
      <c r="B175" s="284" t="s">
        <v>196</v>
      </c>
      <c r="C175" s="284" t="s">
        <v>405</v>
      </c>
      <c r="D175" s="284" t="s">
        <v>400</v>
      </c>
      <c r="E175" s="365">
        <f t="shared" si="95"/>
        <v>0</v>
      </c>
      <c r="F175" s="365">
        <f t="shared" si="134"/>
        <v>0</v>
      </c>
      <c r="G175" s="365"/>
      <c r="H175" s="365"/>
      <c r="I175" s="365"/>
      <c r="J175" s="365"/>
      <c r="K175" s="365"/>
      <c r="L175" s="365">
        <f t="shared" si="97"/>
        <v>0</v>
      </c>
      <c r="M175" s="365"/>
      <c r="N175" s="365"/>
      <c r="O175" s="365"/>
      <c r="P175" s="365"/>
      <c r="Q175" s="365"/>
      <c r="R175" s="365"/>
      <c r="S175" s="365"/>
      <c r="T175" s="365">
        <f t="shared" si="98"/>
        <v>0</v>
      </c>
      <c r="U175" s="365">
        <f t="shared" si="99"/>
        <v>0</v>
      </c>
      <c r="V175" s="365"/>
      <c r="W175" s="365"/>
      <c r="X175" s="365"/>
      <c r="Y175" s="365"/>
      <c r="Z175" s="365"/>
      <c r="AA175" s="365">
        <f t="shared" si="118"/>
        <v>0</v>
      </c>
      <c r="AB175" s="365"/>
      <c r="AC175" s="365"/>
      <c r="AD175" s="365"/>
      <c r="AE175" s="365"/>
      <c r="AF175" s="365"/>
      <c r="AG175" s="365"/>
      <c r="AH175" s="365">
        <v>0</v>
      </c>
      <c r="AI175" s="365"/>
      <c r="AJ175" s="365"/>
      <c r="AK175" s="365"/>
      <c r="AL175" s="365">
        <f t="shared" si="101"/>
        <v>0</v>
      </c>
      <c r="AM175" s="365">
        <f t="shared" si="119"/>
        <v>0</v>
      </c>
      <c r="AN175" s="365">
        <f t="shared" si="120"/>
        <v>0</v>
      </c>
      <c r="AO175" s="365">
        <f t="shared" si="121"/>
        <v>0</v>
      </c>
      <c r="AP175" s="365">
        <f t="shared" si="122"/>
        <v>0</v>
      </c>
      <c r="AQ175" s="365">
        <f t="shared" si="123"/>
        <v>0</v>
      </c>
      <c r="AR175" s="365">
        <f t="shared" si="124"/>
        <v>0</v>
      </c>
      <c r="AS175" s="365">
        <f t="shared" si="108"/>
        <v>0</v>
      </c>
      <c r="AT175" s="365">
        <f t="shared" si="125"/>
        <v>0</v>
      </c>
      <c r="AU175" s="365">
        <f t="shared" si="126"/>
        <v>0</v>
      </c>
      <c r="AV175" s="365">
        <f t="shared" si="127"/>
        <v>0</v>
      </c>
      <c r="AW175" s="365">
        <f t="shared" si="128"/>
        <v>0</v>
      </c>
      <c r="AX175" s="365">
        <f t="shared" si="129"/>
        <v>0</v>
      </c>
      <c r="AY175" s="365">
        <f t="shared" si="130"/>
        <v>0</v>
      </c>
      <c r="AZ175" s="365">
        <f t="shared" si="131"/>
        <v>0</v>
      </c>
      <c r="BA175" s="365">
        <f t="shared" si="132"/>
        <v>0</v>
      </c>
      <c r="BB175" s="365">
        <f t="shared" si="92"/>
        <v>0</v>
      </c>
      <c r="BC175" s="365">
        <f t="shared" si="133"/>
        <v>0</v>
      </c>
      <c r="BD175" s="363"/>
      <c r="BE175">
        <v>4.474</v>
      </c>
    </row>
    <row r="176" ht="24" spans="1:57">
      <c r="A176" s="284" t="s">
        <v>195</v>
      </c>
      <c r="B176" s="284" t="s">
        <v>196</v>
      </c>
      <c r="C176" s="284" t="s">
        <v>406</v>
      </c>
      <c r="D176" s="284" t="s">
        <v>400</v>
      </c>
      <c r="E176" s="365">
        <f t="shared" si="95"/>
        <v>0</v>
      </c>
      <c r="F176" s="365">
        <f t="shared" si="134"/>
        <v>0</v>
      </c>
      <c r="G176" s="365"/>
      <c r="H176" s="365"/>
      <c r="I176" s="365"/>
      <c r="J176" s="365"/>
      <c r="K176" s="365"/>
      <c r="L176" s="365">
        <f t="shared" si="97"/>
        <v>0</v>
      </c>
      <c r="M176" s="365"/>
      <c r="N176" s="365"/>
      <c r="O176" s="365"/>
      <c r="P176" s="365"/>
      <c r="Q176" s="365"/>
      <c r="R176" s="365"/>
      <c r="S176" s="365"/>
      <c r="T176" s="365">
        <f t="shared" si="98"/>
        <v>0</v>
      </c>
      <c r="U176" s="365">
        <f t="shared" si="99"/>
        <v>0</v>
      </c>
      <c r="V176" s="365"/>
      <c r="W176" s="365"/>
      <c r="X176" s="365"/>
      <c r="Y176" s="365"/>
      <c r="Z176" s="365"/>
      <c r="AA176" s="365">
        <f t="shared" si="118"/>
        <v>0</v>
      </c>
      <c r="AB176" s="365"/>
      <c r="AC176" s="365"/>
      <c r="AD176" s="365"/>
      <c r="AE176" s="365"/>
      <c r="AF176" s="365"/>
      <c r="AG176" s="365"/>
      <c r="AH176" s="365">
        <v>0</v>
      </c>
      <c r="AI176" s="365"/>
      <c r="AJ176" s="365"/>
      <c r="AK176" s="365"/>
      <c r="AL176" s="365">
        <f t="shared" si="101"/>
        <v>0</v>
      </c>
      <c r="AM176" s="365">
        <f t="shared" si="119"/>
        <v>0</v>
      </c>
      <c r="AN176" s="365">
        <f t="shared" si="120"/>
        <v>0</v>
      </c>
      <c r="AO176" s="365">
        <f t="shared" si="121"/>
        <v>0</v>
      </c>
      <c r="AP176" s="365">
        <f t="shared" si="122"/>
        <v>0</v>
      </c>
      <c r="AQ176" s="365">
        <f t="shared" si="123"/>
        <v>0</v>
      </c>
      <c r="AR176" s="365">
        <f t="shared" si="124"/>
        <v>0</v>
      </c>
      <c r="AS176" s="365">
        <f t="shared" si="108"/>
        <v>0</v>
      </c>
      <c r="AT176" s="365">
        <f t="shared" si="125"/>
        <v>0</v>
      </c>
      <c r="AU176" s="365">
        <f t="shared" si="126"/>
        <v>0</v>
      </c>
      <c r="AV176" s="365">
        <f t="shared" si="127"/>
        <v>0</v>
      </c>
      <c r="AW176" s="365">
        <f t="shared" si="128"/>
        <v>0</v>
      </c>
      <c r="AX176" s="365">
        <f t="shared" si="129"/>
        <v>0</v>
      </c>
      <c r="AY176" s="365">
        <f t="shared" si="130"/>
        <v>0</v>
      </c>
      <c r="AZ176" s="365">
        <f t="shared" si="131"/>
        <v>0</v>
      </c>
      <c r="BA176" s="365">
        <f t="shared" si="132"/>
        <v>0</v>
      </c>
      <c r="BB176" s="365">
        <f t="shared" si="92"/>
        <v>0</v>
      </c>
      <c r="BC176" s="365">
        <f t="shared" si="133"/>
        <v>0</v>
      </c>
      <c r="BD176" s="363"/>
      <c r="BE176">
        <v>1.0008</v>
      </c>
    </row>
    <row r="177" ht="24" spans="1:57">
      <c r="A177" s="284" t="s">
        <v>195</v>
      </c>
      <c r="B177" s="284" t="s">
        <v>196</v>
      </c>
      <c r="C177" s="284" t="s">
        <v>407</v>
      </c>
      <c r="D177" s="284" t="s">
        <v>400</v>
      </c>
      <c r="E177" s="365">
        <f t="shared" si="95"/>
        <v>0</v>
      </c>
      <c r="F177" s="365">
        <f t="shared" si="134"/>
        <v>0</v>
      </c>
      <c r="G177" s="365"/>
      <c r="H177" s="365"/>
      <c r="I177" s="365"/>
      <c r="J177" s="365"/>
      <c r="K177" s="365"/>
      <c r="L177" s="365">
        <f t="shared" si="97"/>
        <v>0</v>
      </c>
      <c r="M177" s="365"/>
      <c r="N177" s="365"/>
      <c r="O177" s="365"/>
      <c r="P177" s="365"/>
      <c r="Q177" s="365"/>
      <c r="R177" s="365"/>
      <c r="S177" s="365"/>
      <c r="T177" s="365">
        <f t="shared" si="98"/>
        <v>0</v>
      </c>
      <c r="U177" s="365">
        <f t="shared" si="99"/>
        <v>0</v>
      </c>
      <c r="V177" s="365"/>
      <c r="W177" s="365"/>
      <c r="X177" s="365"/>
      <c r="Y177" s="365"/>
      <c r="Z177" s="365"/>
      <c r="AA177" s="365">
        <f t="shared" si="118"/>
        <v>0</v>
      </c>
      <c r="AB177" s="365"/>
      <c r="AC177" s="365"/>
      <c r="AD177" s="365"/>
      <c r="AE177" s="365"/>
      <c r="AF177" s="365"/>
      <c r="AG177" s="365"/>
      <c r="AH177" s="365">
        <v>0</v>
      </c>
      <c r="AI177" s="365"/>
      <c r="AJ177" s="365"/>
      <c r="AK177" s="365"/>
      <c r="AL177" s="365">
        <f t="shared" si="101"/>
        <v>0</v>
      </c>
      <c r="AM177" s="365">
        <f t="shared" si="119"/>
        <v>0</v>
      </c>
      <c r="AN177" s="365">
        <f t="shared" si="120"/>
        <v>0</v>
      </c>
      <c r="AO177" s="365">
        <f t="shared" si="121"/>
        <v>0</v>
      </c>
      <c r="AP177" s="365">
        <f t="shared" si="122"/>
        <v>0</v>
      </c>
      <c r="AQ177" s="365">
        <f t="shared" si="123"/>
        <v>0</v>
      </c>
      <c r="AR177" s="365">
        <f t="shared" si="124"/>
        <v>0</v>
      </c>
      <c r="AS177" s="365">
        <f t="shared" si="108"/>
        <v>0</v>
      </c>
      <c r="AT177" s="365">
        <f t="shared" si="125"/>
        <v>0</v>
      </c>
      <c r="AU177" s="365">
        <f t="shared" si="126"/>
        <v>0</v>
      </c>
      <c r="AV177" s="365">
        <f t="shared" si="127"/>
        <v>0</v>
      </c>
      <c r="AW177" s="365">
        <f t="shared" si="128"/>
        <v>0</v>
      </c>
      <c r="AX177" s="365">
        <f t="shared" si="129"/>
        <v>0</v>
      </c>
      <c r="AY177" s="365">
        <f t="shared" si="130"/>
        <v>0</v>
      </c>
      <c r="AZ177" s="365">
        <f t="shared" si="131"/>
        <v>0</v>
      </c>
      <c r="BA177" s="365">
        <f t="shared" si="132"/>
        <v>0</v>
      </c>
      <c r="BB177" s="365">
        <f t="shared" si="92"/>
        <v>0</v>
      </c>
      <c r="BC177" s="365">
        <f t="shared" si="133"/>
        <v>0</v>
      </c>
      <c r="BD177" s="363"/>
      <c r="BE177">
        <v>7.773</v>
      </c>
    </row>
    <row r="178" ht="24" spans="1:57">
      <c r="A178" s="284" t="s">
        <v>195</v>
      </c>
      <c r="B178" s="284" t="s">
        <v>196</v>
      </c>
      <c r="C178" s="284" t="s">
        <v>408</v>
      </c>
      <c r="D178" s="284" t="s">
        <v>409</v>
      </c>
      <c r="E178" s="365">
        <f t="shared" si="95"/>
        <v>0</v>
      </c>
      <c r="F178" s="365">
        <f t="shared" si="134"/>
        <v>0</v>
      </c>
      <c r="G178" s="365"/>
      <c r="H178" s="365"/>
      <c r="I178" s="365"/>
      <c r="J178" s="365"/>
      <c r="K178" s="365"/>
      <c r="L178" s="365">
        <f t="shared" si="97"/>
        <v>0</v>
      </c>
      <c r="M178" s="365"/>
      <c r="N178" s="365"/>
      <c r="O178" s="365"/>
      <c r="P178" s="365"/>
      <c r="Q178" s="365"/>
      <c r="R178" s="365"/>
      <c r="S178" s="365"/>
      <c r="T178" s="365">
        <f t="shared" si="98"/>
        <v>0</v>
      </c>
      <c r="U178" s="365">
        <f t="shared" si="99"/>
        <v>0</v>
      </c>
      <c r="V178" s="365"/>
      <c r="W178" s="365"/>
      <c r="X178" s="365"/>
      <c r="Y178" s="365"/>
      <c r="Z178" s="365"/>
      <c r="AA178" s="365">
        <f t="shared" si="118"/>
        <v>0</v>
      </c>
      <c r="AB178" s="365"/>
      <c r="AC178" s="365"/>
      <c r="AD178" s="365"/>
      <c r="AE178" s="365"/>
      <c r="AF178" s="365"/>
      <c r="AG178" s="365"/>
      <c r="AH178" s="365">
        <v>0</v>
      </c>
      <c r="AI178" s="365"/>
      <c r="AJ178" s="365"/>
      <c r="AK178" s="365"/>
      <c r="AL178" s="365">
        <f t="shared" si="101"/>
        <v>0</v>
      </c>
      <c r="AM178" s="365">
        <f t="shared" si="119"/>
        <v>0</v>
      </c>
      <c r="AN178" s="365">
        <f t="shared" si="120"/>
        <v>0</v>
      </c>
      <c r="AO178" s="365">
        <f t="shared" si="121"/>
        <v>0</v>
      </c>
      <c r="AP178" s="365">
        <f t="shared" si="122"/>
        <v>0</v>
      </c>
      <c r="AQ178" s="365">
        <f t="shared" si="123"/>
        <v>0</v>
      </c>
      <c r="AR178" s="365">
        <f t="shared" si="124"/>
        <v>0</v>
      </c>
      <c r="AS178" s="365">
        <f t="shared" si="108"/>
        <v>0</v>
      </c>
      <c r="AT178" s="365">
        <f t="shared" si="125"/>
        <v>0</v>
      </c>
      <c r="AU178" s="365">
        <f t="shared" si="126"/>
        <v>0</v>
      </c>
      <c r="AV178" s="365">
        <f t="shared" si="127"/>
        <v>0</v>
      </c>
      <c r="AW178" s="365">
        <f t="shared" si="128"/>
        <v>0</v>
      </c>
      <c r="AX178" s="365">
        <f t="shared" si="129"/>
        <v>0</v>
      </c>
      <c r="AY178" s="365">
        <f t="shared" si="130"/>
        <v>0</v>
      </c>
      <c r="AZ178" s="365">
        <f t="shared" si="131"/>
        <v>0</v>
      </c>
      <c r="BA178" s="365">
        <f t="shared" si="132"/>
        <v>0</v>
      </c>
      <c r="BB178" s="365">
        <f t="shared" si="92"/>
        <v>0</v>
      </c>
      <c r="BC178" s="365">
        <f t="shared" si="133"/>
        <v>0</v>
      </c>
      <c r="BD178" s="363"/>
      <c r="BE178">
        <v>0.4768</v>
      </c>
    </row>
    <row r="179" ht="24" spans="1:57">
      <c r="A179" s="284" t="s">
        <v>195</v>
      </c>
      <c r="B179" s="284" t="s">
        <v>199</v>
      </c>
      <c r="C179" s="284" t="s">
        <v>410</v>
      </c>
      <c r="D179" s="284" t="s">
        <v>411</v>
      </c>
      <c r="E179" s="365">
        <f t="shared" si="95"/>
        <v>58.19</v>
      </c>
      <c r="F179" s="365">
        <f t="shared" si="134"/>
        <v>8.97</v>
      </c>
      <c r="G179" s="365">
        <v>6.07</v>
      </c>
      <c r="H179" s="365"/>
      <c r="I179" s="365">
        <v>2.9</v>
      </c>
      <c r="J179" s="365"/>
      <c r="K179" s="365"/>
      <c r="L179" s="365">
        <f t="shared" si="97"/>
        <v>49.22</v>
      </c>
      <c r="M179" s="365">
        <v>1.74</v>
      </c>
      <c r="N179" s="365"/>
      <c r="O179" s="365"/>
      <c r="P179" s="365">
        <v>2.48</v>
      </c>
      <c r="Q179" s="365"/>
      <c r="R179" s="365"/>
      <c r="S179" s="366">
        <v>45</v>
      </c>
      <c r="T179" s="365">
        <f t="shared" si="98"/>
        <v>-36.43</v>
      </c>
      <c r="U179" s="365">
        <f t="shared" si="99"/>
        <v>0.89</v>
      </c>
      <c r="V179" s="365">
        <v>0.89</v>
      </c>
      <c r="W179" s="365"/>
      <c r="X179" s="365"/>
      <c r="Y179" s="365"/>
      <c r="Z179" s="365"/>
      <c r="AA179" s="365">
        <f t="shared" si="118"/>
        <v>-37.32</v>
      </c>
      <c r="AB179" s="366"/>
      <c r="AC179" s="366"/>
      <c r="AD179" s="366"/>
      <c r="AE179" s="366"/>
      <c r="AF179" s="366"/>
      <c r="AG179" s="366"/>
      <c r="AH179" s="365">
        <v>-45</v>
      </c>
      <c r="AI179" s="366">
        <v>4.68</v>
      </c>
      <c r="AJ179" s="366">
        <v>2</v>
      </c>
      <c r="AK179" s="365">
        <v>1</v>
      </c>
      <c r="AL179" s="365">
        <f t="shared" si="101"/>
        <v>21.76</v>
      </c>
      <c r="AM179" s="365">
        <f t="shared" si="119"/>
        <v>9.86</v>
      </c>
      <c r="AN179" s="365">
        <f t="shared" si="120"/>
        <v>6.96</v>
      </c>
      <c r="AO179" s="365">
        <f t="shared" si="121"/>
        <v>0</v>
      </c>
      <c r="AP179" s="365">
        <f t="shared" si="122"/>
        <v>2.9</v>
      </c>
      <c r="AQ179" s="365">
        <f t="shared" si="123"/>
        <v>0</v>
      </c>
      <c r="AR179" s="365">
        <f t="shared" si="124"/>
        <v>0</v>
      </c>
      <c r="AS179" s="365">
        <f t="shared" si="108"/>
        <v>11.9</v>
      </c>
      <c r="AT179" s="365">
        <f t="shared" si="125"/>
        <v>1.74</v>
      </c>
      <c r="AU179" s="365">
        <f t="shared" si="126"/>
        <v>0</v>
      </c>
      <c r="AV179" s="365">
        <f t="shared" si="127"/>
        <v>0</v>
      </c>
      <c r="AW179" s="365">
        <f t="shared" si="128"/>
        <v>2.48</v>
      </c>
      <c r="AX179" s="365">
        <f t="shared" si="129"/>
        <v>0</v>
      </c>
      <c r="AY179" s="365">
        <f t="shared" si="130"/>
        <v>0</v>
      </c>
      <c r="AZ179" s="365">
        <f t="shared" si="131"/>
        <v>0</v>
      </c>
      <c r="BA179" s="365">
        <f t="shared" si="132"/>
        <v>4.68</v>
      </c>
      <c r="BB179" s="365">
        <f t="shared" si="92"/>
        <v>2</v>
      </c>
      <c r="BC179" s="365">
        <f t="shared" si="133"/>
        <v>1</v>
      </c>
      <c r="BD179" s="363"/>
      <c r="BE179">
        <v>1</v>
      </c>
    </row>
    <row r="180" ht="24" spans="1:57">
      <c r="A180" s="284" t="s">
        <v>195</v>
      </c>
      <c r="B180" s="284" t="s">
        <v>199</v>
      </c>
      <c r="C180" s="284" t="s">
        <v>412</v>
      </c>
      <c r="D180" s="284" t="s">
        <v>411</v>
      </c>
      <c r="E180" s="365">
        <f t="shared" si="95"/>
        <v>33.39</v>
      </c>
      <c r="F180" s="365">
        <f t="shared" si="134"/>
        <v>14.78</v>
      </c>
      <c r="G180" s="365">
        <v>10.43</v>
      </c>
      <c r="H180" s="365"/>
      <c r="I180" s="365">
        <v>4.35</v>
      </c>
      <c r="J180" s="365"/>
      <c r="K180" s="365"/>
      <c r="L180" s="365">
        <f t="shared" si="97"/>
        <v>18.61</v>
      </c>
      <c r="M180" s="365">
        <v>2.61</v>
      </c>
      <c r="N180" s="365"/>
      <c r="O180" s="365"/>
      <c r="P180" s="365"/>
      <c r="Q180" s="365"/>
      <c r="R180" s="365"/>
      <c r="S180" s="366">
        <v>16</v>
      </c>
      <c r="T180" s="365">
        <f t="shared" si="98"/>
        <v>-6.96</v>
      </c>
      <c r="U180" s="365">
        <f t="shared" si="99"/>
        <v>1.4</v>
      </c>
      <c r="V180" s="365">
        <v>1.4</v>
      </c>
      <c r="W180" s="365"/>
      <c r="X180" s="365"/>
      <c r="Y180" s="365"/>
      <c r="Z180" s="365"/>
      <c r="AA180" s="365">
        <f t="shared" si="118"/>
        <v>-8.36</v>
      </c>
      <c r="AB180" s="366"/>
      <c r="AC180" s="366"/>
      <c r="AD180" s="366"/>
      <c r="AE180" s="366"/>
      <c r="AF180" s="366"/>
      <c r="AG180" s="366"/>
      <c r="AH180" s="365">
        <v>-16</v>
      </c>
      <c r="AI180" s="366">
        <v>4.14</v>
      </c>
      <c r="AJ180" s="366">
        <v>2</v>
      </c>
      <c r="AK180" s="365">
        <v>1.5</v>
      </c>
      <c r="AL180" s="365">
        <f t="shared" si="101"/>
        <v>26.43</v>
      </c>
      <c r="AM180" s="365">
        <f t="shared" si="119"/>
        <v>16.18</v>
      </c>
      <c r="AN180" s="365">
        <f t="shared" si="120"/>
        <v>11.83</v>
      </c>
      <c r="AO180" s="365">
        <f t="shared" si="121"/>
        <v>0</v>
      </c>
      <c r="AP180" s="365">
        <f t="shared" si="122"/>
        <v>4.35</v>
      </c>
      <c r="AQ180" s="365">
        <f t="shared" si="123"/>
        <v>0</v>
      </c>
      <c r="AR180" s="365">
        <f t="shared" si="124"/>
        <v>0</v>
      </c>
      <c r="AS180" s="365">
        <f t="shared" si="108"/>
        <v>10.25</v>
      </c>
      <c r="AT180" s="365">
        <f t="shared" si="125"/>
        <v>2.61</v>
      </c>
      <c r="AU180" s="365">
        <f t="shared" si="126"/>
        <v>0</v>
      </c>
      <c r="AV180" s="365">
        <f t="shared" si="127"/>
        <v>0</v>
      </c>
      <c r="AW180" s="365">
        <f t="shared" si="128"/>
        <v>0</v>
      </c>
      <c r="AX180" s="365">
        <f t="shared" si="129"/>
        <v>0</v>
      </c>
      <c r="AY180" s="365">
        <f t="shared" si="130"/>
        <v>0</v>
      </c>
      <c r="AZ180" s="365">
        <f t="shared" si="131"/>
        <v>0</v>
      </c>
      <c r="BA180" s="365">
        <f t="shared" si="132"/>
        <v>4.14</v>
      </c>
      <c r="BB180" s="365">
        <f t="shared" si="92"/>
        <v>2</v>
      </c>
      <c r="BC180" s="365">
        <f t="shared" si="133"/>
        <v>1.5</v>
      </c>
      <c r="BD180" s="363"/>
      <c r="BE180">
        <v>1.5</v>
      </c>
    </row>
    <row r="181" ht="24" spans="1:57">
      <c r="A181" s="284" t="s">
        <v>195</v>
      </c>
      <c r="B181" s="284" t="s">
        <v>199</v>
      </c>
      <c r="C181" s="284" t="s">
        <v>413</v>
      </c>
      <c r="D181" s="284" t="s">
        <v>411</v>
      </c>
      <c r="E181" s="365">
        <f t="shared" si="95"/>
        <v>33.57</v>
      </c>
      <c r="F181" s="365">
        <f t="shared" si="134"/>
        <v>12.96</v>
      </c>
      <c r="G181" s="365">
        <v>8.61</v>
      </c>
      <c r="H181" s="365"/>
      <c r="I181" s="365">
        <v>4.35</v>
      </c>
      <c r="J181" s="365"/>
      <c r="K181" s="365"/>
      <c r="L181" s="365">
        <f t="shared" si="97"/>
        <v>20.61</v>
      </c>
      <c r="M181" s="365">
        <v>2.61</v>
      </c>
      <c r="N181" s="365"/>
      <c r="O181" s="365"/>
      <c r="P181" s="365"/>
      <c r="Q181" s="365"/>
      <c r="R181" s="365"/>
      <c r="S181" s="365">
        <v>18</v>
      </c>
      <c r="T181" s="365">
        <f t="shared" si="98"/>
        <v>-8.82</v>
      </c>
      <c r="U181" s="365">
        <f t="shared" si="99"/>
        <v>1.52</v>
      </c>
      <c r="V181" s="365">
        <v>1.48</v>
      </c>
      <c r="W181" s="365"/>
      <c r="X181" s="365">
        <v>0.04</v>
      </c>
      <c r="Y181" s="365"/>
      <c r="Z181" s="365"/>
      <c r="AA181" s="365">
        <f t="shared" si="118"/>
        <v>-10.34</v>
      </c>
      <c r="AB181" s="365">
        <v>0.02</v>
      </c>
      <c r="AC181" s="365"/>
      <c r="AD181" s="365"/>
      <c r="AE181" s="365"/>
      <c r="AF181" s="365"/>
      <c r="AG181" s="365"/>
      <c r="AH181" s="365">
        <v>-18</v>
      </c>
      <c r="AI181" s="365">
        <v>4.14</v>
      </c>
      <c r="AJ181" s="365">
        <v>2</v>
      </c>
      <c r="AK181" s="365">
        <v>1.5</v>
      </c>
      <c r="AL181" s="365">
        <f t="shared" si="101"/>
        <v>24.75</v>
      </c>
      <c r="AM181" s="365">
        <f t="shared" si="119"/>
        <v>14.48</v>
      </c>
      <c r="AN181" s="365">
        <f t="shared" si="120"/>
        <v>10.09</v>
      </c>
      <c r="AO181" s="365">
        <f t="shared" si="121"/>
        <v>0</v>
      </c>
      <c r="AP181" s="365">
        <f t="shared" si="122"/>
        <v>4.39</v>
      </c>
      <c r="AQ181" s="365">
        <f t="shared" si="123"/>
        <v>0</v>
      </c>
      <c r="AR181" s="365">
        <f t="shared" si="124"/>
        <v>0</v>
      </c>
      <c r="AS181" s="365">
        <f t="shared" si="108"/>
        <v>10.27</v>
      </c>
      <c r="AT181" s="365">
        <f t="shared" si="125"/>
        <v>2.63</v>
      </c>
      <c r="AU181" s="365">
        <f t="shared" si="126"/>
        <v>0</v>
      </c>
      <c r="AV181" s="365">
        <f t="shared" si="127"/>
        <v>0</v>
      </c>
      <c r="AW181" s="365">
        <f t="shared" si="128"/>
        <v>0</v>
      </c>
      <c r="AX181" s="365">
        <f t="shared" si="129"/>
        <v>0</v>
      </c>
      <c r="AY181" s="365">
        <f t="shared" si="130"/>
        <v>0</v>
      </c>
      <c r="AZ181" s="365">
        <f t="shared" si="131"/>
        <v>0</v>
      </c>
      <c r="BA181" s="365">
        <f t="shared" si="132"/>
        <v>4.14</v>
      </c>
      <c r="BB181" s="365">
        <f t="shared" si="92"/>
        <v>2</v>
      </c>
      <c r="BC181" s="365">
        <f t="shared" si="133"/>
        <v>1.5</v>
      </c>
      <c r="BD181" s="363"/>
      <c r="BE181">
        <v>1.5</v>
      </c>
    </row>
    <row r="182" ht="24" spans="1:57">
      <c r="A182" s="284" t="s">
        <v>195</v>
      </c>
      <c r="B182" s="284" t="s">
        <v>199</v>
      </c>
      <c r="C182" s="284" t="s">
        <v>414</v>
      </c>
      <c r="D182" s="284" t="s">
        <v>411</v>
      </c>
      <c r="E182" s="365">
        <f t="shared" si="95"/>
        <v>11.37</v>
      </c>
      <c r="F182" s="365">
        <f t="shared" si="134"/>
        <v>4.5</v>
      </c>
      <c r="G182" s="365">
        <v>3.05</v>
      </c>
      <c r="H182" s="365"/>
      <c r="I182" s="365">
        <v>1.45</v>
      </c>
      <c r="J182" s="365"/>
      <c r="K182" s="365"/>
      <c r="L182" s="365">
        <f t="shared" si="97"/>
        <v>6.87</v>
      </c>
      <c r="M182" s="365">
        <v>0.87</v>
      </c>
      <c r="N182" s="365"/>
      <c r="O182" s="365"/>
      <c r="P182" s="365"/>
      <c r="Q182" s="365"/>
      <c r="R182" s="365"/>
      <c r="S182" s="365">
        <v>6</v>
      </c>
      <c r="T182" s="365">
        <f t="shared" si="98"/>
        <v>-2.66</v>
      </c>
      <c r="U182" s="365">
        <f t="shared" si="99"/>
        <v>0.46</v>
      </c>
      <c r="V182" s="365">
        <v>0.46</v>
      </c>
      <c r="W182" s="365"/>
      <c r="X182" s="365"/>
      <c r="Y182" s="365"/>
      <c r="Z182" s="365"/>
      <c r="AA182" s="365">
        <f t="shared" si="118"/>
        <v>-3.12</v>
      </c>
      <c r="AB182" s="365"/>
      <c r="AC182" s="365"/>
      <c r="AD182" s="365"/>
      <c r="AE182" s="365"/>
      <c r="AF182" s="365"/>
      <c r="AG182" s="365"/>
      <c r="AH182" s="365">
        <v>-6</v>
      </c>
      <c r="AI182" s="365">
        <v>1.38</v>
      </c>
      <c r="AJ182" s="365">
        <v>1</v>
      </c>
      <c r="AK182" s="365">
        <v>0.5</v>
      </c>
      <c r="AL182" s="365">
        <f t="shared" si="101"/>
        <v>8.71</v>
      </c>
      <c r="AM182" s="365">
        <f t="shared" si="119"/>
        <v>4.96</v>
      </c>
      <c r="AN182" s="365">
        <f t="shared" si="120"/>
        <v>3.51</v>
      </c>
      <c r="AO182" s="365">
        <f t="shared" si="121"/>
        <v>0</v>
      </c>
      <c r="AP182" s="365">
        <f t="shared" si="122"/>
        <v>1.45</v>
      </c>
      <c r="AQ182" s="365">
        <f t="shared" si="123"/>
        <v>0</v>
      </c>
      <c r="AR182" s="365">
        <f t="shared" si="124"/>
        <v>0</v>
      </c>
      <c r="AS182" s="365">
        <f t="shared" si="108"/>
        <v>3.75</v>
      </c>
      <c r="AT182" s="365">
        <f t="shared" si="125"/>
        <v>0.87</v>
      </c>
      <c r="AU182" s="365">
        <f t="shared" si="126"/>
        <v>0</v>
      </c>
      <c r="AV182" s="365">
        <f t="shared" si="127"/>
        <v>0</v>
      </c>
      <c r="AW182" s="365">
        <f t="shared" si="128"/>
        <v>0</v>
      </c>
      <c r="AX182" s="365">
        <f t="shared" si="129"/>
        <v>0</v>
      </c>
      <c r="AY182" s="365">
        <f t="shared" si="130"/>
        <v>0</v>
      </c>
      <c r="AZ182" s="365">
        <f t="shared" si="131"/>
        <v>0</v>
      </c>
      <c r="BA182" s="365">
        <f t="shared" si="132"/>
        <v>1.38</v>
      </c>
      <c r="BB182" s="365">
        <f t="shared" si="92"/>
        <v>1</v>
      </c>
      <c r="BC182" s="365">
        <f t="shared" si="133"/>
        <v>0.5</v>
      </c>
      <c r="BD182" s="363"/>
      <c r="BE182">
        <v>0.5</v>
      </c>
    </row>
    <row r="183" ht="24" spans="1:57">
      <c r="A183" s="284" t="s">
        <v>195</v>
      </c>
      <c r="B183" s="284" t="s">
        <v>196</v>
      </c>
      <c r="C183" s="284" t="s">
        <v>415</v>
      </c>
      <c r="D183" s="284" t="s">
        <v>416</v>
      </c>
      <c r="E183" s="365">
        <f t="shared" si="95"/>
        <v>0</v>
      </c>
      <c r="F183" s="365">
        <f t="shared" si="134"/>
        <v>0</v>
      </c>
      <c r="G183" s="365"/>
      <c r="H183" s="365"/>
      <c r="I183" s="365"/>
      <c r="J183" s="365"/>
      <c r="K183" s="365"/>
      <c r="L183" s="365">
        <f t="shared" si="97"/>
        <v>0</v>
      </c>
      <c r="M183" s="365"/>
      <c r="N183" s="365"/>
      <c r="O183" s="365"/>
      <c r="P183" s="365"/>
      <c r="Q183" s="365"/>
      <c r="R183" s="365"/>
      <c r="S183" s="365"/>
      <c r="T183" s="365">
        <f t="shared" si="98"/>
        <v>0</v>
      </c>
      <c r="U183" s="365">
        <f t="shared" si="99"/>
        <v>0</v>
      </c>
      <c r="V183" s="365"/>
      <c r="W183" s="365"/>
      <c r="X183" s="365"/>
      <c r="Y183" s="365"/>
      <c r="Z183" s="365"/>
      <c r="AA183" s="365">
        <f t="shared" si="118"/>
        <v>0</v>
      </c>
      <c r="AB183" s="365"/>
      <c r="AC183" s="365"/>
      <c r="AD183" s="365"/>
      <c r="AE183" s="365"/>
      <c r="AF183" s="365"/>
      <c r="AG183" s="365"/>
      <c r="AH183" s="365">
        <v>0</v>
      </c>
      <c r="AI183" s="365"/>
      <c r="AJ183" s="365"/>
      <c r="AK183" s="365"/>
      <c r="AL183" s="365">
        <f t="shared" si="101"/>
        <v>0</v>
      </c>
      <c r="AM183" s="365">
        <f t="shared" si="119"/>
        <v>0</v>
      </c>
      <c r="AN183" s="365">
        <f t="shared" si="120"/>
        <v>0</v>
      </c>
      <c r="AO183" s="365">
        <f t="shared" si="121"/>
        <v>0</v>
      </c>
      <c r="AP183" s="365">
        <f t="shared" si="122"/>
        <v>0</v>
      </c>
      <c r="AQ183" s="365">
        <f t="shared" si="123"/>
        <v>0</v>
      </c>
      <c r="AR183" s="365">
        <f t="shared" si="124"/>
        <v>0</v>
      </c>
      <c r="AS183" s="365">
        <f t="shared" si="108"/>
        <v>0</v>
      </c>
      <c r="AT183" s="365">
        <f t="shared" si="125"/>
        <v>0</v>
      </c>
      <c r="AU183" s="365">
        <f t="shared" si="126"/>
        <v>0</v>
      </c>
      <c r="AV183" s="365">
        <f t="shared" si="127"/>
        <v>0</v>
      </c>
      <c r="AW183" s="365">
        <f t="shared" si="128"/>
        <v>0</v>
      </c>
      <c r="AX183" s="365">
        <f t="shared" si="129"/>
        <v>0</v>
      </c>
      <c r="AY183" s="365">
        <f t="shared" si="130"/>
        <v>0</v>
      </c>
      <c r="AZ183" s="365">
        <f t="shared" si="131"/>
        <v>0</v>
      </c>
      <c r="BA183" s="365">
        <f t="shared" si="132"/>
        <v>0</v>
      </c>
      <c r="BB183" s="365">
        <f t="shared" si="92"/>
        <v>0</v>
      </c>
      <c r="BC183" s="365">
        <f t="shared" si="133"/>
        <v>0</v>
      </c>
      <c r="BD183" s="363"/>
      <c r="BE183">
        <v>57.1106</v>
      </c>
    </row>
    <row r="184" ht="24" spans="1:57">
      <c r="A184" s="284" t="s">
        <v>195</v>
      </c>
      <c r="B184" s="284" t="s">
        <v>199</v>
      </c>
      <c r="C184" s="284" t="s">
        <v>417</v>
      </c>
      <c r="D184" s="284" t="s">
        <v>418</v>
      </c>
      <c r="E184" s="365">
        <f t="shared" si="95"/>
        <v>93.01</v>
      </c>
      <c r="F184" s="365">
        <f t="shared" si="134"/>
        <v>40.49</v>
      </c>
      <c r="G184" s="365">
        <v>27.96</v>
      </c>
      <c r="H184" s="365"/>
      <c r="I184" s="365">
        <v>12.53</v>
      </c>
      <c r="J184" s="365"/>
      <c r="K184" s="365"/>
      <c r="L184" s="365">
        <f t="shared" si="97"/>
        <v>52.52</v>
      </c>
      <c r="M184" s="365">
        <v>7.52</v>
      </c>
      <c r="N184" s="365"/>
      <c r="O184" s="365"/>
      <c r="P184" s="365"/>
      <c r="Q184" s="365"/>
      <c r="R184" s="365"/>
      <c r="S184" s="365">
        <v>45</v>
      </c>
      <c r="T184" s="365">
        <f t="shared" si="98"/>
        <v>-11.9483</v>
      </c>
      <c r="U184" s="365">
        <f t="shared" si="99"/>
        <v>8.05</v>
      </c>
      <c r="V184" s="365">
        <v>6.84</v>
      </c>
      <c r="W184" s="365"/>
      <c r="X184" s="365">
        <v>1.21</v>
      </c>
      <c r="Y184" s="365"/>
      <c r="Z184" s="365"/>
      <c r="AA184" s="365">
        <f t="shared" si="118"/>
        <v>-19.9983</v>
      </c>
      <c r="AB184" s="365">
        <v>0.73</v>
      </c>
      <c r="AC184" s="365"/>
      <c r="AD184" s="365"/>
      <c r="AE184" s="365"/>
      <c r="AF184" s="365"/>
      <c r="AG184" s="365">
        <v>0.3</v>
      </c>
      <c r="AH184" s="365">
        <v>-45</v>
      </c>
      <c r="AI184" s="365">
        <v>14.43</v>
      </c>
      <c r="AJ184" s="365">
        <v>5</v>
      </c>
      <c r="AK184" s="365">
        <v>4.5417</v>
      </c>
      <c r="AL184" s="365">
        <f t="shared" si="101"/>
        <v>81.0617</v>
      </c>
      <c r="AM184" s="365">
        <f t="shared" si="119"/>
        <v>48.54</v>
      </c>
      <c r="AN184" s="365">
        <f t="shared" si="120"/>
        <v>34.8</v>
      </c>
      <c r="AO184" s="365">
        <f t="shared" si="121"/>
        <v>0</v>
      </c>
      <c r="AP184" s="365">
        <f t="shared" si="122"/>
        <v>13.74</v>
      </c>
      <c r="AQ184" s="365">
        <f t="shared" si="123"/>
        <v>0</v>
      </c>
      <c r="AR184" s="365">
        <f t="shared" si="124"/>
        <v>0</v>
      </c>
      <c r="AS184" s="365">
        <f t="shared" si="108"/>
        <v>32.5217</v>
      </c>
      <c r="AT184" s="365">
        <f t="shared" si="125"/>
        <v>8.25</v>
      </c>
      <c r="AU184" s="365">
        <f t="shared" si="126"/>
        <v>0</v>
      </c>
      <c r="AV184" s="365">
        <f t="shared" si="127"/>
        <v>0</v>
      </c>
      <c r="AW184" s="365">
        <f t="shared" si="128"/>
        <v>0</v>
      </c>
      <c r="AX184" s="365">
        <f t="shared" si="129"/>
        <v>0</v>
      </c>
      <c r="AY184" s="365">
        <f t="shared" si="130"/>
        <v>0.3</v>
      </c>
      <c r="AZ184" s="365">
        <f t="shared" si="131"/>
        <v>0</v>
      </c>
      <c r="BA184" s="365">
        <f t="shared" si="132"/>
        <v>14.43</v>
      </c>
      <c r="BB184" s="365">
        <f t="shared" si="92"/>
        <v>5</v>
      </c>
      <c r="BC184" s="365">
        <f t="shared" si="133"/>
        <v>4.5417</v>
      </c>
      <c r="BD184" s="363"/>
      <c r="BE184">
        <v>4.5417</v>
      </c>
    </row>
    <row r="185" ht="24" spans="1:57">
      <c r="A185" s="284" t="s">
        <v>195</v>
      </c>
      <c r="B185" s="284" t="s">
        <v>199</v>
      </c>
      <c r="C185" s="284" t="s">
        <v>419</v>
      </c>
      <c r="D185" s="284" t="s">
        <v>418</v>
      </c>
      <c r="E185" s="365">
        <f t="shared" si="95"/>
        <v>33.16</v>
      </c>
      <c r="F185" s="365">
        <f t="shared" si="134"/>
        <v>15.64</v>
      </c>
      <c r="G185" s="365">
        <v>11.44</v>
      </c>
      <c r="H185" s="365"/>
      <c r="I185" s="365">
        <v>4.2</v>
      </c>
      <c r="J185" s="365"/>
      <c r="K185" s="365"/>
      <c r="L185" s="365">
        <f t="shared" si="97"/>
        <v>17.52</v>
      </c>
      <c r="M185" s="365">
        <v>2.52</v>
      </c>
      <c r="N185" s="365"/>
      <c r="O185" s="365"/>
      <c r="P185" s="365"/>
      <c r="Q185" s="365"/>
      <c r="R185" s="365"/>
      <c r="S185" s="365">
        <v>15</v>
      </c>
      <c r="T185" s="365">
        <f t="shared" si="98"/>
        <v>-5.84</v>
      </c>
      <c r="U185" s="365">
        <f t="shared" si="99"/>
        <v>1.37</v>
      </c>
      <c r="V185" s="365">
        <v>1.37</v>
      </c>
      <c r="W185" s="365"/>
      <c r="X185" s="365"/>
      <c r="Y185" s="365"/>
      <c r="Z185" s="365"/>
      <c r="AA185" s="365">
        <f t="shared" si="118"/>
        <v>-7.21</v>
      </c>
      <c r="AB185" s="365"/>
      <c r="AC185" s="365"/>
      <c r="AD185" s="365"/>
      <c r="AE185" s="365"/>
      <c r="AF185" s="365"/>
      <c r="AG185" s="365">
        <v>0.15</v>
      </c>
      <c r="AH185" s="365">
        <v>-15</v>
      </c>
      <c r="AI185" s="365">
        <v>4.14</v>
      </c>
      <c r="AJ185" s="365">
        <v>2</v>
      </c>
      <c r="AK185" s="365">
        <v>1.5</v>
      </c>
      <c r="AL185" s="365">
        <f t="shared" si="101"/>
        <v>27.32</v>
      </c>
      <c r="AM185" s="365">
        <f t="shared" si="119"/>
        <v>17.01</v>
      </c>
      <c r="AN185" s="365">
        <f t="shared" si="120"/>
        <v>12.81</v>
      </c>
      <c r="AO185" s="365">
        <f t="shared" si="121"/>
        <v>0</v>
      </c>
      <c r="AP185" s="365">
        <f t="shared" si="122"/>
        <v>4.2</v>
      </c>
      <c r="AQ185" s="365">
        <f t="shared" si="123"/>
        <v>0</v>
      </c>
      <c r="AR185" s="365">
        <f t="shared" si="124"/>
        <v>0</v>
      </c>
      <c r="AS185" s="365">
        <f t="shared" si="108"/>
        <v>10.31</v>
      </c>
      <c r="AT185" s="365">
        <f t="shared" si="125"/>
        <v>2.52</v>
      </c>
      <c r="AU185" s="365">
        <f t="shared" si="126"/>
        <v>0</v>
      </c>
      <c r="AV185" s="365">
        <f t="shared" si="127"/>
        <v>0</v>
      </c>
      <c r="AW185" s="365">
        <f t="shared" si="128"/>
        <v>0</v>
      </c>
      <c r="AX185" s="365">
        <f t="shared" si="129"/>
        <v>0</v>
      </c>
      <c r="AY185" s="365">
        <f t="shared" si="130"/>
        <v>0.15</v>
      </c>
      <c r="AZ185" s="365">
        <f t="shared" si="131"/>
        <v>0</v>
      </c>
      <c r="BA185" s="365">
        <f t="shared" si="132"/>
        <v>4.14</v>
      </c>
      <c r="BB185" s="365">
        <f t="shared" si="92"/>
        <v>2</v>
      </c>
      <c r="BC185" s="365">
        <f t="shared" si="133"/>
        <v>1.5</v>
      </c>
      <c r="BD185" s="363"/>
      <c r="BE185">
        <v>1.5</v>
      </c>
    </row>
    <row r="186" ht="24" spans="1:57">
      <c r="A186" s="284" t="s">
        <v>195</v>
      </c>
      <c r="B186" s="284" t="s">
        <v>199</v>
      </c>
      <c r="C186" s="284" t="s">
        <v>420</v>
      </c>
      <c r="D186" s="284" t="s">
        <v>418</v>
      </c>
      <c r="E186" s="365">
        <f t="shared" si="95"/>
        <v>254.76</v>
      </c>
      <c r="F186" s="365">
        <f t="shared" si="134"/>
        <v>115.12</v>
      </c>
      <c r="G186" s="365">
        <v>80.73</v>
      </c>
      <c r="H186" s="365"/>
      <c r="I186" s="365">
        <v>34.39</v>
      </c>
      <c r="J186" s="365"/>
      <c r="K186" s="365"/>
      <c r="L186" s="365">
        <f t="shared" si="97"/>
        <v>139.64</v>
      </c>
      <c r="M186" s="365">
        <v>20.64</v>
      </c>
      <c r="N186" s="365"/>
      <c r="O186" s="365"/>
      <c r="P186" s="365"/>
      <c r="Q186" s="365"/>
      <c r="R186" s="365"/>
      <c r="S186" s="365">
        <v>119</v>
      </c>
      <c r="T186" s="365">
        <f t="shared" si="98"/>
        <v>-42.6</v>
      </c>
      <c r="U186" s="365">
        <f t="shared" si="99"/>
        <v>13.36</v>
      </c>
      <c r="V186" s="365">
        <v>12.63</v>
      </c>
      <c r="W186" s="365"/>
      <c r="X186" s="365">
        <v>0.73</v>
      </c>
      <c r="Y186" s="365"/>
      <c r="Z186" s="365"/>
      <c r="AA186" s="365">
        <f t="shared" si="118"/>
        <v>-55.96</v>
      </c>
      <c r="AB186" s="365">
        <v>0.44</v>
      </c>
      <c r="AC186" s="365"/>
      <c r="AD186" s="365"/>
      <c r="AE186" s="365"/>
      <c r="AF186" s="365"/>
      <c r="AG186" s="365">
        <v>0.6</v>
      </c>
      <c r="AH186" s="365">
        <v>-119</v>
      </c>
      <c r="AI186" s="365">
        <v>35.32</v>
      </c>
      <c r="AJ186" s="365">
        <v>14</v>
      </c>
      <c r="AK186" s="365">
        <v>12.68</v>
      </c>
      <c r="AL186" s="365">
        <f t="shared" si="101"/>
        <v>212.16</v>
      </c>
      <c r="AM186" s="365">
        <f t="shared" si="119"/>
        <v>128.48</v>
      </c>
      <c r="AN186" s="365">
        <f t="shared" si="120"/>
        <v>93.36</v>
      </c>
      <c r="AO186" s="365">
        <f t="shared" si="121"/>
        <v>0</v>
      </c>
      <c r="AP186" s="365">
        <f t="shared" si="122"/>
        <v>35.12</v>
      </c>
      <c r="AQ186" s="365">
        <f t="shared" si="123"/>
        <v>0</v>
      </c>
      <c r="AR186" s="365">
        <f t="shared" si="124"/>
        <v>0</v>
      </c>
      <c r="AS186" s="365">
        <f t="shared" si="108"/>
        <v>83.68</v>
      </c>
      <c r="AT186" s="365">
        <f t="shared" si="125"/>
        <v>21.08</v>
      </c>
      <c r="AU186" s="365">
        <f t="shared" si="126"/>
        <v>0</v>
      </c>
      <c r="AV186" s="365">
        <f t="shared" si="127"/>
        <v>0</v>
      </c>
      <c r="AW186" s="365">
        <f t="shared" si="128"/>
        <v>0</v>
      </c>
      <c r="AX186" s="365">
        <f t="shared" si="129"/>
        <v>0</v>
      </c>
      <c r="AY186" s="365">
        <f t="shared" si="130"/>
        <v>0.6</v>
      </c>
      <c r="AZ186" s="365">
        <f t="shared" si="131"/>
        <v>0</v>
      </c>
      <c r="BA186" s="365">
        <f t="shared" si="132"/>
        <v>35.32</v>
      </c>
      <c r="BB186" s="365">
        <f t="shared" si="92"/>
        <v>14</v>
      </c>
      <c r="BC186" s="365">
        <f t="shared" si="133"/>
        <v>12.68</v>
      </c>
      <c r="BD186" s="363"/>
      <c r="BE186">
        <v>12.68</v>
      </c>
    </row>
    <row r="187" s="311" customFormat="1" ht="21" customHeight="1" spans="1:57">
      <c r="A187" s="328"/>
      <c r="B187" s="329" t="s">
        <v>745</v>
      </c>
      <c r="C187" s="329" t="s">
        <v>133</v>
      </c>
      <c r="D187" s="329">
        <v>204</v>
      </c>
      <c r="E187" s="364">
        <f t="shared" ref="E187:S187" si="135">SUM(E188:E197)</f>
        <v>435.15</v>
      </c>
      <c r="F187" s="364">
        <f t="shared" si="135"/>
        <v>177.25</v>
      </c>
      <c r="G187" s="364">
        <f t="shared" si="135"/>
        <v>123</v>
      </c>
      <c r="H187" s="364">
        <f t="shared" si="135"/>
        <v>0.24</v>
      </c>
      <c r="I187" s="364">
        <f t="shared" si="135"/>
        <v>54.01</v>
      </c>
      <c r="J187" s="364">
        <f t="shared" si="135"/>
        <v>0</v>
      </c>
      <c r="K187" s="364">
        <f t="shared" si="135"/>
        <v>0</v>
      </c>
      <c r="L187" s="364">
        <f t="shared" si="135"/>
        <v>257.9</v>
      </c>
      <c r="M187" s="364">
        <f t="shared" si="135"/>
        <v>32.4</v>
      </c>
      <c r="N187" s="364">
        <f t="shared" si="135"/>
        <v>0</v>
      </c>
      <c r="O187" s="364">
        <f t="shared" si="135"/>
        <v>0</v>
      </c>
      <c r="P187" s="364">
        <f t="shared" si="135"/>
        <v>0</v>
      </c>
      <c r="Q187" s="364">
        <f t="shared" si="135"/>
        <v>0</v>
      </c>
      <c r="R187" s="364">
        <f t="shared" si="135"/>
        <v>0</v>
      </c>
      <c r="S187" s="364">
        <f t="shared" si="135"/>
        <v>225.5</v>
      </c>
      <c r="T187" s="364">
        <f t="shared" si="98"/>
        <v>-98.8583</v>
      </c>
      <c r="U187" s="364">
        <f>SUM(U188:U197)</f>
        <v>20.29</v>
      </c>
      <c r="V187" s="364">
        <f t="shared" ref="V187:AA187" si="136">SUM(V188:V197)</f>
        <v>18.82</v>
      </c>
      <c r="W187" s="364">
        <f t="shared" si="136"/>
        <v>1.55</v>
      </c>
      <c r="X187" s="364">
        <f t="shared" si="136"/>
        <v>-0.0800000000000001</v>
      </c>
      <c r="Y187" s="364">
        <f t="shared" si="136"/>
        <v>0</v>
      </c>
      <c r="Z187" s="364">
        <f t="shared" si="136"/>
        <v>0</v>
      </c>
      <c r="AA187" s="364">
        <f t="shared" si="136"/>
        <v>-119.1483</v>
      </c>
      <c r="AB187" s="364">
        <f t="shared" ref="AB187:AK187" si="137">SUM(AB188:AB197)</f>
        <v>0.65</v>
      </c>
      <c r="AC187" s="364">
        <f t="shared" si="137"/>
        <v>0</v>
      </c>
      <c r="AD187" s="364">
        <f t="shared" si="137"/>
        <v>0</v>
      </c>
      <c r="AE187" s="364">
        <f t="shared" si="137"/>
        <v>0</v>
      </c>
      <c r="AF187" s="364">
        <f t="shared" si="137"/>
        <v>0</v>
      </c>
      <c r="AG187" s="364">
        <f t="shared" si="137"/>
        <v>1.2</v>
      </c>
      <c r="AH187" s="364">
        <f t="shared" si="137"/>
        <v>-225.5</v>
      </c>
      <c r="AI187" s="364">
        <f t="shared" si="137"/>
        <v>86.46</v>
      </c>
      <c r="AJ187" s="364">
        <f t="shared" si="137"/>
        <v>15</v>
      </c>
      <c r="AK187" s="364">
        <f t="shared" si="137"/>
        <v>3.0417</v>
      </c>
      <c r="AL187" s="364">
        <f t="shared" si="101"/>
        <v>336.2917</v>
      </c>
      <c r="AM187" s="364">
        <f t="shared" ref="AM187:BC187" si="138">SUM(AM188:AM197)</f>
        <v>197.54</v>
      </c>
      <c r="AN187" s="364">
        <f t="shared" si="138"/>
        <v>141.82</v>
      </c>
      <c r="AO187" s="364">
        <f t="shared" si="138"/>
        <v>1.79</v>
      </c>
      <c r="AP187" s="364">
        <f t="shared" si="138"/>
        <v>53.93</v>
      </c>
      <c r="AQ187" s="364">
        <f t="shared" si="138"/>
        <v>0</v>
      </c>
      <c r="AR187" s="364">
        <f t="shared" si="138"/>
        <v>0</v>
      </c>
      <c r="AS187" s="364">
        <f t="shared" si="138"/>
        <v>138.7517</v>
      </c>
      <c r="AT187" s="364">
        <f t="shared" si="138"/>
        <v>33.05</v>
      </c>
      <c r="AU187" s="364">
        <f t="shared" si="138"/>
        <v>0</v>
      </c>
      <c r="AV187" s="364">
        <f t="shared" si="138"/>
        <v>0</v>
      </c>
      <c r="AW187" s="364">
        <f t="shared" si="138"/>
        <v>0</v>
      </c>
      <c r="AX187" s="364">
        <f t="shared" si="138"/>
        <v>0</v>
      </c>
      <c r="AY187" s="364">
        <f t="shared" si="138"/>
        <v>1.2</v>
      </c>
      <c r="AZ187" s="364">
        <f t="shared" si="138"/>
        <v>0</v>
      </c>
      <c r="BA187" s="364">
        <f t="shared" si="138"/>
        <v>86.46</v>
      </c>
      <c r="BB187" s="364">
        <f t="shared" si="138"/>
        <v>15</v>
      </c>
      <c r="BC187" s="364">
        <f t="shared" si="138"/>
        <v>3.0417</v>
      </c>
      <c r="BD187" s="372"/>
      <c r="BE187" s="373"/>
    </row>
    <row r="188" ht="24" spans="1:57">
      <c r="A188" s="284" t="s">
        <v>195</v>
      </c>
      <c r="B188" s="284" t="s">
        <v>196</v>
      </c>
      <c r="C188" s="284" t="s">
        <v>421</v>
      </c>
      <c r="D188" s="284" t="s">
        <v>422</v>
      </c>
      <c r="E188" s="365">
        <f t="shared" ref="E188:E197" si="139">F188+L188</f>
        <v>0</v>
      </c>
      <c r="F188" s="365">
        <f t="shared" ref="F188:F197" si="140">SUM(G188:K188)</f>
        <v>0</v>
      </c>
      <c r="G188" s="365"/>
      <c r="H188" s="365"/>
      <c r="I188" s="365"/>
      <c r="J188" s="365"/>
      <c r="K188" s="365"/>
      <c r="L188" s="365">
        <f t="shared" ref="L188:L197" si="141">SUM(M188:S188)</f>
        <v>0</v>
      </c>
      <c r="M188" s="365"/>
      <c r="N188" s="365"/>
      <c r="O188" s="365"/>
      <c r="P188" s="365"/>
      <c r="Q188" s="365"/>
      <c r="R188" s="365"/>
      <c r="S188" s="365"/>
      <c r="T188" s="366">
        <f t="shared" si="98"/>
        <v>0</v>
      </c>
      <c r="U188" s="366">
        <f t="shared" si="99"/>
        <v>0</v>
      </c>
      <c r="V188" s="366"/>
      <c r="W188" s="366"/>
      <c r="X188" s="366"/>
      <c r="Y188" s="366"/>
      <c r="Z188" s="366"/>
      <c r="AA188" s="365">
        <f t="shared" ref="AA188:AA197" si="142">SUM(AB188:AK188)</f>
        <v>0</v>
      </c>
      <c r="AB188" s="365"/>
      <c r="AC188" s="365"/>
      <c r="AD188" s="365"/>
      <c r="AE188" s="365"/>
      <c r="AF188" s="365"/>
      <c r="AG188" s="365"/>
      <c r="AH188" s="365">
        <v>0</v>
      </c>
      <c r="AI188" s="365"/>
      <c r="AJ188" s="365"/>
      <c r="AK188" s="365"/>
      <c r="AL188" s="366">
        <f t="shared" si="101"/>
        <v>0</v>
      </c>
      <c r="AM188" s="365">
        <f t="shared" ref="AM188:AM197" si="143">SUM(AN188:AR188)</f>
        <v>0</v>
      </c>
      <c r="AN188" s="365">
        <f t="shared" ref="AN188:AN197" si="144">G188+V188</f>
        <v>0</v>
      </c>
      <c r="AO188" s="365">
        <f t="shared" ref="AO188:AO197" si="145">H188+W188</f>
        <v>0</v>
      </c>
      <c r="AP188" s="365">
        <f t="shared" ref="AP188:AP197" si="146">I188+X188</f>
        <v>0</v>
      </c>
      <c r="AQ188" s="365">
        <f t="shared" ref="AQ188:AQ197" si="147">J188+Y188</f>
        <v>0</v>
      </c>
      <c r="AR188" s="365">
        <f t="shared" ref="AR188:AR197" si="148">K188+Z188</f>
        <v>0</v>
      </c>
      <c r="AS188" s="365">
        <f t="shared" si="108"/>
        <v>0</v>
      </c>
      <c r="AT188" s="365">
        <f t="shared" ref="AT188:AZ188" si="149">M188+AB188</f>
        <v>0</v>
      </c>
      <c r="AU188" s="365">
        <f t="shared" si="149"/>
        <v>0</v>
      </c>
      <c r="AV188" s="365">
        <f t="shared" si="149"/>
        <v>0</v>
      </c>
      <c r="AW188" s="365">
        <f t="shared" si="149"/>
        <v>0</v>
      </c>
      <c r="AX188" s="365">
        <f t="shared" si="149"/>
        <v>0</v>
      </c>
      <c r="AY188" s="365">
        <f t="shared" si="149"/>
        <v>0</v>
      </c>
      <c r="AZ188" s="365">
        <f t="shared" si="149"/>
        <v>0</v>
      </c>
      <c r="BA188" s="365">
        <f t="shared" ref="BA188:BA197" si="150">AI188</f>
        <v>0</v>
      </c>
      <c r="BB188" s="365">
        <f t="shared" ref="BB188:BB197" si="151">AJ188</f>
        <v>0</v>
      </c>
      <c r="BC188" s="365">
        <f t="shared" ref="BC188:BC197" si="152">AK188</f>
        <v>0</v>
      </c>
      <c r="BD188" s="363"/>
      <c r="BE188">
        <v>214.5407</v>
      </c>
    </row>
    <row r="189" ht="24" spans="1:57">
      <c r="A189" s="284" t="s">
        <v>195</v>
      </c>
      <c r="B189" s="284" t="s">
        <v>196</v>
      </c>
      <c r="C189" s="284" t="s">
        <v>423</v>
      </c>
      <c r="D189" s="284" t="s">
        <v>422</v>
      </c>
      <c r="E189" s="365">
        <f t="shared" si="139"/>
        <v>0</v>
      </c>
      <c r="F189" s="365">
        <f t="shared" si="140"/>
        <v>0</v>
      </c>
      <c r="G189" s="365"/>
      <c r="H189" s="365"/>
      <c r="I189" s="365"/>
      <c r="J189" s="365"/>
      <c r="K189" s="365"/>
      <c r="L189" s="365">
        <f t="shared" si="141"/>
        <v>0</v>
      </c>
      <c r="M189" s="365"/>
      <c r="N189" s="365"/>
      <c r="O189" s="365"/>
      <c r="P189" s="365"/>
      <c r="Q189" s="365"/>
      <c r="R189" s="365"/>
      <c r="S189" s="365"/>
      <c r="T189" s="366">
        <f t="shared" si="98"/>
        <v>0</v>
      </c>
      <c r="U189" s="366">
        <f t="shared" si="99"/>
        <v>0</v>
      </c>
      <c r="V189" s="366"/>
      <c r="W189" s="366"/>
      <c r="X189" s="366"/>
      <c r="Y189" s="366"/>
      <c r="Z189" s="366"/>
      <c r="AA189" s="365">
        <f t="shared" si="142"/>
        <v>0</v>
      </c>
      <c r="AB189" s="365"/>
      <c r="AC189" s="365"/>
      <c r="AD189" s="365"/>
      <c r="AE189" s="365"/>
      <c r="AF189" s="365"/>
      <c r="AG189" s="365"/>
      <c r="AH189" s="365">
        <v>0</v>
      </c>
      <c r="AI189" s="365"/>
      <c r="AJ189" s="365"/>
      <c r="AK189" s="365"/>
      <c r="AL189" s="366">
        <f t="shared" si="101"/>
        <v>0</v>
      </c>
      <c r="AM189" s="365">
        <f t="shared" si="143"/>
        <v>0</v>
      </c>
      <c r="AN189" s="365">
        <f t="shared" si="144"/>
        <v>0</v>
      </c>
      <c r="AO189" s="365">
        <f t="shared" si="145"/>
        <v>0</v>
      </c>
      <c r="AP189" s="365">
        <f t="shared" si="146"/>
        <v>0</v>
      </c>
      <c r="AQ189" s="365">
        <f t="shared" si="147"/>
        <v>0</v>
      </c>
      <c r="AR189" s="365">
        <f t="shared" si="148"/>
        <v>0</v>
      </c>
      <c r="AS189" s="365">
        <f t="shared" si="108"/>
        <v>0</v>
      </c>
      <c r="AT189" s="365">
        <f t="shared" ref="AT189:AZ189" si="153">M189+AB189</f>
        <v>0</v>
      </c>
      <c r="AU189" s="365">
        <f t="shared" si="153"/>
        <v>0</v>
      </c>
      <c r="AV189" s="365">
        <f t="shared" si="153"/>
        <v>0</v>
      </c>
      <c r="AW189" s="365">
        <f t="shared" si="153"/>
        <v>0</v>
      </c>
      <c r="AX189" s="365">
        <f t="shared" si="153"/>
        <v>0</v>
      </c>
      <c r="AY189" s="365">
        <f t="shared" si="153"/>
        <v>0</v>
      </c>
      <c r="AZ189" s="365">
        <f t="shared" si="153"/>
        <v>0</v>
      </c>
      <c r="BA189" s="365">
        <f t="shared" si="150"/>
        <v>0</v>
      </c>
      <c r="BB189" s="365">
        <f t="shared" si="151"/>
        <v>0</v>
      </c>
      <c r="BC189" s="365">
        <f t="shared" si="152"/>
        <v>0</v>
      </c>
      <c r="BD189" s="363"/>
      <c r="BE189">
        <v>15.2372</v>
      </c>
    </row>
    <row r="190" ht="24" spans="1:57">
      <c r="A190" s="284" t="s">
        <v>195</v>
      </c>
      <c r="B190" s="284" t="s">
        <v>196</v>
      </c>
      <c r="C190" s="284" t="s">
        <v>424</v>
      </c>
      <c r="D190" s="284" t="s">
        <v>422</v>
      </c>
      <c r="E190" s="365">
        <f t="shared" si="139"/>
        <v>0</v>
      </c>
      <c r="F190" s="365">
        <f t="shared" si="140"/>
        <v>0</v>
      </c>
      <c r="G190" s="365"/>
      <c r="H190" s="365"/>
      <c r="I190" s="365"/>
      <c r="J190" s="365"/>
      <c r="K190" s="365"/>
      <c r="L190" s="365">
        <f t="shared" si="141"/>
        <v>0</v>
      </c>
      <c r="M190" s="365"/>
      <c r="N190" s="365"/>
      <c r="O190" s="365"/>
      <c r="P190" s="365"/>
      <c r="Q190" s="365"/>
      <c r="R190" s="365"/>
      <c r="S190" s="365"/>
      <c r="T190" s="366">
        <f t="shared" si="98"/>
        <v>0</v>
      </c>
      <c r="U190" s="366">
        <f t="shared" si="99"/>
        <v>0</v>
      </c>
      <c r="V190" s="366"/>
      <c r="W190" s="366"/>
      <c r="X190" s="366"/>
      <c r="Y190" s="366"/>
      <c r="Z190" s="366"/>
      <c r="AA190" s="365">
        <f t="shared" si="142"/>
        <v>0</v>
      </c>
      <c r="AB190" s="365"/>
      <c r="AC190" s="365"/>
      <c r="AD190" s="365"/>
      <c r="AE190" s="365"/>
      <c r="AF190" s="365"/>
      <c r="AG190" s="365"/>
      <c r="AH190" s="365">
        <v>0</v>
      </c>
      <c r="AI190" s="365"/>
      <c r="AJ190" s="365"/>
      <c r="AK190" s="365"/>
      <c r="AL190" s="366">
        <f t="shared" si="101"/>
        <v>0</v>
      </c>
      <c r="AM190" s="365">
        <f t="shared" si="143"/>
        <v>0</v>
      </c>
      <c r="AN190" s="365">
        <f t="shared" si="144"/>
        <v>0</v>
      </c>
      <c r="AO190" s="365">
        <f t="shared" si="145"/>
        <v>0</v>
      </c>
      <c r="AP190" s="365">
        <f t="shared" si="146"/>
        <v>0</v>
      </c>
      <c r="AQ190" s="365">
        <f t="shared" si="147"/>
        <v>0</v>
      </c>
      <c r="AR190" s="365">
        <f t="shared" si="148"/>
        <v>0</v>
      </c>
      <c r="AS190" s="365">
        <f t="shared" si="108"/>
        <v>0</v>
      </c>
      <c r="AT190" s="365">
        <f t="shared" ref="AT190:AZ190" si="154">M190+AB190</f>
        <v>0</v>
      </c>
      <c r="AU190" s="365">
        <f t="shared" si="154"/>
        <v>0</v>
      </c>
      <c r="AV190" s="365">
        <f t="shared" si="154"/>
        <v>0</v>
      </c>
      <c r="AW190" s="365">
        <f t="shared" si="154"/>
        <v>0</v>
      </c>
      <c r="AX190" s="365">
        <f t="shared" si="154"/>
        <v>0</v>
      </c>
      <c r="AY190" s="365">
        <f t="shared" si="154"/>
        <v>0</v>
      </c>
      <c r="AZ190" s="365">
        <f t="shared" si="154"/>
        <v>0</v>
      </c>
      <c r="BA190" s="365">
        <f t="shared" si="150"/>
        <v>0</v>
      </c>
      <c r="BB190" s="365">
        <f t="shared" si="151"/>
        <v>0</v>
      </c>
      <c r="BC190" s="365">
        <f t="shared" si="152"/>
        <v>0</v>
      </c>
      <c r="BD190" s="363"/>
      <c r="BE190">
        <v>0</v>
      </c>
    </row>
    <row r="191" ht="24" spans="1:57">
      <c r="A191" s="284" t="s">
        <v>195</v>
      </c>
      <c r="B191" s="284" t="s">
        <v>199</v>
      </c>
      <c r="C191" s="284" t="s">
        <v>425</v>
      </c>
      <c r="D191" s="284" t="s">
        <v>426</v>
      </c>
      <c r="E191" s="365">
        <f t="shared" si="139"/>
        <v>368.49</v>
      </c>
      <c r="F191" s="365">
        <f t="shared" si="140"/>
        <v>148.65</v>
      </c>
      <c r="G191" s="365">
        <v>102.84</v>
      </c>
      <c r="H191" s="365">
        <v>0.24</v>
      </c>
      <c r="I191" s="365">
        <v>45.57</v>
      </c>
      <c r="J191" s="365"/>
      <c r="K191" s="365"/>
      <c r="L191" s="365">
        <f t="shared" si="141"/>
        <v>219.84</v>
      </c>
      <c r="M191" s="365">
        <v>27.34</v>
      </c>
      <c r="N191" s="365"/>
      <c r="O191" s="365"/>
      <c r="P191" s="365"/>
      <c r="Q191" s="365"/>
      <c r="R191" s="365"/>
      <c r="S191" s="365">
        <v>192.5</v>
      </c>
      <c r="T191" s="366">
        <f t="shared" si="98"/>
        <v>-121.38</v>
      </c>
      <c r="U191" s="366">
        <f t="shared" si="99"/>
        <v>-2.79</v>
      </c>
      <c r="V191" s="366">
        <v>2.24</v>
      </c>
      <c r="W191" s="366"/>
      <c r="X191" s="366">
        <v>-5.03</v>
      </c>
      <c r="Y191" s="366"/>
      <c r="Z191" s="366"/>
      <c r="AA191" s="365">
        <f t="shared" si="142"/>
        <v>-118.59</v>
      </c>
      <c r="AB191" s="365">
        <v>-3.02</v>
      </c>
      <c r="AC191" s="365"/>
      <c r="AD191" s="365"/>
      <c r="AE191" s="365"/>
      <c r="AF191" s="365"/>
      <c r="AG191" s="365">
        <v>1.05</v>
      </c>
      <c r="AH191" s="365">
        <v>-192.5</v>
      </c>
      <c r="AI191" s="365">
        <v>65.88</v>
      </c>
      <c r="AJ191" s="365">
        <v>10</v>
      </c>
      <c r="AK191" s="365">
        <v>0</v>
      </c>
      <c r="AL191" s="366">
        <f t="shared" si="101"/>
        <v>247.11</v>
      </c>
      <c r="AM191" s="365">
        <f t="shared" si="143"/>
        <v>145.86</v>
      </c>
      <c r="AN191" s="365">
        <f t="shared" si="144"/>
        <v>105.08</v>
      </c>
      <c r="AO191" s="365">
        <f t="shared" si="145"/>
        <v>0.24</v>
      </c>
      <c r="AP191" s="365">
        <f t="shared" si="146"/>
        <v>40.54</v>
      </c>
      <c r="AQ191" s="365">
        <f t="shared" si="147"/>
        <v>0</v>
      </c>
      <c r="AR191" s="365">
        <f t="shared" si="148"/>
        <v>0</v>
      </c>
      <c r="AS191" s="365">
        <f t="shared" si="108"/>
        <v>101.25</v>
      </c>
      <c r="AT191" s="365">
        <f t="shared" ref="AT191:AZ191" si="155">M191+AB191</f>
        <v>24.32</v>
      </c>
      <c r="AU191" s="365">
        <f t="shared" si="155"/>
        <v>0</v>
      </c>
      <c r="AV191" s="365">
        <f t="shared" si="155"/>
        <v>0</v>
      </c>
      <c r="AW191" s="365">
        <f t="shared" si="155"/>
        <v>0</v>
      </c>
      <c r="AX191" s="365">
        <f t="shared" si="155"/>
        <v>0</v>
      </c>
      <c r="AY191" s="365">
        <f t="shared" si="155"/>
        <v>1.05</v>
      </c>
      <c r="AZ191" s="365">
        <f t="shared" si="155"/>
        <v>0</v>
      </c>
      <c r="BA191" s="365">
        <f t="shared" si="150"/>
        <v>65.88</v>
      </c>
      <c r="BB191" s="365">
        <f t="shared" si="151"/>
        <v>10</v>
      </c>
      <c r="BC191" s="365">
        <f t="shared" si="152"/>
        <v>0</v>
      </c>
      <c r="BD191" s="363"/>
      <c r="BE191">
        <v>0</v>
      </c>
    </row>
    <row r="192" ht="24" customHeight="1" spans="1:56">
      <c r="A192" s="284" t="s">
        <v>195</v>
      </c>
      <c r="B192" s="284" t="s">
        <v>199</v>
      </c>
      <c r="C192" s="284" t="s">
        <v>786</v>
      </c>
      <c r="D192" s="284" t="s">
        <v>426</v>
      </c>
      <c r="E192" s="365">
        <f t="shared" si="139"/>
        <v>0</v>
      </c>
      <c r="F192" s="365">
        <f t="shared" si="140"/>
        <v>0</v>
      </c>
      <c r="G192" s="365"/>
      <c r="H192" s="365"/>
      <c r="I192" s="365"/>
      <c r="J192" s="365"/>
      <c r="K192" s="365"/>
      <c r="L192" s="365">
        <f t="shared" si="141"/>
        <v>0</v>
      </c>
      <c r="M192" s="365"/>
      <c r="N192" s="365"/>
      <c r="O192" s="365"/>
      <c r="P192" s="365"/>
      <c r="Q192" s="365"/>
      <c r="R192" s="365"/>
      <c r="S192" s="365"/>
      <c r="T192" s="366">
        <f t="shared" si="98"/>
        <v>29.93</v>
      </c>
      <c r="U192" s="366">
        <f t="shared" si="99"/>
        <v>16.56</v>
      </c>
      <c r="V192" s="366">
        <v>11.61</v>
      </c>
      <c r="W192" s="366"/>
      <c r="X192" s="366">
        <v>4.95</v>
      </c>
      <c r="Y192" s="366"/>
      <c r="Z192" s="366"/>
      <c r="AA192" s="365">
        <f t="shared" si="142"/>
        <v>13.37</v>
      </c>
      <c r="AB192" s="365">
        <v>2.97</v>
      </c>
      <c r="AC192" s="365"/>
      <c r="AD192" s="365"/>
      <c r="AE192" s="365"/>
      <c r="AF192" s="365"/>
      <c r="AG192" s="365"/>
      <c r="AH192" s="365"/>
      <c r="AI192" s="365">
        <v>8.4</v>
      </c>
      <c r="AJ192" s="365">
        <v>2</v>
      </c>
      <c r="AK192" s="365">
        <v>0</v>
      </c>
      <c r="AL192" s="366">
        <f t="shared" si="101"/>
        <v>29.93</v>
      </c>
      <c r="AM192" s="365">
        <f t="shared" si="143"/>
        <v>16.56</v>
      </c>
      <c r="AN192" s="365">
        <f t="shared" si="144"/>
        <v>11.61</v>
      </c>
      <c r="AO192" s="365">
        <f t="shared" si="145"/>
        <v>0</v>
      </c>
      <c r="AP192" s="365">
        <f t="shared" si="146"/>
        <v>4.95</v>
      </c>
      <c r="AQ192" s="365">
        <f t="shared" si="147"/>
        <v>0</v>
      </c>
      <c r="AR192" s="365">
        <f t="shared" si="148"/>
        <v>0</v>
      </c>
      <c r="AS192" s="365">
        <f t="shared" si="108"/>
        <v>13.37</v>
      </c>
      <c r="AT192" s="365">
        <f t="shared" ref="AT192:AZ192" si="156">M192+AB192</f>
        <v>2.97</v>
      </c>
      <c r="AU192" s="365">
        <f t="shared" si="156"/>
        <v>0</v>
      </c>
      <c r="AV192" s="365">
        <f t="shared" si="156"/>
        <v>0</v>
      </c>
      <c r="AW192" s="365">
        <f t="shared" si="156"/>
        <v>0</v>
      </c>
      <c r="AX192" s="365">
        <f t="shared" si="156"/>
        <v>0</v>
      </c>
      <c r="AY192" s="365">
        <f t="shared" si="156"/>
        <v>0</v>
      </c>
      <c r="AZ192" s="365">
        <f t="shared" si="156"/>
        <v>0</v>
      </c>
      <c r="BA192" s="365">
        <f t="shared" si="150"/>
        <v>8.4</v>
      </c>
      <c r="BB192" s="365">
        <f t="shared" si="151"/>
        <v>2</v>
      </c>
      <c r="BC192" s="365">
        <f t="shared" si="152"/>
        <v>0</v>
      </c>
      <c r="BD192" s="363"/>
    </row>
    <row r="193" ht="24" spans="1:57">
      <c r="A193" s="284" t="s">
        <v>195</v>
      </c>
      <c r="B193" s="284" t="s">
        <v>196</v>
      </c>
      <c r="C193" s="284" t="s">
        <v>427</v>
      </c>
      <c r="D193" s="284" t="s">
        <v>428</v>
      </c>
      <c r="E193" s="365">
        <f t="shared" si="139"/>
        <v>0</v>
      </c>
      <c r="F193" s="365">
        <f t="shared" si="140"/>
        <v>0</v>
      </c>
      <c r="G193" s="365"/>
      <c r="H193" s="365"/>
      <c r="I193" s="365"/>
      <c r="J193" s="365"/>
      <c r="K193" s="365"/>
      <c r="L193" s="365">
        <f t="shared" si="141"/>
        <v>0</v>
      </c>
      <c r="M193" s="365"/>
      <c r="N193" s="365"/>
      <c r="O193" s="365"/>
      <c r="P193" s="365"/>
      <c r="Q193" s="365"/>
      <c r="R193" s="365"/>
      <c r="S193" s="365"/>
      <c r="T193" s="366">
        <f t="shared" si="98"/>
        <v>0</v>
      </c>
      <c r="U193" s="366">
        <f t="shared" si="99"/>
        <v>0</v>
      </c>
      <c r="V193" s="366"/>
      <c r="W193" s="366"/>
      <c r="X193" s="366"/>
      <c r="Y193" s="366"/>
      <c r="Z193" s="366"/>
      <c r="AA193" s="365">
        <f t="shared" si="142"/>
        <v>0</v>
      </c>
      <c r="AB193" s="365"/>
      <c r="AC193" s="365"/>
      <c r="AD193" s="365"/>
      <c r="AE193" s="365"/>
      <c r="AF193" s="365"/>
      <c r="AG193" s="365"/>
      <c r="AH193" s="365">
        <v>0</v>
      </c>
      <c r="AI193" s="365"/>
      <c r="AJ193" s="365"/>
      <c r="AK193" s="365"/>
      <c r="AL193" s="366">
        <f t="shared" si="101"/>
        <v>0</v>
      </c>
      <c r="AM193" s="365">
        <f t="shared" si="143"/>
        <v>0</v>
      </c>
      <c r="AN193" s="365">
        <f t="shared" si="144"/>
        <v>0</v>
      </c>
      <c r="AO193" s="365">
        <f t="shared" si="145"/>
        <v>0</v>
      </c>
      <c r="AP193" s="365">
        <f t="shared" si="146"/>
        <v>0</v>
      </c>
      <c r="AQ193" s="365">
        <f t="shared" si="147"/>
        <v>0</v>
      </c>
      <c r="AR193" s="365">
        <f t="shared" si="148"/>
        <v>0</v>
      </c>
      <c r="AS193" s="365">
        <f t="shared" si="108"/>
        <v>0</v>
      </c>
      <c r="AT193" s="365">
        <f t="shared" ref="AT193:AZ193" si="157">M193+AB193</f>
        <v>0</v>
      </c>
      <c r="AU193" s="365">
        <f t="shared" si="157"/>
        <v>0</v>
      </c>
      <c r="AV193" s="365">
        <f t="shared" si="157"/>
        <v>0</v>
      </c>
      <c r="AW193" s="365">
        <f t="shared" si="157"/>
        <v>0</v>
      </c>
      <c r="AX193" s="365">
        <f t="shared" si="157"/>
        <v>0</v>
      </c>
      <c r="AY193" s="365">
        <f t="shared" si="157"/>
        <v>0</v>
      </c>
      <c r="AZ193" s="365">
        <f t="shared" si="157"/>
        <v>0</v>
      </c>
      <c r="BA193" s="365">
        <f t="shared" si="150"/>
        <v>0</v>
      </c>
      <c r="BB193" s="365">
        <f t="shared" si="151"/>
        <v>0</v>
      </c>
      <c r="BC193" s="365">
        <f t="shared" si="152"/>
        <v>0</v>
      </c>
      <c r="BD193" s="363"/>
      <c r="BE193">
        <v>35.1896</v>
      </c>
    </row>
    <row r="194" ht="24" spans="1:56">
      <c r="A194" s="284" t="s">
        <v>195</v>
      </c>
      <c r="B194" s="284" t="s">
        <v>366</v>
      </c>
      <c r="C194" s="284" t="s">
        <v>429</v>
      </c>
      <c r="D194" s="284" t="s">
        <v>430</v>
      </c>
      <c r="E194" s="365">
        <f t="shared" si="139"/>
        <v>0</v>
      </c>
      <c r="F194" s="365">
        <f t="shared" si="140"/>
        <v>0</v>
      </c>
      <c r="G194" s="365"/>
      <c r="H194" s="365"/>
      <c r="I194" s="365"/>
      <c r="J194" s="365"/>
      <c r="K194" s="365"/>
      <c r="L194" s="365">
        <f t="shared" si="141"/>
        <v>0</v>
      </c>
      <c r="M194" s="365"/>
      <c r="N194" s="365"/>
      <c r="O194" s="365"/>
      <c r="P194" s="365"/>
      <c r="Q194" s="365"/>
      <c r="R194" s="365"/>
      <c r="S194" s="365"/>
      <c r="T194" s="366">
        <f t="shared" si="98"/>
        <v>2.61</v>
      </c>
      <c r="U194" s="366">
        <f t="shared" si="99"/>
        <v>1.91</v>
      </c>
      <c r="V194" s="366">
        <v>1.51</v>
      </c>
      <c r="W194" s="366">
        <v>0.4</v>
      </c>
      <c r="X194" s="366"/>
      <c r="Y194" s="366"/>
      <c r="Z194" s="366"/>
      <c r="AA194" s="365">
        <f t="shared" si="142"/>
        <v>0.7</v>
      </c>
      <c r="AB194" s="365">
        <v>0.7</v>
      </c>
      <c r="AC194" s="365"/>
      <c r="AD194" s="365"/>
      <c r="AE194" s="365"/>
      <c r="AF194" s="365"/>
      <c r="AG194" s="365"/>
      <c r="AH194" s="365">
        <v>0</v>
      </c>
      <c r="AI194" s="365"/>
      <c r="AJ194" s="365"/>
      <c r="AK194" s="365">
        <v>0</v>
      </c>
      <c r="AL194" s="366">
        <f t="shared" si="101"/>
        <v>2.61</v>
      </c>
      <c r="AM194" s="365">
        <f t="shared" si="143"/>
        <v>1.91</v>
      </c>
      <c r="AN194" s="365">
        <f t="shared" si="144"/>
        <v>1.51</v>
      </c>
      <c r="AO194" s="365">
        <f t="shared" si="145"/>
        <v>0.4</v>
      </c>
      <c r="AP194" s="365">
        <f t="shared" si="146"/>
        <v>0</v>
      </c>
      <c r="AQ194" s="365">
        <f t="shared" si="147"/>
        <v>0</v>
      </c>
      <c r="AR194" s="365">
        <f t="shared" si="148"/>
        <v>0</v>
      </c>
      <c r="AS194" s="365">
        <f t="shared" si="108"/>
        <v>0.7</v>
      </c>
      <c r="AT194" s="365">
        <f t="shared" ref="AT194:AZ194" si="158">M194+AB194</f>
        <v>0.7</v>
      </c>
      <c r="AU194" s="365">
        <f t="shared" si="158"/>
        <v>0</v>
      </c>
      <c r="AV194" s="365">
        <f t="shared" si="158"/>
        <v>0</v>
      </c>
      <c r="AW194" s="365">
        <f t="shared" si="158"/>
        <v>0</v>
      </c>
      <c r="AX194" s="365">
        <f t="shared" si="158"/>
        <v>0</v>
      </c>
      <c r="AY194" s="365">
        <f t="shared" si="158"/>
        <v>0</v>
      </c>
      <c r="AZ194" s="365">
        <f t="shared" si="158"/>
        <v>0</v>
      </c>
      <c r="BA194" s="365">
        <f t="shared" si="150"/>
        <v>0</v>
      </c>
      <c r="BB194" s="365">
        <f t="shared" si="151"/>
        <v>0</v>
      </c>
      <c r="BC194" s="365">
        <f t="shared" si="152"/>
        <v>0</v>
      </c>
      <c r="BD194" s="363"/>
    </row>
    <row r="195" ht="24" spans="1:57">
      <c r="A195" s="284" t="s">
        <v>195</v>
      </c>
      <c r="B195" s="284" t="s">
        <v>199</v>
      </c>
      <c r="C195" s="284" t="s">
        <v>431</v>
      </c>
      <c r="D195" s="284" t="s">
        <v>430</v>
      </c>
      <c r="E195" s="365">
        <f t="shared" si="139"/>
        <v>46.11</v>
      </c>
      <c r="F195" s="365">
        <f t="shared" si="140"/>
        <v>20.63</v>
      </c>
      <c r="G195" s="365">
        <v>14.83</v>
      </c>
      <c r="H195" s="365"/>
      <c r="I195" s="365">
        <v>5.8</v>
      </c>
      <c r="J195" s="365"/>
      <c r="K195" s="365"/>
      <c r="L195" s="365">
        <f t="shared" si="141"/>
        <v>25.48</v>
      </c>
      <c r="M195" s="365">
        <v>3.48</v>
      </c>
      <c r="N195" s="365"/>
      <c r="O195" s="365"/>
      <c r="P195" s="365"/>
      <c r="Q195" s="365"/>
      <c r="R195" s="365"/>
      <c r="S195" s="366">
        <v>22</v>
      </c>
      <c r="T195" s="366">
        <f t="shared" si="98"/>
        <v>-6.43</v>
      </c>
      <c r="U195" s="366">
        <f t="shared" si="99"/>
        <v>4.61</v>
      </c>
      <c r="V195" s="366">
        <v>3.46</v>
      </c>
      <c r="W195" s="366">
        <v>1.15</v>
      </c>
      <c r="X195" s="366"/>
      <c r="Y195" s="366"/>
      <c r="Z195" s="366"/>
      <c r="AA195" s="365">
        <f t="shared" si="142"/>
        <v>-11.04</v>
      </c>
      <c r="AB195" s="366"/>
      <c r="AC195" s="366"/>
      <c r="AD195" s="366"/>
      <c r="AE195" s="366"/>
      <c r="AF195" s="366"/>
      <c r="AG195" s="366"/>
      <c r="AH195" s="365">
        <v>-22</v>
      </c>
      <c r="AI195" s="366">
        <v>6.96</v>
      </c>
      <c r="AJ195" s="366">
        <v>2</v>
      </c>
      <c r="AK195" s="365">
        <v>2</v>
      </c>
      <c r="AL195" s="366">
        <f t="shared" si="101"/>
        <v>39.68</v>
      </c>
      <c r="AM195" s="365">
        <f t="shared" si="143"/>
        <v>25.24</v>
      </c>
      <c r="AN195" s="365">
        <f t="shared" si="144"/>
        <v>18.29</v>
      </c>
      <c r="AO195" s="365">
        <f t="shared" si="145"/>
        <v>1.15</v>
      </c>
      <c r="AP195" s="365">
        <f t="shared" si="146"/>
        <v>5.8</v>
      </c>
      <c r="AQ195" s="365">
        <f t="shared" si="147"/>
        <v>0</v>
      </c>
      <c r="AR195" s="365">
        <f t="shared" si="148"/>
        <v>0</v>
      </c>
      <c r="AS195" s="365">
        <f t="shared" si="108"/>
        <v>14.44</v>
      </c>
      <c r="AT195" s="365">
        <f t="shared" ref="AT195:AZ195" si="159">M195+AB195</f>
        <v>3.48</v>
      </c>
      <c r="AU195" s="365">
        <f t="shared" si="159"/>
        <v>0</v>
      </c>
      <c r="AV195" s="365">
        <f t="shared" si="159"/>
        <v>0</v>
      </c>
      <c r="AW195" s="365">
        <f t="shared" si="159"/>
        <v>0</v>
      </c>
      <c r="AX195" s="365">
        <f t="shared" si="159"/>
        <v>0</v>
      </c>
      <c r="AY195" s="365">
        <f t="shared" si="159"/>
        <v>0</v>
      </c>
      <c r="AZ195" s="365">
        <f t="shared" si="159"/>
        <v>0</v>
      </c>
      <c r="BA195" s="365">
        <f t="shared" si="150"/>
        <v>6.96</v>
      </c>
      <c r="BB195" s="365">
        <f t="shared" si="151"/>
        <v>2</v>
      </c>
      <c r="BC195" s="365">
        <f t="shared" si="152"/>
        <v>2</v>
      </c>
      <c r="BD195" s="363"/>
      <c r="BE195">
        <v>2</v>
      </c>
    </row>
    <row r="196" ht="24" spans="1:57">
      <c r="A196" s="284" t="s">
        <v>195</v>
      </c>
      <c r="B196" s="284" t="s">
        <v>199</v>
      </c>
      <c r="C196" s="284" t="s">
        <v>432</v>
      </c>
      <c r="D196" s="284" t="s">
        <v>430</v>
      </c>
      <c r="E196" s="365">
        <f t="shared" si="139"/>
        <v>20.55</v>
      </c>
      <c r="F196" s="365">
        <f t="shared" si="140"/>
        <v>7.97</v>
      </c>
      <c r="G196" s="365">
        <v>5.33</v>
      </c>
      <c r="H196" s="365"/>
      <c r="I196" s="365">
        <v>2.64</v>
      </c>
      <c r="J196" s="365"/>
      <c r="K196" s="365"/>
      <c r="L196" s="365">
        <f t="shared" si="141"/>
        <v>12.58</v>
      </c>
      <c r="M196" s="365">
        <v>1.58</v>
      </c>
      <c r="N196" s="365"/>
      <c r="O196" s="365"/>
      <c r="P196" s="365"/>
      <c r="Q196" s="365"/>
      <c r="R196" s="365"/>
      <c r="S196" s="366">
        <v>11</v>
      </c>
      <c r="T196" s="366">
        <f t="shared" si="98"/>
        <v>-3.5883</v>
      </c>
      <c r="U196" s="366">
        <f t="shared" si="99"/>
        <v>0</v>
      </c>
      <c r="V196" s="366"/>
      <c r="W196" s="366"/>
      <c r="X196" s="366"/>
      <c r="Y196" s="366"/>
      <c r="Z196" s="366"/>
      <c r="AA196" s="365">
        <f t="shared" si="142"/>
        <v>-3.5883</v>
      </c>
      <c r="AB196" s="366"/>
      <c r="AC196" s="366"/>
      <c r="AD196" s="366"/>
      <c r="AE196" s="366"/>
      <c r="AF196" s="366"/>
      <c r="AG196" s="366">
        <v>0.15</v>
      </c>
      <c r="AH196" s="365">
        <v>-11</v>
      </c>
      <c r="AI196" s="366">
        <v>5.22</v>
      </c>
      <c r="AJ196" s="366">
        <v>1</v>
      </c>
      <c r="AK196" s="365">
        <v>1.0417</v>
      </c>
      <c r="AL196" s="366">
        <f t="shared" si="101"/>
        <v>16.9617</v>
      </c>
      <c r="AM196" s="365">
        <f t="shared" si="143"/>
        <v>7.97</v>
      </c>
      <c r="AN196" s="365">
        <f t="shared" si="144"/>
        <v>5.33</v>
      </c>
      <c r="AO196" s="365">
        <f t="shared" si="145"/>
        <v>0</v>
      </c>
      <c r="AP196" s="365">
        <f t="shared" si="146"/>
        <v>2.64</v>
      </c>
      <c r="AQ196" s="365">
        <f t="shared" si="147"/>
        <v>0</v>
      </c>
      <c r="AR196" s="365">
        <f t="shared" si="148"/>
        <v>0</v>
      </c>
      <c r="AS196" s="365">
        <f t="shared" si="108"/>
        <v>8.9917</v>
      </c>
      <c r="AT196" s="365">
        <f t="shared" ref="AT196:AZ196" si="160">M196+AB196</f>
        <v>1.58</v>
      </c>
      <c r="AU196" s="365">
        <f t="shared" si="160"/>
        <v>0</v>
      </c>
      <c r="AV196" s="365">
        <f t="shared" si="160"/>
        <v>0</v>
      </c>
      <c r="AW196" s="365">
        <f t="shared" si="160"/>
        <v>0</v>
      </c>
      <c r="AX196" s="365">
        <f t="shared" si="160"/>
        <v>0</v>
      </c>
      <c r="AY196" s="365">
        <f t="shared" si="160"/>
        <v>0.15</v>
      </c>
      <c r="AZ196" s="365">
        <f t="shared" si="160"/>
        <v>0</v>
      </c>
      <c r="BA196" s="365">
        <f t="shared" si="150"/>
        <v>5.22</v>
      </c>
      <c r="BB196" s="365">
        <f t="shared" si="151"/>
        <v>1</v>
      </c>
      <c r="BC196" s="365">
        <f t="shared" si="152"/>
        <v>1.0417</v>
      </c>
      <c r="BD196" s="363"/>
      <c r="BE196">
        <v>1.0417</v>
      </c>
    </row>
    <row r="197" ht="36" spans="1:57">
      <c r="A197" s="284" t="s">
        <v>195</v>
      </c>
      <c r="B197" s="284" t="s">
        <v>196</v>
      </c>
      <c r="C197" s="284" t="s">
        <v>433</v>
      </c>
      <c r="D197" s="284" t="s">
        <v>434</v>
      </c>
      <c r="E197" s="365">
        <f t="shared" si="139"/>
        <v>0</v>
      </c>
      <c r="F197" s="365">
        <f t="shared" si="140"/>
        <v>0</v>
      </c>
      <c r="G197" s="365"/>
      <c r="H197" s="365"/>
      <c r="I197" s="365"/>
      <c r="J197" s="365"/>
      <c r="K197" s="365"/>
      <c r="L197" s="365">
        <f t="shared" si="141"/>
        <v>0</v>
      </c>
      <c r="M197" s="365"/>
      <c r="N197" s="365"/>
      <c r="O197" s="365"/>
      <c r="P197" s="365"/>
      <c r="Q197" s="365"/>
      <c r="R197" s="365"/>
      <c r="S197" s="365"/>
      <c r="T197" s="366">
        <f t="shared" si="98"/>
        <v>0</v>
      </c>
      <c r="U197" s="366">
        <f t="shared" si="99"/>
        <v>0</v>
      </c>
      <c r="V197" s="366"/>
      <c r="W197" s="366"/>
      <c r="X197" s="366"/>
      <c r="Y197" s="366"/>
      <c r="Z197" s="366"/>
      <c r="AA197" s="365">
        <f t="shared" si="142"/>
        <v>0</v>
      </c>
      <c r="AB197" s="365"/>
      <c r="AC197" s="365"/>
      <c r="AD197" s="365"/>
      <c r="AE197" s="365"/>
      <c r="AF197" s="365"/>
      <c r="AG197" s="365"/>
      <c r="AH197" s="365">
        <v>0</v>
      </c>
      <c r="AI197" s="365"/>
      <c r="AJ197" s="365"/>
      <c r="AK197" s="365"/>
      <c r="AL197" s="366">
        <f t="shared" si="101"/>
        <v>0</v>
      </c>
      <c r="AM197" s="365">
        <f t="shared" si="143"/>
        <v>0</v>
      </c>
      <c r="AN197" s="365">
        <f t="shared" si="144"/>
        <v>0</v>
      </c>
      <c r="AO197" s="365">
        <f t="shared" si="145"/>
        <v>0</v>
      </c>
      <c r="AP197" s="365">
        <f t="shared" si="146"/>
        <v>0</v>
      </c>
      <c r="AQ197" s="365">
        <f t="shared" si="147"/>
        <v>0</v>
      </c>
      <c r="AR197" s="365">
        <f t="shared" si="148"/>
        <v>0</v>
      </c>
      <c r="AS197" s="365">
        <f t="shared" si="108"/>
        <v>0</v>
      </c>
      <c r="AT197" s="365">
        <f t="shared" ref="AT197:AZ197" si="161">M197+AB197</f>
        <v>0</v>
      </c>
      <c r="AU197" s="365">
        <f t="shared" si="161"/>
        <v>0</v>
      </c>
      <c r="AV197" s="365">
        <f t="shared" si="161"/>
        <v>0</v>
      </c>
      <c r="AW197" s="365">
        <f t="shared" si="161"/>
        <v>0</v>
      </c>
      <c r="AX197" s="365">
        <f t="shared" si="161"/>
        <v>0</v>
      </c>
      <c r="AY197" s="365">
        <f t="shared" si="161"/>
        <v>0</v>
      </c>
      <c r="AZ197" s="365">
        <f t="shared" si="161"/>
        <v>0</v>
      </c>
      <c r="BA197" s="365">
        <f t="shared" si="150"/>
        <v>0</v>
      </c>
      <c r="BB197" s="365">
        <f t="shared" si="151"/>
        <v>0</v>
      </c>
      <c r="BC197" s="365">
        <f t="shared" si="152"/>
        <v>0</v>
      </c>
      <c r="BD197" s="363"/>
      <c r="BE197">
        <v>3.963</v>
      </c>
    </row>
    <row r="198" s="311" customFormat="1" ht="21" customHeight="1" spans="1:57">
      <c r="A198" s="328"/>
      <c r="B198" s="329" t="s">
        <v>746</v>
      </c>
      <c r="C198" s="329" t="s">
        <v>134</v>
      </c>
      <c r="D198" s="329">
        <v>205</v>
      </c>
      <c r="E198" s="364">
        <f t="shared" ref="E198:S198" si="162">SUM(E199:E258)</f>
        <v>43685.54</v>
      </c>
      <c r="F198" s="364">
        <f t="shared" si="162"/>
        <v>26074.8</v>
      </c>
      <c r="G198" s="364">
        <f t="shared" si="162"/>
        <v>19031.73</v>
      </c>
      <c r="H198" s="364">
        <f t="shared" si="162"/>
        <v>360.46</v>
      </c>
      <c r="I198" s="364">
        <f t="shared" si="162"/>
        <v>6099.32</v>
      </c>
      <c r="J198" s="364">
        <f t="shared" si="162"/>
        <v>569.88</v>
      </c>
      <c r="K198" s="364">
        <f t="shared" si="162"/>
        <v>13.41</v>
      </c>
      <c r="L198" s="364">
        <f t="shared" si="162"/>
        <v>17610.74</v>
      </c>
      <c r="M198" s="364">
        <f t="shared" si="162"/>
        <v>3617.46</v>
      </c>
      <c r="N198" s="364">
        <f t="shared" si="162"/>
        <v>680.47</v>
      </c>
      <c r="O198" s="364">
        <f t="shared" si="162"/>
        <v>0</v>
      </c>
      <c r="P198" s="364">
        <f t="shared" si="162"/>
        <v>0</v>
      </c>
      <c r="Q198" s="364">
        <f t="shared" si="162"/>
        <v>3816</v>
      </c>
      <c r="R198" s="364">
        <f t="shared" si="162"/>
        <v>237.31</v>
      </c>
      <c r="S198" s="364">
        <f t="shared" si="162"/>
        <v>9259.5</v>
      </c>
      <c r="T198" s="364">
        <f t="shared" si="98"/>
        <v>6938.6708</v>
      </c>
      <c r="U198" s="364">
        <f t="shared" ref="U198:AK198" si="163">SUM(U199:U258)</f>
        <v>2060.26</v>
      </c>
      <c r="V198" s="364">
        <f t="shared" si="163"/>
        <v>2114.99</v>
      </c>
      <c r="W198" s="364">
        <f t="shared" si="163"/>
        <v>0</v>
      </c>
      <c r="X198" s="364">
        <f t="shared" si="163"/>
        <v>1.38</v>
      </c>
      <c r="Y198" s="364">
        <f t="shared" si="163"/>
        <v>-42.7</v>
      </c>
      <c r="Z198" s="364">
        <f t="shared" si="163"/>
        <v>-13.41</v>
      </c>
      <c r="AA198" s="364">
        <f t="shared" si="163"/>
        <v>4878.4108</v>
      </c>
      <c r="AB198" s="364">
        <f t="shared" si="163"/>
        <v>107.29</v>
      </c>
      <c r="AC198" s="364">
        <f t="shared" si="163"/>
        <v>-9.222</v>
      </c>
      <c r="AD198" s="364">
        <f t="shared" si="163"/>
        <v>0</v>
      </c>
      <c r="AE198" s="364">
        <f t="shared" si="163"/>
        <v>0</v>
      </c>
      <c r="AF198" s="364">
        <f t="shared" si="163"/>
        <v>657.6</v>
      </c>
      <c r="AG198" s="364">
        <f t="shared" si="163"/>
        <v>969.66</v>
      </c>
      <c r="AH198" s="364">
        <f t="shared" si="163"/>
        <v>-9259.5</v>
      </c>
      <c r="AI198" s="364">
        <f t="shared" si="163"/>
        <v>5158.92</v>
      </c>
      <c r="AJ198" s="364">
        <f t="shared" si="163"/>
        <v>4878</v>
      </c>
      <c r="AK198" s="364">
        <f t="shared" si="163"/>
        <v>2375.6628</v>
      </c>
      <c r="AL198" s="364">
        <f t="shared" si="101"/>
        <v>50624.2108</v>
      </c>
      <c r="AM198" s="364">
        <f t="shared" ref="AM198:BC198" si="164">SUM(AM199:AM258)</f>
        <v>28135.06</v>
      </c>
      <c r="AN198" s="364">
        <f t="shared" si="164"/>
        <v>21146.72</v>
      </c>
      <c r="AO198" s="364">
        <f t="shared" si="164"/>
        <v>360.46</v>
      </c>
      <c r="AP198" s="364">
        <f t="shared" si="164"/>
        <v>6100.7</v>
      </c>
      <c r="AQ198" s="364">
        <f t="shared" si="164"/>
        <v>527.18</v>
      </c>
      <c r="AR198" s="364">
        <f t="shared" si="164"/>
        <v>0</v>
      </c>
      <c r="AS198" s="364">
        <f t="shared" si="164"/>
        <v>22489.1508</v>
      </c>
      <c r="AT198" s="364">
        <f t="shared" si="164"/>
        <v>3724.75</v>
      </c>
      <c r="AU198" s="364">
        <f t="shared" si="164"/>
        <v>671.248</v>
      </c>
      <c r="AV198" s="364">
        <f t="shared" si="164"/>
        <v>0</v>
      </c>
      <c r="AW198" s="364">
        <f t="shared" si="164"/>
        <v>0</v>
      </c>
      <c r="AX198" s="364">
        <f t="shared" si="164"/>
        <v>4473.6</v>
      </c>
      <c r="AY198" s="364">
        <f t="shared" si="164"/>
        <v>1206.97</v>
      </c>
      <c r="AZ198" s="364">
        <f t="shared" si="164"/>
        <v>0</v>
      </c>
      <c r="BA198" s="364">
        <f t="shared" si="164"/>
        <v>5158.92</v>
      </c>
      <c r="BB198" s="364">
        <f t="shared" si="164"/>
        <v>4878</v>
      </c>
      <c r="BC198" s="364">
        <f t="shared" si="164"/>
        <v>2375.6628</v>
      </c>
      <c r="BD198" s="372"/>
      <c r="BE198" s="373"/>
    </row>
    <row r="199" ht="60" spans="1:57">
      <c r="A199" s="284" t="s">
        <v>195</v>
      </c>
      <c r="B199" s="284" t="s">
        <v>196</v>
      </c>
      <c r="C199" s="284" t="s">
        <v>435</v>
      </c>
      <c r="D199" s="284" t="s">
        <v>436</v>
      </c>
      <c r="E199" s="365">
        <f t="shared" ref="E199:E258" si="165">F199+L199</f>
        <v>13246</v>
      </c>
      <c r="F199" s="365">
        <f t="shared" ref="F199:F258" si="166">SUM(G199:K199)</f>
        <v>0</v>
      </c>
      <c r="G199" s="365"/>
      <c r="H199" s="365"/>
      <c r="I199" s="365"/>
      <c r="J199" s="365"/>
      <c r="K199" s="365"/>
      <c r="L199" s="365">
        <f t="shared" ref="L199:L258" si="167">SUM(M199:S199)</f>
        <v>13246</v>
      </c>
      <c r="M199" s="365"/>
      <c r="N199" s="365"/>
      <c r="O199" s="365"/>
      <c r="P199" s="365"/>
      <c r="Q199" s="365">
        <v>3816</v>
      </c>
      <c r="R199" s="365">
        <v>230</v>
      </c>
      <c r="S199" s="365">
        <f>10000-800</f>
        <v>9200</v>
      </c>
      <c r="T199" s="366">
        <f t="shared" si="98"/>
        <v>-7826.36</v>
      </c>
      <c r="U199" s="366">
        <f>SUM(V199:Z199)</f>
        <v>0</v>
      </c>
      <c r="V199" s="366"/>
      <c r="W199" s="366"/>
      <c r="X199" s="366"/>
      <c r="Y199" s="366"/>
      <c r="Z199" s="366"/>
      <c r="AA199" s="365">
        <f t="shared" ref="AA199:AA258" si="168">SUM(AB199:AK199)</f>
        <v>-7826.36</v>
      </c>
      <c r="AB199" s="365"/>
      <c r="AC199" s="365"/>
      <c r="AD199" s="365"/>
      <c r="AE199" s="365"/>
      <c r="AF199" s="365">
        <v>657.6</v>
      </c>
      <c r="AG199" s="365">
        <v>716.04</v>
      </c>
      <c r="AH199" s="365">
        <v>-9200</v>
      </c>
      <c r="AI199" s="365"/>
      <c r="AJ199" s="365"/>
      <c r="AK199" s="365"/>
      <c r="AL199" s="366">
        <f t="shared" ref="AL199:AL262" si="169">AM199+AS199</f>
        <v>5419.64</v>
      </c>
      <c r="AM199" s="365">
        <f t="shared" ref="AM199:AM258" si="170">SUM(AN199:AR199)</f>
        <v>0</v>
      </c>
      <c r="AN199" s="365">
        <f t="shared" ref="AN199:AN258" si="171">G199+V199</f>
        <v>0</v>
      </c>
      <c r="AO199" s="365">
        <f t="shared" ref="AO199:AO258" si="172">H199+W199</f>
        <v>0</v>
      </c>
      <c r="AP199" s="365">
        <f t="shared" ref="AP199:AP258" si="173">I199+X199</f>
        <v>0</v>
      </c>
      <c r="AQ199" s="365">
        <f t="shared" ref="AQ199:AQ258" si="174">J199+Y199</f>
        <v>0</v>
      </c>
      <c r="AR199" s="365">
        <f t="shared" ref="AR199:AR258" si="175">K199+Z199</f>
        <v>0</v>
      </c>
      <c r="AS199" s="365">
        <f>SUM(AT199:BC199)</f>
        <v>5419.64</v>
      </c>
      <c r="AT199" s="365">
        <f t="shared" ref="AT199:AT258" si="176">M199+AB199</f>
        <v>0</v>
      </c>
      <c r="AU199" s="365">
        <f t="shared" ref="AU199:AU258" si="177">N199+AC199</f>
        <v>0</v>
      </c>
      <c r="AV199" s="365">
        <f t="shared" ref="AV199:AV258" si="178">O199+AD199</f>
        <v>0</v>
      </c>
      <c r="AW199" s="365">
        <f t="shared" ref="AW199:AW258" si="179">P199+AE199</f>
        <v>0</v>
      </c>
      <c r="AX199" s="365">
        <f t="shared" ref="AX199:AX258" si="180">Q199+AF199</f>
        <v>4473.6</v>
      </c>
      <c r="AY199" s="365">
        <f t="shared" ref="AY199:AY258" si="181">R199+AG199</f>
        <v>946.04</v>
      </c>
      <c r="AZ199" s="365">
        <f t="shared" ref="AZ199:AZ258" si="182">S199+AH199</f>
        <v>0</v>
      </c>
      <c r="BA199" s="365">
        <f t="shared" ref="BA199:BA258" si="183">AI199</f>
        <v>0</v>
      </c>
      <c r="BB199" s="365">
        <f t="shared" ref="BB199:BB258" si="184">AJ199</f>
        <v>0</v>
      </c>
      <c r="BC199" s="365">
        <f t="shared" ref="BC199:BC258" si="185">AK199</f>
        <v>0</v>
      </c>
      <c r="BD199" s="363" t="s">
        <v>817</v>
      </c>
      <c r="BE199">
        <v>11.3145</v>
      </c>
    </row>
    <row r="200" ht="24" spans="1:57">
      <c r="A200" s="284" t="s">
        <v>195</v>
      </c>
      <c r="B200" s="284" t="s">
        <v>438</v>
      </c>
      <c r="C200" s="284" t="s">
        <v>439</v>
      </c>
      <c r="D200" s="284" t="s">
        <v>440</v>
      </c>
      <c r="E200" s="365">
        <f t="shared" si="165"/>
        <v>2166.45</v>
      </c>
      <c r="F200" s="365">
        <f t="shared" si="166"/>
        <v>1894.58</v>
      </c>
      <c r="G200" s="365">
        <v>1439.98</v>
      </c>
      <c r="H200" s="365">
        <v>2.87</v>
      </c>
      <c r="I200" s="365">
        <v>451.73</v>
      </c>
      <c r="J200" s="365"/>
      <c r="K200" s="365"/>
      <c r="L200" s="365">
        <f t="shared" si="167"/>
        <v>271.87</v>
      </c>
      <c r="M200" s="365">
        <v>271.04</v>
      </c>
      <c r="N200" s="365">
        <v>0.83</v>
      </c>
      <c r="O200" s="365"/>
      <c r="P200" s="365"/>
      <c r="Q200" s="365"/>
      <c r="R200" s="365"/>
      <c r="S200" s="365"/>
      <c r="T200" s="366">
        <f t="shared" ref="T200:T263" si="186">U200+AA200</f>
        <v>823.4863</v>
      </c>
      <c r="U200" s="366">
        <f>SUM(V200:Z200)</f>
        <v>117.91</v>
      </c>
      <c r="V200" s="366">
        <v>117.91</v>
      </c>
      <c r="W200" s="366"/>
      <c r="X200" s="366"/>
      <c r="Y200" s="366"/>
      <c r="Z200" s="366"/>
      <c r="AA200" s="365">
        <f t="shared" si="168"/>
        <v>705.5763</v>
      </c>
      <c r="AB200" s="365">
        <v>-7.08</v>
      </c>
      <c r="AC200" s="365">
        <v>0.828</v>
      </c>
      <c r="AD200" s="365"/>
      <c r="AE200" s="365"/>
      <c r="AF200" s="365"/>
      <c r="AG200" s="365">
        <v>7.8</v>
      </c>
      <c r="AH200" s="365"/>
      <c r="AI200" s="365">
        <v>410.47</v>
      </c>
      <c r="AJ200" s="365">
        <v>151</v>
      </c>
      <c r="AK200" s="365">
        <v>142.5583</v>
      </c>
      <c r="AL200" s="366">
        <f t="shared" si="169"/>
        <v>2989.9363</v>
      </c>
      <c r="AM200" s="365">
        <f t="shared" si="170"/>
        <v>2012.49</v>
      </c>
      <c r="AN200" s="365">
        <f t="shared" si="171"/>
        <v>1557.89</v>
      </c>
      <c r="AO200" s="365">
        <f t="shared" si="172"/>
        <v>2.87</v>
      </c>
      <c r="AP200" s="365">
        <f t="shared" si="173"/>
        <v>451.73</v>
      </c>
      <c r="AQ200" s="365">
        <f t="shared" si="174"/>
        <v>0</v>
      </c>
      <c r="AR200" s="365">
        <f t="shared" si="175"/>
        <v>0</v>
      </c>
      <c r="AS200" s="365">
        <f>SUM(AT200:BC200)</f>
        <v>977.4463</v>
      </c>
      <c r="AT200" s="365">
        <f t="shared" si="176"/>
        <v>263.96</v>
      </c>
      <c r="AU200" s="365">
        <f t="shared" si="177"/>
        <v>1.658</v>
      </c>
      <c r="AV200" s="365">
        <f t="shared" si="178"/>
        <v>0</v>
      </c>
      <c r="AW200" s="365">
        <f t="shared" si="179"/>
        <v>0</v>
      </c>
      <c r="AX200" s="365">
        <f t="shared" si="180"/>
        <v>0</v>
      </c>
      <c r="AY200" s="365">
        <f t="shared" si="181"/>
        <v>7.8</v>
      </c>
      <c r="AZ200" s="365">
        <f t="shared" si="182"/>
        <v>0</v>
      </c>
      <c r="BA200" s="365">
        <f t="shared" si="183"/>
        <v>410.47</v>
      </c>
      <c r="BB200" s="365">
        <f t="shared" si="184"/>
        <v>151</v>
      </c>
      <c r="BC200" s="365">
        <f t="shared" si="185"/>
        <v>142.5583</v>
      </c>
      <c r="BD200" s="363" t="s">
        <v>818</v>
      </c>
      <c r="BE200">
        <v>142.5583</v>
      </c>
    </row>
    <row r="201" ht="24" spans="1:57">
      <c r="A201" s="284" t="s">
        <v>195</v>
      </c>
      <c r="B201" s="284" t="s">
        <v>438</v>
      </c>
      <c r="C201" s="284" t="s">
        <v>441</v>
      </c>
      <c r="D201" s="284" t="s">
        <v>440</v>
      </c>
      <c r="E201" s="365">
        <f t="shared" si="165"/>
        <v>1550.98</v>
      </c>
      <c r="F201" s="365">
        <f t="shared" si="166"/>
        <v>1355.97</v>
      </c>
      <c r="G201" s="365">
        <v>1029.02</v>
      </c>
      <c r="H201" s="365">
        <v>1.94</v>
      </c>
      <c r="I201" s="365">
        <v>325.01</v>
      </c>
      <c r="J201" s="365"/>
      <c r="K201" s="365"/>
      <c r="L201" s="365">
        <f t="shared" si="167"/>
        <v>195.01</v>
      </c>
      <c r="M201" s="365">
        <v>195.01</v>
      </c>
      <c r="N201" s="365"/>
      <c r="O201" s="365"/>
      <c r="P201" s="365"/>
      <c r="Q201" s="365"/>
      <c r="R201" s="365"/>
      <c r="S201" s="365"/>
      <c r="T201" s="366">
        <f t="shared" si="186"/>
        <v>608.64</v>
      </c>
      <c r="U201" s="366">
        <f>SUM(V201:Z201)</f>
        <v>110.7</v>
      </c>
      <c r="V201" s="366">
        <v>110.7</v>
      </c>
      <c r="W201" s="366"/>
      <c r="X201" s="366"/>
      <c r="Y201" s="366"/>
      <c r="Z201" s="366"/>
      <c r="AA201" s="365">
        <f t="shared" si="168"/>
        <v>497.94</v>
      </c>
      <c r="AB201" s="365">
        <v>-2.26</v>
      </c>
      <c r="AC201" s="365">
        <v>0.46</v>
      </c>
      <c r="AD201" s="365"/>
      <c r="AE201" s="365"/>
      <c r="AF201" s="365"/>
      <c r="AG201" s="365">
        <v>4.05</v>
      </c>
      <c r="AH201" s="365"/>
      <c r="AI201" s="365">
        <v>252.88</v>
      </c>
      <c r="AJ201" s="365">
        <v>143</v>
      </c>
      <c r="AK201" s="365">
        <v>99.81</v>
      </c>
      <c r="AL201" s="366">
        <f t="shared" si="169"/>
        <v>2159.62</v>
      </c>
      <c r="AM201" s="365">
        <f t="shared" si="170"/>
        <v>1466.67</v>
      </c>
      <c r="AN201" s="365">
        <f t="shared" si="171"/>
        <v>1139.72</v>
      </c>
      <c r="AO201" s="365">
        <f t="shared" si="172"/>
        <v>1.94</v>
      </c>
      <c r="AP201" s="365">
        <f t="shared" si="173"/>
        <v>325.01</v>
      </c>
      <c r="AQ201" s="365">
        <f t="shared" si="174"/>
        <v>0</v>
      </c>
      <c r="AR201" s="365">
        <f t="shared" si="175"/>
        <v>0</v>
      </c>
      <c r="AS201" s="365">
        <f>SUM(AT201:BC201)</f>
        <v>692.95</v>
      </c>
      <c r="AT201" s="365">
        <f t="shared" si="176"/>
        <v>192.75</v>
      </c>
      <c r="AU201" s="365">
        <f t="shared" si="177"/>
        <v>0.46</v>
      </c>
      <c r="AV201" s="365">
        <f t="shared" si="178"/>
        <v>0</v>
      </c>
      <c r="AW201" s="365">
        <f t="shared" si="179"/>
        <v>0</v>
      </c>
      <c r="AX201" s="365">
        <f t="shared" si="180"/>
        <v>0</v>
      </c>
      <c r="AY201" s="365">
        <f t="shared" si="181"/>
        <v>4.05</v>
      </c>
      <c r="AZ201" s="365">
        <f t="shared" si="182"/>
        <v>0</v>
      </c>
      <c r="BA201" s="365">
        <f t="shared" si="183"/>
        <v>252.88</v>
      </c>
      <c r="BB201" s="365">
        <f t="shared" si="184"/>
        <v>143</v>
      </c>
      <c r="BC201" s="365">
        <f t="shared" si="185"/>
        <v>99.81</v>
      </c>
      <c r="BD201" s="363" t="s">
        <v>819</v>
      </c>
      <c r="BE201">
        <v>99.81</v>
      </c>
    </row>
    <row r="202" ht="24" spans="1:57">
      <c r="A202" s="284" t="s">
        <v>195</v>
      </c>
      <c r="B202" s="284" t="s">
        <v>442</v>
      </c>
      <c r="C202" s="284" t="s">
        <v>443</v>
      </c>
      <c r="D202" s="284" t="s">
        <v>444</v>
      </c>
      <c r="E202" s="365">
        <f t="shared" si="165"/>
        <v>1361.1</v>
      </c>
      <c r="F202" s="365">
        <f t="shared" si="166"/>
        <v>1184.93</v>
      </c>
      <c r="G202" s="365">
        <v>889.01</v>
      </c>
      <c r="H202" s="365">
        <v>2.31</v>
      </c>
      <c r="I202" s="365">
        <v>293.61</v>
      </c>
      <c r="J202" s="365"/>
      <c r="K202" s="365"/>
      <c r="L202" s="365">
        <f t="shared" si="167"/>
        <v>176.17</v>
      </c>
      <c r="M202" s="365">
        <v>176.17</v>
      </c>
      <c r="N202" s="365"/>
      <c r="O202" s="365"/>
      <c r="P202" s="365"/>
      <c r="Q202" s="365"/>
      <c r="R202" s="365"/>
      <c r="S202" s="365"/>
      <c r="T202" s="366">
        <f t="shared" si="186"/>
        <v>760.3633</v>
      </c>
      <c r="U202" s="366">
        <f>SUM(V202:Z202)</f>
        <v>137.45</v>
      </c>
      <c r="V202" s="366">
        <v>137.45</v>
      </c>
      <c r="W202" s="366"/>
      <c r="X202" s="366"/>
      <c r="Y202" s="366"/>
      <c r="Z202" s="366"/>
      <c r="AA202" s="365">
        <f t="shared" si="168"/>
        <v>622.9133</v>
      </c>
      <c r="AB202" s="365">
        <v>4.56</v>
      </c>
      <c r="AC202" s="365">
        <v>1.35</v>
      </c>
      <c r="AD202" s="365"/>
      <c r="AE202" s="365"/>
      <c r="AF202" s="365"/>
      <c r="AG202" s="365">
        <v>5.55</v>
      </c>
      <c r="AH202" s="365"/>
      <c r="AI202" s="365">
        <v>240.11</v>
      </c>
      <c r="AJ202" s="365">
        <v>268</v>
      </c>
      <c r="AK202" s="365">
        <v>103.3433</v>
      </c>
      <c r="AL202" s="366">
        <f t="shared" si="169"/>
        <v>2121.4633</v>
      </c>
      <c r="AM202" s="365">
        <f t="shared" si="170"/>
        <v>1322.38</v>
      </c>
      <c r="AN202" s="365">
        <f t="shared" si="171"/>
        <v>1026.46</v>
      </c>
      <c r="AO202" s="365">
        <f t="shared" si="172"/>
        <v>2.31</v>
      </c>
      <c r="AP202" s="365">
        <f t="shared" si="173"/>
        <v>293.61</v>
      </c>
      <c r="AQ202" s="365">
        <f t="shared" si="174"/>
        <v>0</v>
      </c>
      <c r="AR202" s="365">
        <f t="shared" si="175"/>
        <v>0</v>
      </c>
      <c r="AS202" s="365">
        <f>SUM(AT202:BC202)</f>
        <v>799.0833</v>
      </c>
      <c r="AT202" s="365">
        <f t="shared" si="176"/>
        <v>180.73</v>
      </c>
      <c r="AU202" s="365">
        <f t="shared" si="177"/>
        <v>1.35</v>
      </c>
      <c r="AV202" s="365">
        <f t="shared" si="178"/>
        <v>0</v>
      </c>
      <c r="AW202" s="365">
        <f t="shared" si="179"/>
        <v>0</v>
      </c>
      <c r="AX202" s="365">
        <f t="shared" si="180"/>
        <v>0</v>
      </c>
      <c r="AY202" s="365">
        <f t="shared" si="181"/>
        <v>5.55</v>
      </c>
      <c r="AZ202" s="365">
        <f t="shared" si="182"/>
        <v>0</v>
      </c>
      <c r="BA202" s="365">
        <f t="shared" si="183"/>
        <v>240.11</v>
      </c>
      <c r="BB202" s="365">
        <f t="shared" si="184"/>
        <v>268</v>
      </c>
      <c r="BC202" s="365">
        <f t="shared" si="185"/>
        <v>103.3433</v>
      </c>
      <c r="BD202" s="375" t="s">
        <v>820</v>
      </c>
      <c r="BE202">
        <v>103.3433</v>
      </c>
    </row>
    <row r="203" ht="24" spans="1:57">
      <c r="A203" s="284" t="s">
        <v>195</v>
      </c>
      <c r="B203" s="284" t="s">
        <v>442</v>
      </c>
      <c r="C203" s="284" t="s">
        <v>445</v>
      </c>
      <c r="D203" s="284" t="s">
        <v>444</v>
      </c>
      <c r="E203" s="365">
        <f t="shared" si="165"/>
        <v>804.58</v>
      </c>
      <c r="F203" s="365">
        <f t="shared" si="166"/>
        <v>702.76</v>
      </c>
      <c r="G203" s="365">
        <v>531.87</v>
      </c>
      <c r="H203" s="365">
        <v>1.18</v>
      </c>
      <c r="I203" s="365">
        <v>169.71</v>
      </c>
      <c r="J203" s="365"/>
      <c r="K203" s="365"/>
      <c r="L203" s="365">
        <f t="shared" si="167"/>
        <v>101.82</v>
      </c>
      <c r="M203" s="365">
        <v>101.82</v>
      </c>
      <c r="N203" s="365"/>
      <c r="O203" s="365"/>
      <c r="P203" s="365"/>
      <c r="Q203" s="365"/>
      <c r="R203" s="365"/>
      <c r="S203" s="365"/>
      <c r="T203" s="366">
        <f t="shared" si="186"/>
        <v>386.6266</v>
      </c>
      <c r="U203" s="366">
        <f t="shared" ref="U203:U266" si="187">SUM(V203:Z203)</f>
        <v>39.8</v>
      </c>
      <c r="V203" s="366">
        <v>39.8</v>
      </c>
      <c r="W203" s="366"/>
      <c r="X203" s="366"/>
      <c r="Y203" s="366"/>
      <c r="Z203" s="366"/>
      <c r="AA203" s="365">
        <f t="shared" si="168"/>
        <v>346.8266</v>
      </c>
      <c r="AB203" s="365">
        <v>-3.15</v>
      </c>
      <c r="AC203" s="365"/>
      <c r="AD203" s="365"/>
      <c r="AE203" s="365"/>
      <c r="AF203" s="365"/>
      <c r="AG203" s="365">
        <v>3.3</v>
      </c>
      <c r="AH203" s="365"/>
      <c r="AI203" s="365">
        <v>129.4</v>
      </c>
      <c r="AJ203" s="365">
        <v>162</v>
      </c>
      <c r="AK203" s="365">
        <v>55.2766</v>
      </c>
      <c r="AL203" s="366">
        <f t="shared" si="169"/>
        <v>1191.2066</v>
      </c>
      <c r="AM203" s="365">
        <f t="shared" si="170"/>
        <v>742.56</v>
      </c>
      <c r="AN203" s="365">
        <f t="shared" si="171"/>
        <v>571.67</v>
      </c>
      <c r="AO203" s="365">
        <f t="shared" si="172"/>
        <v>1.18</v>
      </c>
      <c r="AP203" s="365">
        <f t="shared" si="173"/>
        <v>169.71</v>
      </c>
      <c r="AQ203" s="365">
        <f t="shared" si="174"/>
        <v>0</v>
      </c>
      <c r="AR203" s="365">
        <f t="shared" si="175"/>
        <v>0</v>
      </c>
      <c r="AS203" s="365">
        <f t="shared" ref="AS203:AS266" si="188">SUM(AT203:BC203)</f>
        <v>448.6466</v>
      </c>
      <c r="AT203" s="365">
        <f t="shared" si="176"/>
        <v>98.67</v>
      </c>
      <c r="AU203" s="365">
        <f t="shared" si="177"/>
        <v>0</v>
      </c>
      <c r="AV203" s="365">
        <f t="shared" si="178"/>
        <v>0</v>
      </c>
      <c r="AW203" s="365">
        <f t="shared" si="179"/>
        <v>0</v>
      </c>
      <c r="AX203" s="365">
        <f t="shared" si="180"/>
        <v>0</v>
      </c>
      <c r="AY203" s="365">
        <f t="shared" si="181"/>
        <v>3.3</v>
      </c>
      <c r="AZ203" s="365">
        <f t="shared" si="182"/>
        <v>0</v>
      </c>
      <c r="BA203" s="365">
        <f t="shared" si="183"/>
        <v>129.4</v>
      </c>
      <c r="BB203" s="365">
        <f t="shared" si="184"/>
        <v>162</v>
      </c>
      <c r="BC203" s="365">
        <f t="shared" si="185"/>
        <v>55.2766</v>
      </c>
      <c r="BD203" s="376" t="s">
        <v>821</v>
      </c>
      <c r="BE203">
        <v>55.2766</v>
      </c>
    </row>
    <row r="204" ht="24" spans="1:57">
      <c r="A204" s="284" t="s">
        <v>195</v>
      </c>
      <c r="B204" s="284" t="s">
        <v>199</v>
      </c>
      <c r="C204" s="284" t="s">
        <v>446</v>
      </c>
      <c r="D204" s="284" t="s">
        <v>447</v>
      </c>
      <c r="E204" s="365">
        <f t="shared" si="165"/>
        <v>415.22</v>
      </c>
      <c r="F204" s="365">
        <f t="shared" si="166"/>
        <v>366.19</v>
      </c>
      <c r="G204" s="365">
        <v>283.66</v>
      </c>
      <c r="H204" s="365">
        <v>0.82</v>
      </c>
      <c r="I204" s="365">
        <v>81.71</v>
      </c>
      <c r="J204" s="365"/>
      <c r="K204" s="365"/>
      <c r="L204" s="365">
        <f t="shared" si="167"/>
        <v>49.03</v>
      </c>
      <c r="M204" s="365">
        <v>49.03</v>
      </c>
      <c r="N204" s="365"/>
      <c r="O204" s="365"/>
      <c r="P204" s="365"/>
      <c r="Q204" s="365"/>
      <c r="R204" s="365"/>
      <c r="S204" s="365"/>
      <c r="T204" s="366">
        <f t="shared" si="186"/>
        <v>183.08</v>
      </c>
      <c r="U204" s="366">
        <f t="shared" si="187"/>
        <v>49.59</v>
      </c>
      <c r="V204" s="366">
        <v>49.59</v>
      </c>
      <c r="W204" s="366"/>
      <c r="X204" s="366"/>
      <c r="Y204" s="366"/>
      <c r="Z204" s="366"/>
      <c r="AA204" s="365">
        <f t="shared" si="168"/>
        <v>133.49</v>
      </c>
      <c r="AB204" s="365">
        <v>2.77</v>
      </c>
      <c r="AC204" s="365">
        <v>0.28</v>
      </c>
      <c r="AD204" s="365"/>
      <c r="AE204" s="365"/>
      <c r="AF204" s="365"/>
      <c r="AG204" s="365">
        <v>0.9</v>
      </c>
      <c r="AH204" s="365"/>
      <c r="AI204" s="365">
        <v>66.91</v>
      </c>
      <c r="AJ204" s="365">
        <v>31</v>
      </c>
      <c r="AK204" s="365">
        <v>31.63</v>
      </c>
      <c r="AL204" s="366">
        <f t="shared" si="169"/>
        <v>598.3</v>
      </c>
      <c r="AM204" s="365">
        <f t="shared" si="170"/>
        <v>415.78</v>
      </c>
      <c r="AN204" s="365">
        <f t="shared" si="171"/>
        <v>333.25</v>
      </c>
      <c r="AO204" s="365">
        <f t="shared" si="172"/>
        <v>0.82</v>
      </c>
      <c r="AP204" s="365">
        <f t="shared" si="173"/>
        <v>81.71</v>
      </c>
      <c r="AQ204" s="365">
        <f t="shared" si="174"/>
        <v>0</v>
      </c>
      <c r="AR204" s="365">
        <f t="shared" si="175"/>
        <v>0</v>
      </c>
      <c r="AS204" s="365">
        <f t="shared" si="188"/>
        <v>182.52</v>
      </c>
      <c r="AT204" s="365">
        <f t="shared" si="176"/>
        <v>51.8</v>
      </c>
      <c r="AU204" s="365">
        <f t="shared" si="177"/>
        <v>0.28</v>
      </c>
      <c r="AV204" s="365">
        <f t="shared" si="178"/>
        <v>0</v>
      </c>
      <c r="AW204" s="365">
        <f t="shared" si="179"/>
        <v>0</v>
      </c>
      <c r="AX204" s="365">
        <f t="shared" si="180"/>
        <v>0</v>
      </c>
      <c r="AY204" s="365">
        <f t="shared" si="181"/>
        <v>0.9</v>
      </c>
      <c r="AZ204" s="365">
        <f t="shared" si="182"/>
        <v>0</v>
      </c>
      <c r="BA204" s="365">
        <f t="shared" si="183"/>
        <v>66.91</v>
      </c>
      <c r="BB204" s="365">
        <f t="shared" si="184"/>
        <v>31</v>
      </c>
      <c r="BC204" s="365">
        <f t="shared" si="185"/>
        <v>31.63</v>
      </c>
      <c r="BD204" s="376" t="s">
        <v>822</v>
      </c>
      <c r="BE204">
        <v>31.63</v>
      </c>
    </row>
    <row r="205" ht="36" spans="1:57">
      <c r="A205" s="284" t="s">
        <v>195</v>
      </c>
      <c r="B205" s="284" t="s">
        <v>438</v>
      </c>
      <c r="C205" s="284" t="s">
        <v>448</v>
      </c>
      <c r="D205" s="284" t="s">
        <v>449</v>
      </c>
      <c r="E205" s="365">
        <f t="shared" si="165"/>
        <v>224.78</v>
      </c>
      <c r="F205" s="365">
        <f t="shared" si="166"/>
        <v>199.63</v>
      </c>
      <c r="G205" s="365">
        <v>125.25</v>
      </c>
      <c r="H205" s="365">
        <v>19.06</v>
      </c>
      <c r="I205" s="365">
        <v>41.91</v>
      </c>
      <c r="J205" s="365"/>
      <c r="K205" s="365">
        <v>13.41</v>
      </c>
      <c r="L205" s="365">
        <f t="shared" si="167"/>
        <v>25.15</v>
      </c>
      <c r="M205" s="365">
        <v>25.15</v>
      </c>
      <c r="N205" s="365"/>
      <c r="O205" s="365"/>
      <c r="P205" s="365"/>
      <c r="Q205" s="365"/>
      <c r="R205" s="365"/>
      <c r="S205" s="365"/>
      <c r="T205" s="366">
        <f t="shared" si="186"/>
        <v>83.8</v>
      </c>
      <c r="U205" s="366">
        <f t="shared" si="187"/>
        <v>0.85</v>
      </c>
      <c r="V205" s="366">
        <v>14.26</v>
      </c>
      <c r="W205" s="366"/>
      <c r="X205" s="366"/>
      <c r="Y205" s="366"/>
      <c r="Z205" s="366">
        <v>-13.41</v>
      </c>
      <c r="AA205" s="365">
        <f t="shared" si="168"/>
        <v>82.95</v>
      </c>
      <c r="AB205" s="365">
        <v>-0.39</v>
      </c>
      <c r="AC205" s="365"/>
      <c r="AD205" s="365"/>
      <c r="AE205" s="365"/>
      <c r="AF205" s="365"/>
      <c r="AG205" s="365">
        <v>13.8</v>
      </c>
      <c r="AH205" s="365"/>
      <c r="AI205" s="365">
        <v>33.36</v>
      </c>
      <c r="AJ205" s="365">
        <v>22</v>
      </c>
      <c r="AK205" s="365">
        <v>14.18</v>
      </c>
      <c r="AL205" s="366">
        <f t="shared" si="169"/>
        <v>308.58</v>
      </c>
      <c r="AM205" s="365">
        <f t="shared" si="170"/>
        <v>200.48</v>
      </c>
      <c r="AN205" s="365">
        <f t="shared" si="171"/>
        <v>139.51</v>
      </c>
      <c r="AO205" s="365">
        <f t="shared" si="172"/>
        <v>19.06</v>
      </c>
      <c r="AP205" s="365">
        <f t="shared" si="173"/>
        <v>41.91</v>
      </c>
      <c r="AQ205" s="365">
        <f t="shared" si="174"/>
        <v>0</v>
      </c>
      <c r="AR205" s="365">
        <f t="shared" si="175"/>
        <v>0</v>
      </c>
      <c r="AS205" s="365">
        <f t="shared" si="188"/>
        <v>108.1</v>
      </c>
      <c r="AT205" s="365">
        <f t="shared" si="176"/>
        <v>24.76</v>
      </c>
      <c r="AU205" s="365">
        <f t="shared" si="177"/>
        <v>0</v>
      </c>
      <c r="AV205" s="365">
        <f t="shared" si="178"/>
        <v>0</v>
      </c>
      <c r="AW205" s="365">
        <f t="shared" si="179"/>
        <v>0</v>
      </c>
      <c r="AX205" s="365">
        <f t="shared" si="180"/>
        <v>0</v>
      </c>
      <c r="AY205" s="365">
        <f t="shared" si="181"/>
        <v>13.8</v>
      </c>
      <c r="AZ205" s="365">
        <f t="shared" si="182"/>
        <v>0</v>
      </c>
      <c r="BA205" s="365">
        <f t="shared" si="183"/>
        <v>33.36</v>
      </c>
      <c r="BB205" s="365">
        <f t="shared" si="184"/>
        <v>22</v>
      </c>
      <c r="BC205" s="365">
        <f t="shared" si="185"/>
        <v>14.18</v>
      </c>
      <c r="BD205" s="376" t="s">
        <v>823</v>
      </c>
      <c r="BE205">
        <v>14.18</v>
      </c>
    </row>
    <row r="206" ht="24" spans="1:57">
      <c r="A206" s="284" t="s">
        <v>195</v>
      </c>
      <c r="B206" s="284" t="s">
        <v>442</v>
      </c>
      <c r="C206" s="284" t="s">
        <v>450</v>
      </c>
      <c r="D206" s="284" t="s">
        <v>444</v>
      </c>
      <c r="E206" s="365">
        <f t="shared" si="165"/>
        <v>219.56</v>
      </c>
      <c r="F206" s="365">
        <f t="shared" si="166"/>
        <v>174.06</v>
      </c>
      <c r="G206" s="365">
        <v>116.66</v>
      </c>
      <c r="H206" s="365">
        <v>0.16</v>
      </c>
      <c r="I206" s="365">
        <v>43.32</v>
      </c>
      <c r="J206" s="365">
        <v>13.92</v>
      </c>
      <c r="K206" s="365"/>
      <c r="L206" s="365">
        <f t="shared" si="167"/>
        <v>45.5</v>
      </c>
      <c r="M206" s="365">
        <v>25.99</v>
      </c>
      <c r="N206" s="365">
        <v>19.51</v>
      </c>
      <c r="O206" s="365"/>
      <c r="P206" s="365"/>
      <c r="Q206" s="365"/>
      <c r="R206" s="365"/>
      <c r="S206" s="365"/>
      <c r="T206" s="366">
        <f t="shared" si="186"/>
        <v>96.7066</v>
      </c>
      <c r="U206" s="366">
        <f t="shared" si="187"/>
        <v>-3.69</v>
      </c>
      <c r="V206" s="366">
        <v>-1.97</v>
      </c>
      <c r="W206" s="366"/>
      <c r="X206" s="366"/>
      <c r="Y206" s="366">
        <v>-1.72</v>
      </c>
      <c r="Z206" s="366"/>
      <c r="AA206" s="365">
        <f t="shared" si="168"/>
        <v>100.3966</v>
      </c>
      <c r="AB206" s="365">
        <v>-2.12</v>
      </c>
      <c r="AC206" s="365">
        <v>-1.12</v>
      </c>
      <c r="AD206" s="365"/>
      <c r="AE206" s="365"/>
      <c r="AF206" s="365"/>
      <c r="AG206" s="365">
        <v>2.63</v>
      </c>
      <c r="AH206" s="365"/>
      <c r="AI206" s="365">
        <v>33.33</v>
      </c>
      <c r="AJ206" s="365">
        <v>49</v>
      </c>
      <c r="AK206" s="365">
        <v>18.6766</v>
      </c>
      <c r="AL206" s="366">
        <f t="shared" si="169"/>
        <v>316.2666</v>
      </c>
      <c r="AM206" s="365">
        <f t="shared" si="170"/>
        <v>170.37</v>
      </c>
      <c r="AN206" s="365">
        <f t="shared" si="171"/>
        <v>114.69</v>
      </c>
      <c r="AO206" s="365">
        <f t="shared" si="172"/>
        <v>0.16</v>
      </c>
      <c r="AP206" s="365">
        <f t="shared" si="173"/>
        <v>43.32</v>
      </c>
      <c r="AQ206" s="365">
        <f t="shared" si="174"/>
        <v>12.2</v>
      </c>
      <c r="AR206" s="365">
        <f t="shared" si="175"/>
        <v>0</v>
      </c>
      <c r="AS206" s="365">
        <f t="shared" si="188"/>
        <v>145.8966</v>
      </c>
      <c r="AT206" s="365">
        <f t="shared" si="176"/>
        <v>23.87</v>
      </c>
      <c r="AU206" s="365">
        <f t="shared" si="177"/>
        <v>18.39</v>
      </c>
      <c r="AV206" s="365">
        <f t="shared" si="178"/>
        <v>0</v>
      </c>
      <c r="AW206" s="365">
        <f t="shared" si="179"/>
        <v>0</v>
      </c>
      <c r="AX206" s="365">
        <f t="shared" si="180"/>
        <v>0</v>
      </c>
      <c r="AY206" s="365">
        <f t="shared" si="181"/>
        <v>2.63</v>
      </c>
      <c r="AZ206" s="365">
        <f t="shared" si="182"/>
        <v>0</v>
      </c>
      <c r="BA206" s="365">
        <f t="shared" si="183"/>
        <v>33.33</v>
      </c>
      <c r="BB206" s="365">
        <f t="shared" si="184"/>
        <v>49</v>
      </c>
      <c r="BC206" s="365">
        <f t="shared" si="185"/>
        <v>18.6766</v>
      </c>
      <c r="BD206" s="363" t="s">
        <v>824</v>
      </c>
      <c r="BE206">
        <v>18.6766</v>
      </c>
    </row>
    <row r="207" ht="36" spans="1:57">
      <c r="A207" s="284" t="s">
        <v>195</v>
      </c>
      <c r="B207" s="284" t="s">
        <v>438</v>
      </c>
      <c r="C207" s="284" t="s">
        <v>451</v>
      </c>
      <c r="D207" s="284" t="s">
        <v>452</v>
      </c>
      <c r="E207" s="365">
        <f t="shared" si="165"/>
        <v>1167.45</v>
      </c>
      <c r="F207" s="365">
        <f t="shared" si="166"/>
        <v>1020.78</v>
      </c>
      <c r="G207" s="365">
        <v>774.85</v>
      </c>
      <c r="H207" s="365">
        <v>1.49</v>
      </c>
      <c r="I207" s="365">
        <v>244.44</v>
      </c>
      <c r="J207" s="365"/>
      <c r="K207" s="365"/>
      <c r="L207" s="365">
        <f t="shared" si="167"/>
        <v>146.67</v>
      </c>
      <c r="M207" s="365">
        <v>146.67</v>
      </c>
      <c r="N207" s="365"/>
      <c r="O207" s="365"/>
      <c r="P207" s="365"/>
      <c r="Q207" s="365"/>
      <c r="R207" s="365"/>
      <c r="S207" s="365"/>
      <c r="T207" s="366">
        <f t="shared" si="186"/>
        <v>543.0538</v>
      </c>
      <c r="U207" s="366">
        <f t="shared" si="187"/>
        <v>102.39</v>
      </c>
      <c r="V207" s="366">
        <v>102.39</v>
      </c>
      <c r="W207" s="366"/>
      <c r="X207" s="366"/>
      <c r="Y207" s="366"/>
      <c r="Z207" s="366"/>
      <c r="AA207" s="365">
        <f t="shared" si="168"/>
        <v>440.6638</v>
      </c>
      <c r="AB207" s="365">
        <v>3.27</v>
      </c>
      <c r="AC207" s="365"/>
      <c r="AD207" s="365"/>
      <c r="AE207" s="365"/>
      <c r="AF207" s="365"/>
      <c r="AG207" s="365">
        <v>5.69</v>
      </c>
      <c r="AH207" s="365"/>
      <c r="AI207" s="365">
        <v>274.68</v>
      </c>
      <c r="AJ207" s="365">
        <v>79</v>
      </c>
      <c r="AK207" s="365">
        <v>78.0238</v>
      </c>
      <c r="AL207" s="366">
        <f t="shared" si="169"/>
        <v>1710.5038</v>
      </c>
      <c r="AM207" s="365">
        <f t="shared" si="170"/>
        <v>1123.17</v>
      </c>
      <c r="AN207" s="365">
        <f t="shared" si="171"/>
        <v>877.24</v>
      </c>
      <c r="AO207" s="365">
        <f t="shared" si="172"/>
        <v>1.49</v>
      </c>
      <c r="AP207" s="365">
        <f t="shared" si="173"/>
        <v>244.44</v>
      </c>
      <c r="AQ207" s="365">
        <f t="shared" si="174"/>
        <v>0</v>
      </c>
      <c r="AR207" s="365">
        <f t="shared" si="175"/>
        <v>0</v>
      </c>
      <c r="AS207" s="365">
        <f t="shared" si="188"/>
        <v>587.3338</v>
      </c>
      <c r="AT207" s="365">
        <f t="shared" si="176"/>
        <v>149.94</v>
      </c>
      <c r="AU207" s="365">
        <f t="shared" si="177"/>
        <v>0</v>
      </c>
      <c r="AV207" s="365">
        <f t="shared" si="178"/>
        <v>0</v>
      </c>
      <c r="AW207" s="365">
        <f t="shared" si="179"/>
        <v>0</v>
      </c>
      <c r="AX207" s="365">
        <f t="shared" si="180"/>
        <v>0</v>
      </c>
      <c r="AY207" s="365">
        <f t="shared" si="181"/>
        <v>5.69</v>
      </c>
      <c r="AZ207" s="365">
        <f t="shared" si="182"/>
        <v>0</v>
      </c>
      <c r="BA207" s="365">
        <f t="shared" si="183"/>
        <v>274.68</v>
      </c>
      <c r="BB207" s="365">
        <f t="shared" si="184"/>
        <v>79</v>
      </c>
      <c r="BC207" s="365">
        <f t="shared" si="185"/>
        <v>78.0238</v>
      </c>
      <c r="BD207" s="363" t="s">
        <v>825</v>
      </c>
      <c r="BE207">
        <v>78.0238</v>
      </c>
    </row>
    <row r="208" ht="24" spans="1:57">
      <c r="A208" s="284" t="s">
        <v>195</v>
      </c>
      <c r="B208" s="284" t="s">
        <v>442</v>
      </c>
      <c r="C208" s="284" t="s">
        <v>789</v>
      </c>
      <c r="D208" s="284" t="s">
        <v>454</v>
      </c>
      <c r="E208" s="365">
        <f t="shared" si="165"/>
        <v>247</v>
      </c>
      <c r="F208" s="365">
        <f t="shared" si="166"/>
        <v>203.93</v>
      </c>
      <c r="G208" s="365">
        <v>142.88</v>
      </c>
      <c r="H208" s="365">
        <v>0.29</v>
      </c>
      <c r="I208" s="365">
        <v>46.84</v>
      </c>
      <c r="J208" s="365">
        <v>13.92</v>
      </c>
      <c r="K208" s="365"/>
      <c r="L208" s="365">
        <f t="shared" si="167"/>
        <v>43.07</v>
      </c>
      <c r="M208" s="365">
        <v>28.11</v>
      </c>
      <c r="N208" s="365">
        <v>14.96</v>
      </c>
      <c r="O208" s="365"/>
      <c r="P208" s="365"/>
      <c r="Q208" s="365"/>
      <c r="R208" s="365"/>
      <c r="S208" s="365"/>
      <c r="T208" s="366">
        <f t="shared" si="186"/>
        <v>127.8499</v>
      </c>
      <c r="U208" s="366">
        <f t="shared" si="187"/>
        <v>28.44</v>
      </c>
      <c r="V208" s="366">
        <v>28.44</v>
      </c>
      <c r="W208" s="366"/>
      <c r="X208" s="366"/>
      <c r="Y208" s="366"/>
      <c r="Z208" s="366"/>
      <c r="AA208" s="365">
        <f t="shared" si="168"/>
        <v>99.4099</v>
      </c>
      <c r="AB208" s="365">
        <v>1.21</v>
      </c>
      <c r="AC208" s="365">
        <v>0.24</v>
      </c>
      <c r="AD208" s="365"/>
      <c r="AE208" s="365"/>
      <c r="AF208" s="365"/>
      <c r="AG208" s="365">
        <v>3.49</v>
      </c>
      <c r="AH208" s="365"/>
      <c r="AI208" s="365">
        <v>38.28</v>
      </c>
      <c r="AJ208" s="365">
        <v>41</v>
      </c>
      <c r="AK208" s="365">
        <v>15.1899</v>
      </c>
      <c r="AL208" s="366">
        <f t="shared" si="169"/>
        <v>374.8499</v>
      </c>
      <c r="AM208" s="365">
        <f t="shared" si="170"/>
        <v>232.37</v>
      </c>
      <c r="AN208" s="365">
        <f t="shared" si="171"/>
        <v>171.32</v>
      </c>
      <c r="AO208" s="365">
        <f t="shared" si="172"/>
        <v>0.29</v>
      </c>
      <c r="AP208" s="365">
        <f t="shared" si="173"/>
        <v>46.84</v>
      </c>
      <c r="AQ208" s="365">
        <f t="shared" si="174"/>
        <v>13.92</v>
      </c>
      <c r="AR208" s="365">
        <f t="shared" si="175"/>
        <v>0</v>
      </c>
      <c r="AS208" s="365">
        <f t="shared" si="188"/>
        <v>142.4799</v>
      </c>
      <c r="AT208" s="365">
        <f t="shared" si="176"/>
        <v>29.32</v>
      </c>
      <c r="AU208" s="365">
        <f t="shared" si="177"/>
        <v>15.2</v>
      </c>
      <c r="AV208" s="365">
        <f t="shared" si="178"/>
        <v>0</v>
      </c>
      <c r="AW208" s="365">
        <f t="shared" si="179"/>
        <v>0</v>
      </c>
      <c r="AX208" s="365">
        <f t="shared" si="180"/>
        <v>0</v>
      </c>
      <c r="AY208" s="365">
        <f t="shared" si="181"/>
        <v>3.49</v>
      </c>
      <c r="AZ208" s="365">
        <f t="shared" si="182"/>
        <v>0</v>
      </c>
      <c r="BA208" s="365">
        <f t="shared" si="183"/>
        <v>38.28</v>
      </c>
      <c r="BB208" s="365">
        <f t="shared" si="184"/>
        <v>41</v>
      </c>
      <c r="BC208" s="365">
        <f t="shared" si="185"/>
        <v>15.1899</v>
      </c>
      <c r="BD208" s="363" t="s">
        <v>826</v>
      </c>
      <c r="BE208">
        <v>15.1899</v>
      </c>
    </row>
    <row r="209" ht="24" spans="1:57">
      <c r="A209" s="284" t="s">
        <v>195</v>
      </c>
      <c r="B209" s="284" t="s">
        <v>442</v>
      </c>
      <c r="C209" s="284" t="s">
        <v>455</v>
      </c>
      <c r="D209" s="284" t="s">
        <v>444</v>
      </c>
      <c r="E209" s="365">
        <f t="shared" si="165"/>
        <v>348.5</v>
      </c>
      <c r="F209" s="365">
        <f t="shared" si="166"/>
        <v>287.76</v>
      </c>
      <c r="G209" s="365">
        <v>201.52</v>
      </c>
      <c r="H209" s="365">
        <v>0.72</v>
      </c>
      <c r="I209" s="365">
        <v>65.12</v>
      </c>
      <c r="J209" s="365">
        <v>20.4</v>
      </c>
      <c r="K209" s="365"/>
      <c r="L209" s="365">
        <f t="shared" si="167"/>
        <v>60.74</v>
      </c>
      <c r="M209" s="365">
        <v>39.07</v>
      </c>
      <c r="N209" s="365">
        <v>21.67</v>
      </c>
      <c r="O209" s="365"/>
      <c r="P209" s="365"/>
      <c r="Q209" s="365"/>
      <c r="R209" s="365"/>
      <c r="S209" s="365"/>
      <c r="T209" s="366">
        <f t="shared" si="186"/>
        <v>139.6581</v>
      </c>
      <c r="U209" s="366">
        <f t="shared" si="187"/>
        <v>-7.12</v>
      </c>
      <c r="V209" s="366">
        <v>-4.6</v>
      </c>
      <c r="W209" s="366"/>
      <c r="X209" s="366"/>
      <c r="Y209" s="366">
        <v>-2.52</v>
      </c>
      <c r="Z209" s="366"/>
      <c r="AA209" s="365">
        <f t="shared" si="168"/>
        <v>146.7781</v>
      </c>
      <c r="AB209" s="365">
        <v>-2.99</v>
      </c>
      <c r="AC209" s="365">
        <v>-2.02</v>
      </c>
      <c r="AD209" s="365"/>
      <c r="AE209" s="365"/>
      <c r="AF209" s="365"/>
      <c r="AG209" s="365">
        <v>7.44</v>
      </c>
      <c r="AH209" s="365"/>
      <c r="AI209" s="365">
        <v>50.52</v>
      </c>
      <c r="AJ209" s="365">
        <v>65</v>
      </c>
      <c r="AK209" s="365">
        <v>28.8281</v>
      </c>
      <c r="AL209" s="366">
        <f t="shared" si="169"/>
        <v>488.1581</v>
      </c>
      <c r="AM209" s="365">
        <f t="shared" si="170"/>
        <v>280.64</v>
      </c>
      <c r="AN209" s="365">
        <f t="shared" si="171"/>
        <v>196.92</v>
      </c>
      <c r="AO209" s="365">
        <f t="shared" si="172"/>
        <v>0.72</v>
      </c>
      <c r="AP209" s="365">
        <f t="shared" si="173"/>
        <v>65.12</v>
      </c>
      <c r="AQ209" s="365">
        <f t="shared" si="174"/>
        <v>17.88</v>
      </c>
      <c r="AR209" s="365">
        <f t="shared" si="175"/>
        <v>0</v>
      </c>
      <c r="AS209" s="365">
        <f t="shared" si="188"/>
        <v>207.5181</v>
      </c>
      <c r="AT209" s="365">
        <f t="shared" si="176"/>
        <v>36.08</v>
      </c>
      <c r="AU209" s="365">
        <f t="shared" si="177"/>
        <v>19.65</v>
      </c>
      <c r="AV209" s="365">
        <f t="shared" si="178"/>
        <v>0</v>
      </c>
      <c r="AW209" s="365">
        <f t="shared" si="179"/>
        <v>0</v>
      </c>
      <c r="AX209" s="365">
        <f t="shared" si="180"/>
        <v>0</v>
      </c>
      <c r="AY209" s="365">
        <f t="shared" si="181"/>
        <v>7.44</v>
      </c>
      <c r="AZ209" s="365">
        <f t="shared" si="182"/>
        <v>0</v>
      </c>
      <c r="BA209" s="365">
        <f t="shared" si="183"/>
        <v>50.52</v>
      </c>
      <c r="BB209" s="365">
        <f t="shared" si="184"/>
        <v>65</v>
      </c>
      <c r="BC209" s="365">
        <f t="shared" si="185"/>
        <v>28.8281</v>
      </c>
      <c r="BD209" s="363" t="s">
        <v>827</v>
      </c>
      <c r="BE209">
        <v>28.8281</v>
      </c>
    </row>
    <row r="210" ht="36" spans="1:57">
      <c r="A210" s="284" t="s">
        <v>195</v>
      </c>
      <c r="B210" s="284" t="s">
        <v>199</v>
      </c>
      <c r="C210" s="284" t="s">
        <v>456</v>
      </c>
      <c r="D210" s="284" t="s">
        <v>457</v>
      </c>
      <c r="E210" s="365">
        <f t="shared" si="165"/>
        <v>72.62</v>
      </c>
      <c r="F210" s="365">
        <f t="shared" si="166"/>
        <v>64.1</v>
      </c>
      <c r="G210" s="365">
        <v>49.82</v>
      </c>
      <c r="H210" s="365">
        <v>0.08</v>
      </c>
      <c r="I210" s="365">
        <v>14.2</v>
      </c>
      <c r="J210" s="365"/>
      <c r="K210" s="365"/>
      <c r="L210" s="365">
        <f t="shared" si="167"/>
        <v>8.52</v>
      </c>
      <c r="M210" s="365">
        <v>8.52</v>
      </c>
      <c r="N210" s="365"/>
      <c r="O210" s="365"/>
      <c r="P210" s="365"/>
      <c r="Q210" s="365"/>
      <c r="R210" s="365"/>
      <c r="S210" s="365"/>
      <c r="T210" s="366">
        <f t="shared" si="186"/>
        <v>50.92</v>
      </c>
      <c r="U210" s="366">
        <f t="shared" si="187"/>
        <v>25.71</v>
      </c>
      <c r="V210" s="366">
        <v>25.71</v>
      </c>
      <c r="W210" s="366"/>
      <c r="X210" s="366"/>
      <c r="Y210" s="366"/>
      <c r="Z210" s="366"/>
      <c r="AA210" s="365">
        <f t="shared" si="168"/>
        <v>25.21</v>
      </c>
      <c r="AB210" s="365">
        <v>2.51</v>
      </c>
      <c r="AC210" s="365"/>
      <c r="AD210" s="365"/>
      <c r="AE210" s="365"/>
      <c r="AF210" s="365"/>
      <c r="AG210" s="365">
        <v>0.15</v>
      </c>
      <c r="AH210" s="365"/>
      <c r="AI210" s="365">
        <v>11.53</v>
      </c>
      <c r="AJ210" s="365">
        <v>6</v>
      </c>
      <c r="AK210" s="365">
        <v>5.02</v>
      </c>
      <c r="AL210" s="366">
        <f t="shared" si="169"/>
        <v>123.54</v>
      </c>
      <c r="AM210" s="365">
        <f t="shared" si="170"/>
        <v>89.81</v>
      </c>
      <c r="AN210" s="365">
        <f t="shared" si="171"/>
        <v>75.53</v>
      </c>
      <c r="AO210" s="365">
        <f t="shared" si="172"/>
        <v>0.08</v>
      </c>
      <c r="AP210" s="365">
        <f t="shared" si="173"/>
        <v>14.2</v>
      </c>
      <c r="AQ210" s="365">
        <f t="shared" si="174"/>
        <v>0</v>
      </c>
      <c r="AR210" s="365">
        <f t="shared" si="175"/>
        <v>0</v>
      </c>
      <c r="AS210" s="365">
        <f t="shared" si="188"/>
        <v>33.73</v>
      </c>
      <c r="AT210" s="365">
        <f t="shared" si="176"/>
        <v>11.03</v>
      </c>
      <c r="AU210" s="365">
        <f t="shared" si="177"/>
        <v>0</v>
      </c>
      <c r="AV210" s="365">
        <f t="shared" si="178"/>
        <v>0</v>
      </c>
      <c r="AW210" s="365">
        <f t="shared" si="179"/>
        <v>0</v>
      </c>
      <c r="AX210" s="365">
        <f t="shared" si="180"/>
        <v>0</v>
      </c>
      <c r="AY210" s="365">
        <f t="shared" si="181"/>
        <v>0.15</v>
      </c>
      <c r="AZ210" s="365">
        <f t="shared" si="182"/>
        <v>0</v>
      </c>
      <c r="BA210" s="365">
        <f t="shared" si="183"/>
        <v>11.53</v>
      </c>
      <c r="BB210" s="365">
        <f t="shared" si="184"/>
        <v>6</v>
      </c>
      <c r="BC210" s="365">
        <f t="shared" si="185"/>
        <v>5.02</v>
      </c>
      <c r="BD210" s="363" t="s">
        <v>828</v>
      </c>
      <c r="BE210">
        <v>5.02</v>
      </c>
    </row>
    <row r="211" ht="24" spans="1:57">
      <c r="A211" s="284" t="s">
        <v>195</v>
      </c>
      <c r="B211" s="284" t="s">
        <v>442</v>
      </c>
      <c r="C211" s="284" t="s">
        <v>458</v>
      </c>
      <c r="D211" s="284" t="s">
        <v>454</v>
      </c>
      <c r="E211" s="365">
        <f t="shared" si="165"/>
        <v>251.78</v>
      </c>
      <c r="F211" s="365">
        <f t="shared" si="166"/>
        <v>209.78</v>
      </c>
      <c r="G211" s="365">
        <v>149.74</v>
      </c>
      <c r="H211" s="365">
        <v>13.25</v>
      </c>
      <c r="I211" s="365">
        <v>46.79</v>
      </c>
      <c r="J211" s="365"/>
      <c r="K211" s="365"/>
      <c r="L211" s="365">
        <f t="shared" si="167"/>
        <v>42</v>
      </c>
      <c r="M211" s="365">
        <v>28.07</v>
      </c>
      <c r="N211" s="365">
        <v>13.93</v>
      </c>
      <c r="O211" s="365"/>
      <c r="P211" s="365"/>
      <c r="Q211" s="365"/>
      <c r="R211" s="365"/>
      <c r="S211" s="365"/>
      <c r="T211" s="366">
        <f t="shared" si="186"/>
        <v>120.7</v>
      </c>
      <c r="U211" s="366">
        <f t="shared" si="187"/>
        <v>28.53</v>
      </c>
      <c r="V211" s="366">
        <v>14.01</v>
      </c>
      <c r="W211" s="371"/>
      <c r="X211" s="366"/>
      <c r="Y211" s="366">
        <v>14.52</v>
      </c>
      <c r="Z211" s="366"/>
      <c r="AA211" s="365">
        <f t="shared" si="168"/>
        <v>92.17</v>
      </c>
      <c r="AB211" s="365">
        <v>1.05</v>
      </c>
      <c r="AC211" s="365">
        <v>0.52</v>
      </c>
      <c r="AD211" s="365"/>
      <c r="AE211" s="365"/>
      <c r="AF211" s="365"/>
      <c r="AG211" s="365">
        <v>0.9</v>
      </c>
      <c r="AH211" s="365"/>
      <c r="AI211" s="365">
        <v>37.17</v>
      </c>
      <c r="AJ211" s="365">
        <v>37</v>
      </c>
      <c r="AK211" s="365">
        <v>15.53</v>
      </c>
      <c r="AL211" s="366">
        <f t="shared" si="169"/>
        <v>372.48</v>
      </c>
      <c r="AM211" s="365">
        <f t="shared" si="170"/>
        <v>238.31</v>
      </c>
      <c r="AN211" s="365">
        <f t="shared" si="171"/>
        <v>163.75</v>
      </c>
      <c r="AO211" s="365">
        <f t="shared" si="172"/>
        <v>13.25</v>
      </c>
      <c r="AP211" s="365">
        <f t="shared" si="173"/>
        <v>46.79</v>
      </c>
      <c r="AQ211" s="365">
        <f t="shared" si="174"/>
        <v>14.52</v>
      </c>
      <c r="AR211" s="365">
        <f t="shared" si="175"/>
        <v>0</v>
      </c>
      <c r="AS211" s="365">
        <f t="shared" si="188"/>
        <v>134.17</v>
      </c>
      <c r="AT211" s="365">
        <f t="shared" si="176"/>
        <v>29.12</v>
      </c>
      <c r="AU211" s="365">
        <f t="shared" si="177"/>
        <v>14.45</v>
      </c>
      <c r="AV211" s="365">
        <f t="shared" si="178"/>
        <v>0</v>
      </c>
      <c r="AW211" s="365">
        <f t="shared" si="179"/>
        <v>0</v>
      </c>
      <c r="AX211" s="365">
        <f t="shared" si="180"/>
        <v>0</v>
      </c>
      <c r="AY211" s="365">
        <f t="shared" si="181"/>
        <v>0.9</v>
      </c>
      <c r="AZ211" s="365">
        <f t="shared" si="182"/>
        <v>0</v>
      </c>
      <c r="BA211" s="365">
        <f t="shared" si="183"/>
        <v>37.17</v>
      </c>
      <c r="BB211" s="365">
        <f t="shared" si="184"/>
        <v>37</v>
      </c>
      <c r="BC211" s="365">
        <f t="shared" si="185"/>
        <v>15.53</v>
      </c>
      <c r="BD211" s="363" t="s">
        <v>829</v>
      </c>
      <c r="BE211">
        <v>15.53</v>
      </c>
    </row>
    <row r="212" ht="24" spans="1:57">
      <c r="A212" s="284" t="s">
        <v>195</v>
      </c>
      <c r="B212" s="284" t="s">
        <v>442</v>
      </c>
      <c r="C212" s="284" t="s">
        <v>459</v>
      </c>
      <c r="D212" s="284" t="s">
        <v>444</v>
      </c>
      <c r="E212" s="365">
        <f t="shared" si="165"/>
        <v>232.3</v>
      </c>
      <c r="F212" s="365">
        <f t="shared" si="166"/>
        <v>189.41</v>
      </c>
      <c r="G212" s="365">
        <v>129.96</v>
      </c>
      <c r="H212" s="365">
        <v>0.2</v>
      </c>
      <c r="I212" s="365">
        <v>44.85</v>
      </c>
      <c r="J212" s="365">
        <v>14.4</v>
      </c>
      <c r="K212" s="365"/>
      <c r="L212" s="365">
        <f t="shared" si="167"/>
        <v>42.89</v>
      </c>
      <c r="M212" s="365">
        <v>26.91</v>
      </c>
      <c r="N212" s="365">
        <v>15.48</v>
      </c>
      <c r="O212" s="365"/>
      <c r="P212" s="365"/>
      <c r="Q212" s="365"/>
      <c r="R212" s="374">
        <v>0.5</v>
      </c>
      <c r="S212" s="365"/>
      <c r="T212" s="366">
        <f t="shared" si="186"/>
        <v>86.68</v>
      </c>
      <c r="U212" s="366">
        <f t="shared" si="187"/>
        <v>-5.92</v>
      </c>
      <c r="V212" s="366">
        <v>-5.12</v>
      </c>
      <c r="W212" s="366"/>
      <c r="X212" s="366"/>
      <c r="Y212" s="366">
        <v>-0.8</v>
      </c>
      <c r="Z212" s="366"/>
      <c r="AA212" s="365">
        <f t="shared" si="168"/>
        <v>92.6</v>
      </c>
      <c r="AB212" s="365">
        <v>-2.8</v>
      </c>
      <c r="AC212" s="365">
        <v>-2.41</v>
      </c>
      <c r="AD212" s="365"/>
      <c r="AE212" s="365"/>
      <c r="AF212" s="365"/>
      <c r="AG212" s="365">
        <v>0.75</v>
      </c>
      <c r="AH212" s="365"/>
      <c r="AI212" s="365">
        <v>24.1</v>
      </c>
      <c r="AJ212" s="365">
        <v>53</v>
      </c>
      <c r="AK212" s="365">
        <v>19.96</v>
      </c>
      <c r="AL212" s="366">
        <f t="shared" si="169"/>
        <v>318.98</v>
      </c>
      <c r="AM212" s="365">
        <f t="shared" si="170"/>
        <v>183.49</v>
      </c>
      <c r="AN212" s="365">
        <f t="shared" si="171"/>
        <v>124.84</v>
      </c>
      <c r="AO212" s="365">
        <f t="shared" si="172"/>
        <v>0.2</v>
      </c>
      <c r="AP212" s="365">
        <f t="shared" si="173"/>
        <v>44.85</v>
      </c>
      <c r="AQ212" s="365">
        <f t="shared" si="174"/>
        <v>13.6</v>
      </c>
      <c r="AR212" s="365">
        <f t="shared" si="175"/>
        <v>0</v>
      </c>
      <c r="AS212" s="365">
        <f t="shared" si="188"/>
        <v>135.49</v>
      </c>
      <c r="AT212" s="365">
        <f t="shared" si="176"/>
        <v>24.11</v>
      </c>
      <c r="AU212" s="365">
        <f t="shared" si="177"/>
        <v>13.07</v>
      </c>
      <c r="AV212" s="365">
        <f t="shared" si="178"/>
        <v>0</v>
      </c>
      <c r="AW212" s="365">
        <f t="shared" si="179"/>
        <v>0</v>
      </c>
      <c r="AX212" s="365">
        <f t="shared" si="180"/>
        <v>0</v>
      </c>
      <c r="AY212" s="365">
        <f t="shared" si="181"/>
        <v>1.25</v>
      </c>
      <c r="AZ212" s="365">
        <f t="shared" si="182"/>
        <v>0</v>
      </c>
      <c r="BA212" s="365">
        <f t="shared" si="183"/>
        <v>24.1</v>
      </c>
      <c r="BB212" s="365">
        <f t="shared" si="184"/>
        <v>53</v>
      </c>
      <c r="BC212" s="365">
        <f t="shared" si="185"/>
        <v>19.96</v>
      </c>
      <c r="BD212" s="363" t="s">
        <v>830</v>
      </c>
      <c r="BE212">
        <v>19.96</v>
      </c>
    </row>
    <row r="213" ht="24" spans="1:57">
      <c r="A213" s="284" t="s">
        <v>195</v>
      </c>
      <c r="B213" s="284" t="s">
        <v>442</v>
      </c>
      <c r="C213" s="284" t="s">
        <v>460</v>
      </c>
      <c r="D213" s="284" t="s">
        <v>454</v>
      </c>
      <c r="E213" s="365">
        <f t="shared" si="165"/>
        <v>405.36</v>
      </c>
      <c r="F213" s="365">
        <f t="shared" si="166"/>
        <v>343.44</v>
      </c>
      <c r="G213" s="365">
        <v>250.52</v>
      </c>
      <c r="H213" s="365">
        <v>0.53</v>
      </c>
      <c r="I213" s="365">
        <v>76.91</v>
      </c>
      <c r="J213" s="365">
        <v>15.48</v>
      </c>
      <c r="K213" s="365"/>
      <c r="L213" s="365">
        <f t="shared" si="167"/>
        <v>61.92</v>
      </c>
      <c r="M213" s="365">
        <v>46.14</v>
      </c>
      <c r="N213" s="365">
        <v>15.78</v>
      </c>
      <c r="O213" s="365"/>
      <c r="P213" s="365"/>
      <c r="Q213" s="365"/>
      <c r="R213" s="365"/>
      <c r="S213" s="365"/>
      <c r="T213" s="366">
        <f t="shared" si="186"/>
        <v>90.8483</v>
      </c>
      <c r="U213" s="366">
        <f t="shared" si="187"/>
        <v>-42.33</v>
      </c>
      <c r="V213" s="366">
        <v>-39.72</v>
      </c>
      <c r="W213" s="366"/>
      <c r="X213" s="366"/>
      <c r="Y213" s="366">
        <v>-2.61</v>
      </c>
      <c r="Z213" s="366"/>
      <c r="AA213" s="365">
        <f t="shared" si="168"/>
        <v>133.1783</v>
      </c>
      <c r="AB213" s="365">
        <v>-8.93</v>
      </c>
      <c r="AC213" s="365">
        <v>-3</v>
      </c>
      <c r="AD213" s="365"/>
      <c r="AE213" s="365"/>
      <c r="AF213" s="365"/>
      <c r="AG213" s="365">
        <v>2.25</v>
      </c>
      <c r="AH213" s="365"/>
      <c r="AI213" s="365">
        <v>49.36</v>
      </c>
      <c r="AJ213" s="365">
        <v>70</v>
      </c>
      <c r="AK213" s="365">
        <v>23.4983</v>
      </c>
      <c r="AL213" s="366">
        <f t="shared" si="169"/>
        <v>496.2083</v>
      </c>
      <c r="AM213" s="365">
        <f t="shared" si="170"/>
        <v>301.11</v>
      </c>
      <c r="AN213" s="365">
        <f t="shared" si="171"/>
        <v>210.8</v>
      </c>
      <c r="AO213" s="365">
        <f t="shared" si="172"/>
        <v>0.53</v>
      </c>
      <c r="AP213" s="365">
        <f t="shared" si="173"/>
        <v>76.91</v>
      </c>
      <c r="AQ213" s="365">
        <f t="shared" si="174"/>
        <v>12.87</v>
      </c>
      <c r="AR213" s="365">
        <f t="shared" si="175"/>
        <v>0</v>
      </c>
      <c r="AS213" s="365">
        <f t="shared" si="188"/>
        <v>195.0983</v>
      </c>
      <c r="AT213" s="365">
        <f t="shared" si="176"/>
        <v>37.21</v>
      </c>
      <c r="AU213" s="365">
        <f t="shared" si="177"/>
        <v>12.78</v>
      </c>
      <c r="AV213" s="365">
        <f t="shared" si="178"/>
        <v>0</v>
      </c>
      <c r="AW213" s="365">
        <f t="shared" si="179"/>
        <v>0</v>
      </c>
      <c r="AX213" s="365">
        <f t="shared" si="180"/>
        <v>0</v>
      </c>
      <c r="AY213" s="365">
        <f t="shared" si="181"/>
        <v>2.25</v>
      </c>
      <c r="AZ213" s="365">
        <f t="shared" si="182"/>
        <v>0</v>
      </c>
      <c r="BA213" s="365">
        <f t="shared" si="183"/>
        <v>49.36</v>
      </c>
      <c r="BB213" s="365">
        <f t="shared" si="184"/>
        <v>70</v>
      </c>
      <c r="BC213" s="365">
        <f t="shared" si="185"/>
        <v>23.4983</v>
      </c>
      <c r="BD213" s="363" t="s">
        <v>831</v>
      </c>
      <c r="BE213">
        <v>23.4983</v>
      </c>
    </row>
    <row r="214" ht="24" spans="1:57">
      <c r="A214" s="284" t="s">
        <v>195</v>
      </c>
      <c r="B214" s="284" t="s">
        <v>442</v>
      </c>
      <c r="C214" s="284" t="s">
        <v>461</v>
      </c>
      <c r="D214" s="284" t="s">
        <v>454</v>
      </c>
      <c r="E214" s="365">
        <f t="shared" si="165"/>
        <v>189.28</v>
      </c>
      <c r="F214" s="365">
        <f t="shared" si="166"/>
        <v>153.74</v>
      </c>
      <c r="G214" s="365">
        <v>103.87</v>
      </c>
      <c r="H214" s="365">
        <v>0.13</v>
      </c>
      <c r="I214" s="365">
        <v>37.74</v>
      </c>
      <c r="J214" s="365">
        <v>12</v>
      </c>
      <c r="K214" s="365"/>
      <c r="L214" s="365">
        <f t="shared" si="167"/>
        <v>35.54</v>
      </c>
      <c r="M214" s="365">
        <v>22.64</v>
      </c>
      <c r="N214" s="365">
        <v>12.9</v>
      </c>
      <c r="O214" s="365"/>
      <c r="P214" s="365"/>
      <c r="Q214" s="365"/>
      <c r="R214" s="365"/>
      <c r="S214" s="365"/>
      <c r="T214" s="366">
        <f t="shared" si="186"/>
        <v>138.0398</v>
      </c>
      <c r="U214" s="366">
        <f t="shared" si="187"/>
        <v>41.78</v>
      </c>
      <c r="V214" s="366">
        <v>39.14</v>
      </c>
      <c r="W214" s="366"/>
      <c r="X214" s="366"/>
      <c r="Y214" s="366">
        <v>2.64</v>
      </c>
      <c r="Z214" s="366"/>
      <c r="AA214" s="365">
        <f t="shared" si="168"/>
        <v>96.2598</v>
      </c>
      <c r="AB214" s="365">
        <v>3.91</v>
      </c>
      <c r="AC214" s="365">
        <v>2.51</v>
      </c>
      <c r="AD214" s="365"/>
      <c r="AE214" s="365"/>
      <c r="AF214" s="365"/>
      <c r="AG214" s="365">
        <v>5.93</v>
      </c>
      <c r="AH214" s="365"/>
      <c r="AI214" s="365">
        <v>36.81</v>
      </c>
      <c r="AJ214" s="365">
        <v>33</v>
      </c>
      <c r="AK214" s="365">
        <v>14.0998</v>
      </c>
      <c r="AL214" s="366">
        <f t="shared" si="169"/>
        <v>327.3198</v>
      </c>
      <c r="AM214" s="365">
        <f t="shared" si="170"/>
        <v>195.52</v>
      </c>
      <c r="AN214" s="365">
        <f t="shared" si="171"/>
        <v>143.01</v>
      </c>
      <c r="AO214" s="365">
        <f t="shared" si="172"/>
        <v>0.13</v>
      </c>
      <c r="AP214" s="365">
        <f t="shared" si="173"/>
        <v>37.74</v>
      </c>
      <c r="AQ214" s="365">
        <f t="shared" si="174"/>
        <v>14.64</v>
      </c>
      <c r="AR214" s="365">
        <f t="shared" si="175"/>
        <v>0</v>
      </c>
      <c r="AS214" s="365">
        <f t="shared" si="188"/>
        <v>131.7998</v>
      </c>
      <c r="AT214" s="365">
        <f t="shared" si="176"/>
        <v>26.55</v>
      </c>
      <c r="AU214" s="365">
        <f t="shared" si="177"/>
        <v>15.41</v>
      </c>
      <c r="AV214" s="365">
        <f t="shared" si="178"/>
        <v>0</v>
      </c>
      <c r="AW214" s="365">
        <f t="shared" si="179"/>
        <v>0</v>
      </c>
      <c r="AX214" s="365">
        <f t="shared" si="180"/>
        <v>0</v>
      </c>
      <c r="AY214" s="365">
        <f t="shared" si="181"/>
        <v>5.93</v>
      </c>
      <c r="AZ214" s="365">
        <f t="shared" si="182"/>
        <v>0</v>
      </c>
      <c r="BA214" s="365">
        <f t="shared" si="183"/>
        <v>36.81</v>
      </c>
      <c r="BB214" s="365">
        <f t="shared" si="184"/>
        <v>33</v>
      </c>
      <c r="BC214" s="365">
        <f t="shared" si="185"/>
        <v>14.0998</v>
      </c>
      <c r="BD214" s="363" t="s">
        <v>832</v>
      </c>
      <c r="BE214">
        <v>14.0998</v>
      </c>
    </row>
    <row r="215" ht="24" spans="1:57">
      <c r="A215" s="284" t="s">
        <v>195</v>
      </c>
      <c r="B215" s="284" t="s">
        <v>442</v>
      </c>
      <c r="C215" s="284" t="s">
        <v>462</v>
      </c>
      <c r="D215" s="284" t="s">
        <v>444</v>
      </c>
      <c r="E215" s="365">
        <f t="shared" si="165"/>
        <v>212.26</v>
      </c>
      <c r="F215" s="365">
        <f t="shared" si="166"/>
        <v>169.41</v>
      </c>
      <c r="G215" s="365">
        <v>116.76</v>
      </c>
      <c r="H215" s="365">
        <v>0.16</v>
      </c>
      <c r="I215" s="365">
        <v>40.01</v>
      </c>
      <c r="J215" s="365">
        <v>12.48</v>
      </c>
      <c r="K215" s="365"/>
      <c r="L215" s="365">
        <f t="shared" si="167"/>
        <v>42.85</v>
      </c>
      <c r="M215" s="365">
        <v>24.01</v>
      </c>
      <c r="N215" s="365">
        <v>18.84</v>
      </c>
      <c r="O215" s="365"/>
      <c r="P215" s="365"/>
      <c r="Q215" s="365"/>
      <c r="R215" s="365"/>
      <c r="S215" s="365"/>
      <c r="T215" s="366">
        <f t="shared" si="186"/>
        <v>81.4749</v>
      </c>
      <c r="U215" s="366">
        <f t="shared" si="187"/>
        <v>-4.25</v>
      </c>
      <c r="V215" s="366">
        <v>-2.65</v>
      </c>
      <c r="W215" s="366"/>
      <c r="X215" s="366"/>
      <c r="Y215" s="366">
        <v>-1.6</v>
      </c>
      <c r="Z215" s="366"/>
      <c r="AA215" s="365">
        <f t="shared" si="168"/>
        <v>85.7249</v>
      </c>
      <c r="AB215" s="365">
        <v>-2.11</v>
      </c>
      <c r="AC215" s="365">
        <v>-2.31</v>
      </c>
      <c r="AD215" s="365"/>
      <c r="AE215" s="365"/>
      <c r="AF215" s="365"/>
      <c r="AG215" s="365">
        <v>3.98</v>
      </c>
      <c r="AH215" s="365"/>
      <c r="AI215" s="365">
        <v>29.31</v>
      </c>
      <c r="AJ215" s="365">
        <v>42</v>
      </c>
      <c r="AK215" s="365">
        <v>14.8549</v>
      </c>
      <c r="AL215" s="366">
        <f t="shared" si="169"/>
        <v>293.7349</v>
      </c>
      <c r="AM215" s="365">
        <f t="shared" si="170"/>
        <v>165.16</v>
      </c>
      <c r="AN215" s="365">
        <f t="shared" si="171"/>
        <v>114.11</v>
      </c>
      <c r="AO215" s="365">
        <f t="shared" si="172"/>
        <v>0.16</v>
      </c>
      <c r="AP215" s="365">
        <f t="shared" si="173"/>
        <v>40.01</v>
      </c>
      <c r="AQ215" s="365">
        <f t="shared" si="174"/>
        <v>10.88</v>
      </c>
      <c r="AR215" s="365">
        <f t="shared" si="175"/>
        <v>0</v>
      </c>
      <c r="AS215" s="365">
        <f t="shared" si="188"/>
        <v>128.5749</v>
      </c>
      <c r="AT215" s="365">
        <f t="shared" si="176"/>
        <v>21.9</v>
      </c>
      <c r="AU215" s="365">
        <f t="shared" si="177"/>
        <v>16.53</v>
      </c>
      <c r="AV215" s="365">
        <f t="shared" si="178"/>
        <v>0</v>
      </c>
      <c r="AW215" s="365">
        <f t="shared" si="179"/>
        <v>0</v>
      </c>
      <c r="AX215" s="365">
        <f t="shared" si="180"/>
        <v>0</v>
      </c>
      <c r="AY215" s="365">
        <f t="shared" si="181"/>
        <v>3.98</v>
      </c>
      <c r="AZ215" s="365">
        <f t="shared" si="182"/>
        <v>0</v>
      </c>
      <c r="BA215" s="365">
        <f t="shared" si="183"/>
        <v>29.31</v>
      </c>
      <c r="BB215" s="365">
        <f t="shared" si="184"/>
        <v>42</v>
      </c>
      <c r="BC215" s="365">
        <f t="shared" si="185"/>
        <v>14.8549</v>
      </c>
      <c r="BD215" s="363" t="s">
        <v>833</v>
      </c>
      <c r="BE215">
        <v>14.8549</v>
      </c>
    </row>
    <row r="216" ht="24" spans="1:57">
      <c r="A216" s="284" t="s">
        <v>195</v>
      </c>
      <c r="B216" s="284" t="s">
        <v>442</v>
      </c>
      <c r="C216" s="284" t="s">
        <v>463</v>
      </c>
      <c r="D216" s="284" t="s">
        <v>444</v>
      </c>
      <c r="E216" s="365">
        <f t="shared" si="165"/>
        <v>632.06</v>
      </c>
      <c r="F216" s="365">
        <f t="shared" si="166"/>
        <v>526.63</v>
      </c>
      <c r="G216" s="365">
        <v>374.98</v>
      </c>
      <c r="H216" s="365">
        <v>0.61</v>
      </c>
      <c r="I216" s="365">
        <v>121.52</v>
      </c>
      <c r="J216" s="365">
        <v>29.52</v>
      </c>
      <c r="K216" s="365"/>
      <c r="L216" s="365">
        <f t="shared" si="167"/>
        <v>105.43</v>
      </c>
      <c r="M216" s="365">
        <v>72.91</v>
      </c>
      <c r="N216" s="365">
        <v>32.52</v>
      </c>
      <c r="O216" s="365"/>
      <c r="P216" s="365"/>
      <c r="Q216" s="365"/>
      <c r="R216" s="365"/>
      <c r="S216" s="365"/>
      <c r="T216" s="366">
        <f t="shared" si="186"/>
        <v>352.4659</v>
      </c>
      <c r="U216" s="366">
        <f t="shared" si="187"/>
        <v>42.53</v>
      </c>
      <c r="V216" s="366">
        <v>39.96</v>
      </c>
      <c r="W216" s="366"/>
      <c r="X216" s="366"/>
      <c r="Y216" s="366">
        <v>2.57</v>
      </c>
      <c r="Z216" s="366"/>
      <c r="AA216" s="365">
        <f t="shared" si="168"/>
        <v>309.9359</v>
      </c>
      <c r="AB216" s="365">
        <v>3.97</v>
      </c>
      <c r="AC216" s="365">
        <v>-0.53</v>
      </c>
      <c r="AD216" s="365"/>
      <c r="AE216" s="365"/>
      <c r="AF216" s="365"/>
      <c r="AG216" s="365">
        <v>22.19</v>
      </c>
      <c r="AH216" s="365"/>
      <c r="AI216" s="365">
        <v>108.63</v>
      </c>
      <c r="AJ216" s="365">
        <v>116</v>
      </c>
      <c r="AK216" s="365">
        <v>59.6759</v>
      </c>
      <c r="AL216" s="366">
        <f t="shared" si="169"/>
        <v>984.5259</v>
      </c>
      <c r="AM216" s="365">
        <f t="shared" si="170"/>
        <v>569.16</v>
      </c>
      <c r="AN216" s="365">
        <f t="shared" si="171"/>
        <v>414.94</v>
      </c>
      <c r="AO216" s="365">
        <f t="shared" si="172"/>
        <v>0.61</v>
      </c>
      <c r="AP216" s="365">
        <f t="shared" si="173"/>
        <v>121.52</v>
      </c>
      <c r="AQ216" s="365">
        <f t="shared" si="174"/>
        <v>32.09</v>
      </c>
      <c r="AR216" s="365">
        <f t="shared" si="175"/>
        <v>0</v>
      </c>
      <c r="AS216" s="365">
        <f t="shared" si="188"/>
        <v>415.3659</v>
      </c>
      <c r="AT216" s="365">
        <f t="shared" si="176"/>
        <v>76.88</v>
      </c>
      <c r="AU216" s="365">
        <f t="shared" si="177"/>
        <v>31.99</v>
      </c>
      <c r="AV216" s="365">
        <f t="shared" si="178"/>
        <v>0</v>
      </c>
      <c r="AW216" s="365">
        <f t="shared" si="179"/>
        <v>0</v>
      </c>
      <c r="AX216" s="365">
        <f t="shared" si="180"/>
        <v>0</v>
      </c>
      <c r="AY216" s="365">
        <f t="shared" si="181"/>
        <v>22.19</v>
      </c>
      <c r="AZ216" s="365">
        <f t="shared" si="182"/>
        <v>0</v>
      </c>
      <c r="BA216" s="365">
        <f t="shared" si="183"/>
        <v>108.63</v>
      </c>
      <c r="BB216" s="365">
        <f t="shared" si="184"/>
        <v>116</v>
      </c>
      <c r="BC216" s="365">
        <f t="shared" si="185"/>
        <v>59.6759</v>
      </c>
      <c r="BD216" s="363" t="s">
        <v>834</v>
      </c>
      <c r="BE216">
        <v>59.6759</v>
      </c>
    </row>
    <row r="217" ht="24" spans="1:57">
      <c r="A217" s="284" t="s">
        <v>195</v>
      </c>
      <c r="B217" s="284" t="s">
        <v>442</v>
      </c>
      <c r="C217" s="284" t="s">
        <v>464</v>
      </c>
      <c r="D217" s="284" t="s">
        <v>444</v>
      </c>
      <c r="E217" s="365">
        <f t="shared" si="165"/>
        <v>1073.99</v>
      </c>
      <c r="F217" s="365">
        <f t="shared" si="166"/>
        <v>904.34</v>
      </c>
      <c r="G217" s="365">
        <v>660.44</v>
      </c>
      <c r="H217" s="365"/>
      <c r="I217" s="365">
        <v>211.02</v>
      </c>
      <c r="J217" s="365">
        <v>32.88</v>
      </c>
      <c r="K217" s="365"/>
      <c r="L217" s="365">
        <f t="shared" si="167"/>
        <v>169.65</v>
      </c>
      <c r="M217" s="365">
        <v>126.61</v>
      </c>
      <c r="N217" s="365">
        <v>43.04</v>
      </c>
      <c r="O217" s="365"/>
      <c r="P217" s="365"/>
      <c r="Q217" s="365"/>
      <c r="R217" s="365"/>
      <c r="S217" s="365"/>
      <c r="T217" s="366">
        <f t="shared" si="186"/>
        <v>578.5431</v>
      </c>
      <c r="U217" s="366">
        <f t="shared" si="187"/>
        <v>89.3</v>
      </c>
      <c r="V217" s="366">
        <v>89.32</v>
      </c>
      <c r="W217" s="366"/>
      <c r="X217" s="366"/>
      <c r="Y217" s="366">
        <v>-0.02</v>
      </c>
      <c r="Z217" s="366"/>
      <c r="AA217" s="365">
        <f t="shared" si="168"/>
        <v>489.2431</v>
      </c>
      <c r="AB217" s="365">
        <v>4.08</v>
      </c>
      <c r="AC217" s="365">
        <v>-0.04</v>
      </c>
      <c r="AD217" s="365"/>
      <c r="AE217" s="365"/>
      <c r="AF217" s="365"/>
      <c r="AG217" s="365">
        <v>10.25</v>
      </c>
      <c r="AH217" s="365"/>
      <c r="AI217" s="365">
        <v>176.62</v>
      </c>
      <c r="AJ217" s="365">
        <v>197</v>
      </c>
      <c r="AK217" s="365">
        <v>101.3331</v>
      </c>
      <c r="AL217" s="366">
        <f t="shared" si="169"/>
        <v>1652.5331</v>
      </c>
      <c r="AM217" s="365">
        <f t="shared" si="170"/>
        <v>993.64</v>
      </c>
      <c r="AN217" s="365">
        <f t="shared" si="171"/>
        <v>749.76</v>
      </c>
      <c r="AO217" s="365">
        <f t="shared" si="172"/>
        <v>0</v>
      </c>
      <c r="AP217" s="365">
        <f t="shared" si="173"/>
        <v>211.02</v>
      </c>
      <c r="AQ217" s="365">
        <f t="shared" si="174"/>
        <v>32.86</v>
      </c>
      <c r="AR217" s="365">
        <f t="shared" si="175"/>
        <v>0</v>
      </c>
      <c r="AS217" s="365">
        <f t="shared" si="188"/>
        <v>658.8931</v>
      </c>
      <c r="AT217" s="365">
        <f t="shared" si="176"/>
        <v>130.69</v>
      </c>
      <c r="AU217" s="365">
        <f t="shared" si="177"/>
        <v>43</v>
      </c>
      <c r="AV217" s="365">
        <f t="shared" si="178"/>
        <v>0</v>
      </c>
      <c r="AW217" s="365">
        <f t="shared" si="179"/>
        <v>0</v>
      </c>
      <c r="AX217" s="365">
        <f t="shared" si="180"/>
        <v>0</v>
      </c>
      <c r="AY217" s="365">
        <f t="shared" si="181"/>
        <v>10.25</v>
      </c>
      <c r="AZ217" s="365">
        <f t="shared" si="182"/>
        <v>0</v>
      </c>
      <c r="BA217" s="365">
        <f t="shared" si="183"/>
        <v>176.62</v>
      </c>
      <c r="BB217" s="365">
        <f t="shared" si="184"/>
        <v>197</v>
      </c>
      <c r="BC217" s="365">
        <f t="shared" si="185"/>
        <v>101.3331</v>
      </c>
      <c r="BD217" s="363" t="s">
        <v>835</v>
      </c>
      <c r="BE217">
        <v>101.3331</v>
      </c>
    </row>
    <row r="218" ht="24" spans="1:57">
      <c r="A218" s="284" t="s">
        <v>195</v>
      </c>
      <c r="B218" s="284" t="s">
        <v>442</v>
      </c>
      <c r="C218" s="284" t="s">
        <v>465</v>
      </c>
      <c r="D218" s="284" t="s">
        <v>454</v>
      </c>
      <c r="E218" s="365">
        <f t="shared" si="165"/>
        <v>1039.37</v>
      </c>
      <c r="F218" s="365">
        <f t="shared" si="166"/>
        <v>881.79</v>
      </c>
      <c r="G218" s="365">
        <v>650.24</v>
      </c>
      <c r="H218" s="365">
        <v>1.45</v>
      </c>
      <c r="I218" s="365">
        <v>202.26</v>
      </c>
      <c r="J218" s="365">
        <v>27.84</v>
      </c>
      <c r="K218" s="365"/>
      <c r="L218" s="365">
        <f t="shared" si="167"/>
        <v>157.58</v>
      </c>
      <c r="M218" s="365">
        <v>121.35</v>
      </c>
      <c r="N218" s="365">
        <v>32.02</v>
      </c>
      <c r="O218" s="365"/>
      <c r="P218" s="365"/>
      <c r="Q218" s="365"/>
      <c r="R218" s="374">
        <v>4.21</v>
      </c>
      <c r="S218" s="365"/>
      <c r="T218" s="366">
        <f t="shared" si="186"/>
        <v>491.0316</v>
      </c>
      <c r="U218" s="366">
        <f t="shared" si="187"/>
        <v>83.53</v>
      </c>
      <c r="V218" s="366">
        <v>82.79</v>
      </c>
      <c r="W218" s="366"/>
      <c r="X218" s="366"/>
      <c r="Y218" s="366">
        <v>0.74</v>
      </c>
      <c r="Z218" s="366"/>
      <c r="AA218" s="365">
        <f t="shared" si="168"/>
        <v>407.5016</v>
      </c>
      <c r="AB218" s="365">
        <v>1.09</v>
      </c>
      <c r="AC218" s="365">
        <v>1.09</v>
      </c>
      <c r="AD218" s="365"/>
      <c r="AE218" s="365"/>
      <c r="AF218" s="365"/>
      <c r="AG218" s="365">
        <v>3.6</v>
      </c>
      <c r="AH218" s="365"/>
      <c r="AI218" s="365">
        <v>161.72</v>
      </c>
      <c r="AJ218" s="365">
        <v>168</v>
      </c>
      <c r="AK218" s="365">
        <v>72.0016</v>
      </c>
      <c r="AL218" s="366">
        <f t="shared" si="169"/>
        <v>1530.4016</v>
      </c>
      <c r="AM218" s="365">
        <f t="shared" si="170"/>
        <v>965.32</v>
      </c>
      <c r="AN218" s="365">
        <f t="shared" si="171"/>
        <v>733.03</v>
      </c>
      <c r="AO218" s="365">
        <f t="shared" si="172"/>
        <v>1.45</v>
      </c>
      <c r="AP218" s="365">
        <f t="shared" si="173"/>
        <v>202.26</v>
      </c>
      <c r="AQ218" s="365">
        <f t="shared" si="174"/>
        <v>28.58</v>
      </c>
      <c r="AR218" s="365">
        <f t="shared" si="175"/>
        <v>0</v>
      </c>
      <c r="AS218" s="365">
        <f t="shared" si="188"/>
        <v>565.0816</v>
      </c>
      <c r="AT218" s="365">
        <f t="shared" si="176"/>
        <v>122.44</v>
      </c>
      <c r="AU218" s="365">
        <f t="shared" si="177"/>
        <v>33.11</v>
      </c>
      <c r="AV218" s="365">
        <f t="shared" si="178"/>
        <v>0</v>
      </c>
      <c r="AW218" s="365">
        <f t="shared" si="179"/>
        <v>0</v>
      </c>
      <c r="AX218" s="365">
        <f t="shared" si="180"/>
        <v>0</v>
      </c>
      <c r="AY218" s="365">
        <f t="shared" si="181"/>
        <v>7.81</v>
      </c>
      <c r="AZ218" s="365">
        <f t="shared" si="182"/>
        <v>0</v>
      </c>
      <c r="BA218" s="365">
        <f t="shared" si="183"/>
        <v>161.72</v>
      </c>
      <c r="BB218" s="365">
        <f t="shared" si="184"/>
        <v>168</v>
      </c>
      <c r="BC218" s="365">
        <f t="shared" si="185"/>
        <v>72.0016</v>
      </c>
      <c r="BD218" s="363" t="s">
        <v>836</v>
      </c>
      <c r="BE218">
        <v>72.0016</v>
      </c>
    </row>
    <row r="219" ht="24" spans="1:57">
      <c r="A219" s="284" t="s">
        <v>195</v>
      </c>
      <c r="B219" s="284" t="s">
        <v>442</v>
      </c>
      <c r="C219" s="284" t="s">
        <v>466</v>
      </c>
      <c r="D219" s="284" t="s">
        <v>454</v>
      </c>
      <c r="E219" s="365">
        <f t="shared" si="165"/>
        <v>545.85</v>
      </c>
      <c r="F219" s="365">
        <f t="shared" si="166"/>
        <v>475.96</v>
      </c>
      <c r="G219" s="365">
        <v>350.35</v>
      </c>
      <c r="H219" s="365">
        <v>0.72</v>
      </c>
      <c r="I219" s="365">
        <v>109.29</v>
      </c>
      <c r="J219" s="365">
        <v>15.6</v>
      </c>
      <c r="K219" s="365"/>
      <c r="L219" s="365">
        <f t="shared" si="167"/>
        <v>69.89</v>
      </c>
      <c r="M219" s="365">
        <v>65.57</v>
      </c>
      <c r="N219" s="365">
        <v>4.32</v>
      </c>
      <c r="O219" s="365"/>
      <c r="P219" s="365"/>
      <c r="Q219" s="365"/>
      <c r="R219" s="365"/>
      <c r="S219" s="365"/>
      <c r="T219" s="366">
        <f t="shared" si="186"/>
        <v>264.2</v>
      </c>
      <c r="U219" s="366">
        <f t="shared" si="187"/>
        <v>41.18</v>
      </c>
      <c r="V219" s="366">
        <v>57.62</v>
      </c>
      <c r="W219" s="366"/>
      <c r="X219" s="366"/>
      <c r="Y219" s="366">
        <v>-16.44</v>
      </c>
      <c r="Z219" s="366"/>
      <c r="AA219" s="365">
        <f t="shared" si="168"/>
        <v>223.02</v>
      </c>
      <c r="AB219" s="365">
        <v>2.76</v>
      </c>
      <c r="AC219" s="365">
        <v>-3.51</v>
      </c>
      <c r="AD219" s="365"/>
      <c r="AE219" s="365"/>
      <c r="AF219" s="365"/>
      <c r="AG219" s="365">
        <v>1.95</v>
      </c>
      <c r="AH219" s="365"/>
      <c r="AI219" s="365">
        <v>103.46</v>
      </c>
      <c r="AJ219" s="365">
        <v>83</v>
      </c>
      <c r="AK219" s="365">
        <v>35.36</v>
      </c>
      <c r="AL219" s="366">
        <f t="shared" si="169"/>
        <v>810.05</v>
      </c>
      <c r="AM219" s="365">
        <f t="shared" si="170"/>
        <v>517.14</v>
      </c>
      <c r="AN219" s="365">
        <f t="shared" si="171"/>
        <v>407.97</v>
      </c>
      <c r="AO219" s="365">
        <f t="shared" si="172"/>
        <v>0.72</v>
      </c>
      <c r="AP219" s="365">
        <f t="shared" si="173"/>
        <v>109.29</v>
      </c>
      <c r="AQ219" s="365">
        <f t="shared" si="174"/>
        <v>-0.840000000000002</v>
      </c>
      <c r="AR219" s="365">
        <f t="shared" si="175"/>
        <v>0</v>
      </c>
      <c r="AS219" s="365">
        <f t="shared" si="188"/>
        <v>292.91</v>
      </c>
      <c r="AT219" s="365">
        <f t="shared" si="176"/>
        <v>68.33</v>
      </c>
      <c r="AU219" s="365">
        <f t="shared" si="177"/>
        <v>0.81</v>
      </c>
      <c r="AV219" s="365">
        <f t="shared" si="178"/>
        <v>0</v>
      </c>
      <c r="AW219" s="365">
        <f t="shared" si="179"/>
        <v>0</v>
      </c>
      <c r="AX219" s="365">
        <f t="shared" si="180"/>
        <v>0</v>
      </c>
      <c r="AY219" s="365">
        <f t="shared" si="181"/>
        <v>1.95</v>
      </c>
      <c r="AZ219" s="365">
        <f t="shared" si="182"/>
        <v>0</v>
      </c>
      <c r="BA219" s="365">
        <f t="shared" si="183"/>
        <v>103.46</v>
      </c>
      <c r="BB219" s="365">
        <f t="shared" si="184"/>
        <v>83</v>
      </c>
      <c r="BC219" s="365">
        <f t="shared" si="185"/>
        <v>35.36</v>
      </c>
      <c r="BD219" s="363" t="s">
        <v>837</v>
      </c>
      <c r="BE219">
        <v>35.36</v>
      </c>
    </row>
    <row r="220" ht="24" spans="1:57">
      <c r="A220" s="284" t="s">
        <v>195</v>
      </c>
      <c r="B220" s="284" t="s">
        <v>442</v>
      </c>
      <c r="C220" s="284" t="s">
        <v>467</v>
      </c>
      <c r="D220" s="284" t="s">
        <v>454</v>
      </c>
      <c r="E220" s="365">
        <f t="shared" si="165"/>
        <v>610.7</v>
      </c>
      <c r="F220" s="365">
        <f t="shared" si="166"/>
        <v>536.73</v>
      </c>
      <c r="G220" s="365">
        <v>395.36</v>
      </c>
      <c r="H220" s="365">
        <v>0.81</v>
      </c>
      <c r="I220" s="365">
        <v>123.28</v>
      </c>
      <c r="J220" s="365">
        <v>17.28</v>
      </c>
      <c r="K220" s="365"/>
      <c r="L220" s="365">
        <f t="shared" si="167"/>
        <v>73.97</v>
      </c>
      <c r="M220" s="365">
        <v>73.97</v>
      </c>
      <c r="N220" s="365"/>
      <c r="O220" s="365"/>
      <c r="P220" s="365"/>
      <c r="Q220" s="365"/>
      <c r="R220" s="365"/>
      <c r="S220" s="365"/>
      <c r="T220" s="366">
        <f t="shared" si="186"/>
        <v>348.51</v>
      </c>
      <c r="U220" s="366">
        <f t="shared" si="187"/>
        <v>94.42</v>
      </c>
      <c r="V220" s="366">
        <v>111.7</v>
      </c>
      <c r="W220" s="366"/>
      <c r="X220" s="366"/>
      <c r="Y220" s="366">
        <v>-17.28</v>
      </c>
      <c r="Z220" s="366"/>
      <c r="AA220" s="365">
        <f t="shared" si="168"/>
        <v>254.09</v>
      </c>
      <c r="AB220" s="365">
        <v>8.62</v>
      </c>
      <c r="AC220" s="365"/>
      <c r="AD220" s="365"/>
      <c r="AE220" s="365"/>
      <c r="AF220" s="365"/>
      <c r="AG220" s="365">
        <v>2.1</v>
      </c>
      <c r="AH220" s="365"/>
      <c r="AI220" s="365">
        <v>107.84</v>
      </c>
      <c r="AJ220" s="365">
        <v>94</v>
      </c>
      <c r="AK220" s="365">
        <v>41.53</v>
      </c>
      <c r="AL220" s="366">
        <f t="shared" si="169"/>
        <v>959.21</v>
      </c>
      <c r="AM220" s="365">
        <f t="shared" si="170"/>
        <v>631.15</v>
      </c>
      <c r="AN220" s="365">
        <f t="shared" si="171"/>
        <v>507.06</v>
      </c>
      <c r="AO220" s="365">
        <f t="shared" si="172"/>
        <v>0.81</v>
      </c>
      <c r="AP220" s="365">
        <f t="shared" si="173"/>
        <v>123.28</v>
      </c>
      <c r="AQ220" s="365">
        <f t="shared" si="174"/>
        <v>0</v>
      </c>
      <c r="AR220" s="365">
        <f t="shared" si="175"/>
        <v>0</v>
      </c>
      <c r="AS220" s="365">
        <f t="shared" si="188"/>
        <v>328.06</v>
      </c>
      <c r="AT220" s="365">
        <f t="shared" si="176"/>
        <v>82.59</v>
      </c>
      <c r="AU220" s="365">
        <f t="shared" si="177"/>
        <v>0</v>
      </c>
      <c r="AV220" s="365">
        <f t="shared" si="178"/>
        <v>0</v>
      </c>
      <c r="AW220" s="365">
        <f t="shared" si="179"/>
        <v>0</v>
      </c>
      <c r="AX220" s="365">
        <f t="shared" si="180"/>
        <v>0</v>
      </c>
      <c r="AY220" s="365">
        <f t="shared" si="181"/>
        <v>2.1</v>
      </c>
      <c r="AZ220" s="365">
        <f t="shared" si="182"/>
        <v>0</v>
      </c>
      <c r="BA220" s="365">
        <f t="shared" si="183"/>
        <v>107.84</v>
      </c>
      <c r="BB220" s="365">
        <f t="shared" si="184"/>
        <v>94</v>
      </c>
      <c r="BC220" s="365">
        <f t="shared" si="185"/>
        <v>41.53</v>
      </c>
      <c r="BD220" s="363" t="s">
        <v>838</v>
      </c>
      <c r="BE220">
        <v>41.53</v>
      </c>
    </row>
    <row r="221" ht="48" spans="1:57">
      <c r="A221" s="284" t="s">
        <v>195</v>
      </c>
      <c r="B221" s="284" t="s">
        <v>442</v>
      </c>
      <c r="C221" s="284" t="s">
        <v>468</v>
      </c>
      <c r="D221" s="284" t="s">
        <v>444</v>
      </c>
      <c r="E221" s="365">
        <f t="shared" si="165"/>
        <v>701.75</v>
      </c>
      <c r="F221" s="365">
        <f t="shared" si="166"/>
        <v>587.63</v>
      </c>
      <c r="G221" s="365">
        <v>395.7</v>
      </c>
      <c r="H221" s="365">
        <v>31.4</v>
      </c>
      <c r="I221" s="365">
        <v>129.81</v>
      </c>
      <c r="J221" s="365">
        <v>30.72</v>
      </c>
      <c r="K221" s="365"/>
      <c r="L221" s="365">
        <f t="shared" si="167"/>
        <v>114.12</v>
      </c>
      <c r="M221" s="365">
        <v>77.88</v>
      </c>
      <c r="N221" s="365">
        <v>36.24</v>
      </c>
      <c r="O221" s="365"/>
      <c r="P221" s="365"/>
      <c r="Q221" s="365"/>
      <c r="R221" s="365"/>
      <c r="S221" s="365"/>
      <c r="T221" s="366">
        <f t="shared" si="186"/>
        <v>353.033</v>
      </c>
      <c r="U221" s="366">
        <f t="shared" si="187"/>
        <v>29.58</v>
      </c>
      <c r="V221" s="366">
        <v>-3.3</v>
      </c>
      <c r="W221" s="371"/>
      <c r="X221" s="366"/>
      <c r="Y221" s="371">
        <v>32.88</v>
      </c>
      <c r="Z221" s="366"/>
      <c r="AA221" s="365">
        <f t="shared" si="168"/>
        <v>323.453</v>
      </c>
      <c r="AB221" s="365">
        <v>3.89</v>
      </c>
      <c r="AC221" s="365">
        <v>0.42</v>
      </c>
      <c r="AD221" s="365"/>
      <c r="AE221" s="365"/>
      <c r="AF221" s="365"/>
      <c r="AG221" s="365">
        <v>11.39</v>
      </c>
      <c r="AH221" s="365"/>
      <c r="AI221" s="365">
        <v>157.8</v>
      </c>
      <c r="AJ221" s="365">
        <v>96</v>
      </c>
      <c r="AK221" s="365">
        <v>53.953</v>
      </c>
      <c r="AL221" s="366">
        <f t="shared" si="169"/>
        <v>1054.783</v>
      </c>
      <c r="AM221" s="365">
        <f t="shared" si="170"/>
        <v>617.21</v>
      </c>
      <c r="AN221" s="365">
        <f t="shared" si="171"/>
        <v>392.4</v>
      </c>
      <c r="AO221" s="365">
        <f t="shared" si="172"/>
        <v>31.4</v>
      </c>
      <c r="AP221" s="365">
        <f t="shared" si="173"/>
        <v>129.81</v>
      </c>
      <c r="AQ221" s="365">
        <f t="shared" si="174"/>
        <v>63.6</v>
      </c>
      <c r="AR221" s="365">
        <f t="shared" si="175"/>
        <v>0</v>
      </c>
      <c r="AS221" s="365">
        <f t="shared" si="188"/>
        <v>437.573</v>
      </c>
      <c r="AT221" s="365">
        <f t="shared" si="176"/>
        <v>81.77</v>
      </c>
      <c r="AU221" s="365">
        <f t="shared" si="177"/>
        <v>36.66</v>
      </c>
      <c r="AV221" s="365">
        <f t="shared" si="178"/>
        <v>0</v>
      </c>
      <c r="AW221" s="365">
        <f t="shared" si="179"/>
        <v>0</v>
      </c>
      <c r="AX221" s="365">
        <f t="shared" si="180"/>
        <v>0</v>
      </c>
      <c r="AY221" s="365">
        <f t="shared" si="181"/>
        <v>11.39</v>
      </c>
      <c r="AZ221" s="365">
        <f t="shared" si="182"/>
        <v>0</v>
      </c>
      <c r="BA221" s="365">
        <f t="shared" si="183"/>
        <v>157.8</v>
      </c>
      <c r="BB221" s="365">
        <f t="shared" si="184"/>
        <v>96</v>
      </c>
      <c r="BC221" s="365">
        <f t="shared" si="185"/>
        <v>53.953</v>
      </c>
      <c r="BD221" s="363" t="s">
        <v>839</v>
      </c>
      <c r="BE221">
        <v>53.953</v>
      </c>
    </row>
    <row r="222" ht="24" spans="1:57">
      <c r="A222" s="284" t="s">
        <v>195</v>
      </c>
      <c r="B222" s="284" t="s">
        <v>442</v>
      </c>
      <c r="C222" s="284" t="s">
        <v>469</v>
      </c>
      <c r="D222" s="284" t="s">
        <v>454</v>
      </c>
      <c r="E222" s="365">
        <f t="shared" si="165"/>
        <v>474.76</v>
      </c>
      <c r="F222" s="365">
        <f t="shared" si="166"/>
        <v>401.15</v>
      </c>
      <c r="G222" s="365">
        <v>290.36</v>
      </c>
      <c r="H222" s="365">
        <v>0.59</v>
      </c>
      <c r="I222" s="365">
        <v>91.48</v>
      </c>
      <c r="J222" s="365">
        <v>18.72</v>
      </c>
      <c r="K222" s="365"/>
      <c r="L222" s="365">
        <f t="shared" si="167"/>
        <v>73.61</v>
      </c>
      <c r="M222" s="365">
        <v>54.89</v>
      </c>
      <c r="N222" s="365">
        <v>18.72</v>
      </c>
      <c r="O222" s="365"/>
      <c r="P222" s="365"/>
      <c r="Q222" s="365"/>
      <c r="R222" s="365"/>
      <c r="S222" s="365"/>
      <c r="T222" s="366">
        <f t="shared" si="186"/>
        <v>288.16</v>
      </c>
      <c r="U222" s="366">
        <f t="shared" si="187"/>
        <v>70.97</v>
      </c>
      <c r="V222" s="366">
        <v>69.13</v>
      </c>
      <c r="W222" s="366"/>
      <c r="X222" s="366"/>
      <c r="Y222" s="366">
        <v>1.84</v>
      </c>
      <c r="Z222" s="366"/>
      <c r="AA222" s="365">
        <f t="shared" si="168"/>
        <v>217.19</v>
      </c>
      <c r="AB222" s="365">
        <v>4.36</v>
      </c>
      <c r="AC222" s="365">
        <v>1.88</v>
      </c>
      <c r="AD222" s="365"/>
      <c r="AE222" s="365"/>
      <c r="AF222" s="365"/>
      <c r="AG222" s="365">
        <v>1.65</v>
      </c>
      <c r="AH222" s="365"/>
      <c r="AI222" s="365">
        <v>76.26</v>
      </c>
      <c r="AJ222" s="365">
        <v>73</v>
      </c>
      <c r="AK222" s="365">
        <v>60.04</v>
      </c>
      <c r="AL222" s="366">
        <f t="shared" si="169"/>
        <v>762.92</v>
      </c>
      <c r="AM222" s="365">
        <f t="shared" si="170"/>
        <v>472.12</v>
      </c>
      <c r="AN222" s="365">
        <f t="shared" si="171"/>
        <v>359.49</v>
      </c>
      <c r="AO222" s="365">
        <f t="shared" si="172"/>
        <v>0.59</v>
      </c>
      <c r="AP222" s="365">
        <f t="shared" si="173"/>
        <v>91.48</v>
      </c>
      <c r="AQ222" s="365">
        <f t="shared" si="174"/>
        <v>20.56</v>
      </c>
      <c r="AR222" s="365">
        <f t="shared" si="175"/>
        <v>0</v>
      </c>
      <c r="AS222" s="365">
        <f t="shared" si="188"/>
        <v>290.8</v>
      </c>
      <c r="AT222" s="365">
        <f t="shared" si="176"/>
        <v>59.25</v>
      </c>
      <c r="AU222" s="365">
        <f t="shared" si="177"/>
        <v>20.6</v>
      </c>
      <c r="AV222" s="365">
        <f t="shared" si="178"/>
        <v>0</v>
      </c>
      <c r="AW222" s="365">
        <f t="shared" si="179"/>
        <v>0</v>
      </c>
      <c r="AX222" s="365">
        <f t="shared" si="180"/>
        <v>0</v>
      </c>
      <c r="AY222" s="365">
        <f t="shared" si="181"/>
        <v>1.65</v>
      </c>
      <c r="AZ222" s="365">
        <f t="shared" si="182"/>
        <v>0</v>
      </c>
      <c r="BA222" s="365">
        <f t="shared" si="183"/>
        <v>76.26</v>
      </c>
      <c r="BB222" s="365">
        <f t="shared" si="184"/>
        <v>73</v>
      </c>
      <c r="BC222" s="365">
        <f t="shared" si="185"/>
        <v>60.04</v>
      </c>
      <c r="BD222" s="363" t="s">
        <v>840</v>
      </c>
      <c r="BE222">
        <v>60.04</v>
      </c>
    </row>
    <row r="223" ht="24" spans="1:57">
      <c r="A223" s="284" t="s">
        <v>195</v>
      </c>
      <c r="B223" s="284" t="s">
        <v>442</v>
      </c>
      <c r="C223" s="284" t="s">
        <v>470</v>
      </c>
      <c r="D223" s="284" t="s">
        <v>454</v>
      </c>
      <c r="E223" s="365">
        <f t="shared" si="165"/>
        <v>539.72</v>
      </c>
      <c r="F223" s="365">
        <f t="shared" si="166"/>
        <v>470.77</v>
      </c>
      <c r="G223" s="365">
        <v>264.36</v>
      </c>
      <c r="H223" s="365">
        <v>103.49</v>
      </c>
      <c r="I223" s="365">
        <v>84.92</v>
      </c>
      <c r="J223" s="365">
        <v>18</v>
      </c>
      <c r="K223" s="365"/>
      <c r="L223" s="365">
        <f t="shared" si="167"/>
        <v>68.95</v>
      </c>
      <c r="M223" s="365">
        <v>50.95</v>
      </c>
      <c r="N223" s="365">
        <v>18</v>
      </c>
      <c r="O223" s="365"/>
      <c r="P223" s="365"/>
      <c r="Q223" s="365"/>
      <c r="R223" s="365"/>
      <c r="S223" s="365"/>
      <c r="T223" s="366">
        <f t="shared" si="186"/>
        <v>63.22</v>
      </c>
      <c r="U223" s="366">
        <f t="shared" si="187"/>
        <v>-97.95</v>
      </c>
      <c r="V223" s="366">
        <v>-96.15</v>
      </c>
      <c r="W223" s="366"/>
      <c r="X223" s="366"/>
      <c r="Y223" s="366">
        <v>-1.8</v>
      </c>
      <c r="Z223" s="366"/>
      <c r="AA223" s="365">
        <f t="shared" si="168"/>
        <v>161.17</v>
      </c>
      <c r="AB223" s="365">
        <v>-4.13</v>
      </c>
      <c r="AC223" s="365">
        <v>-1.87</v>
      </c>
      <c r="AD223" s="365"/>
      <c r="AE223" s="365"/>
      <c r="AF223" s="365"/>
      <c r="AG223" s="365">
        <v>1.5</v>
      </c>
      <c r="AH223" s="365"/>
      <c r="AI223" s="365">
        <v>60.74</v>
      </c>
      <c r="AJ223" s="365">
        <v>77</v>
      </c>
      <c r="AK223" s="365">
        <v>27.93</v>
      </c>
      <c r="AL223" s="366">
        <f t="shared" si="169"/>
        <v>602.94</v>
      </c>
      <c r="AM223" s="365">
        <f t="shared" si="170"/>
        <v>372.82</v>
      </c>
      <c r="AN223" s="365">
        <f t="shared" si="171"/>
        <v>168.21</v>
      </c>
      <c r="AO223" s="365">
        <f t="shared" si="172"/>
        <v>103.49</v>
      </c>
      <c r="AP223" s="365">
        <f t="shared" si="173"/>
        <v>84.92</v>
      </c>
      <c r="AQ223" s="365">
        <f t="shared" si="174"/>
        <v>16.2</v>
      </c>
      <c r="AR223" s="365">
        <f t="shared" si="175"/>
        <v>0</v>
      </c>
      <c r="AS223" s="365">
        <f t="shared" si="188"/>
        <v>230.12</v>
      </c>
      <c r="AT223" s="365">
        <f t="shared" si="176"/>
        <v>46.82</v>
      </c>
      <c r="AU223" s="365">
        <f t="shared" si="177"/>
        <v>16.13</v>
      </c>
      <c r="AV223" s="365">
        <f t="shared" si="178"/>
        <v>0</v>
      </c>
      <c r="AW223" s="365">
        <f t="shared" si="179"/>
        <v>0</v>
      </c>
      <c r="AX223" s="365">
        <f t="shared" si="180"/>
        <v>0</v>
      </c>
      <c r="AY223" s="365">
        <f t="shared" si="181"/>
        <v>1.5</v>
      </c>
      <c r="AZ223" s="365">
        <f t="shared" si="182"/>
        <v>0</v>
      </c>
      <c r="BA223" s="365">
        <f t="shared" si="183"/>
        <v>60.74</v>
      </c>
      <c r="BB223" s="365">
        <f t="shared" si="184"/>
        <v>77</v>
      </c>
      <c r="BC223" s="365">
        <f t="shared" si="185"/>
        <v>27.93</v>
      </c>
      <c r="BD223" s="363" t="s">
        <v>841</v>
      </c>
      <c r="BE223">
        <v>27.93</v>
      </c>
    </row>
    <row r="224" ht="24" spans="1:57">
      <c r="A224" s="284" t="s">
        <v>195</v>
      </c>
      <c r="B224" s="284" t="s">
        <v>442</v>
      </c>
      <c r="C224" s="284" t="s">
        <v>471</v>
      </c>
      <c r="D224" s="284" t="s">
        <v>444</v>
      </c>
      <c r="E224" s="365">
        <f t="shared" si="165"/>
        <v>568.6</v>
      </c>
      <c r="F224" s="365">
        <f t="shared" si="166"/>
        <v>475.06</v>
      </c>
      <c r="G224" s="365">
        <v>345.63</v>
      </c>
      <c r="H224" s="365">
        <v>0.63</v>
      </c>
      <c r="I224" s="365">
        <v>104.8</v>
      </c>
      <c r="J224" s="365">
        <v>24</v>
      </c>
      <c r="K224" s="365"/>
      <c r="L224" s="365">
        <f t="shared" si="167"/>
        <v>93.54</v>
      </c>
      <c r="M224" s="365">
        <v>62.88</v>
      </c>
      <c r="N224" s="365">
        <v>30.66</v>
      </c>
      <c r="O224" s="365"/>
      <c r="P224" s="365"/>
      <c r="Q224" s="365"/>
      <c r="R224" s="365"/>
      <c r="S224" s="365"/>
      <c r="T224" s="366">
        <f t="shared" si="186"/>
        <v>279.1946</v>
      </c>
      <c r="U224" s="366">
        <f t="shared" si="187"/>
        <v>27.12</v>
      </c>
      <c r="V224" s="366">
        <v>28.21</v>
      </c>
      <c r="W224" s="366"/>
      <c r="X224" s="366"/>
      <c r="Y224" s="366">
        <v>-1.09</v>
      </c>
      <c r="Z224" s="366"/>
      <c r="AA224" s="365">
        <f t="shared" si="168"/>
        <v>252.0746</v>
      </c>
      <c r="AB224" s="365">
        <v>-0.16</v>
      </c>
      <c r="AC224" s="365">
        <v>-1.13</v>
      </c>
      <c r="AD224" s="365"/>
      <c r="AE224" s="365"/>
      <c r="AF224" s="365"/>
      <c r="AG224" s="365">
        <v>11.95</v>
      </c>
      <c r="AH224" s="365"/>
      <c r="AI224" s="365">
        <v>88.2</v>
      </c>
      <c r="AJ224" s="365">
        <v>98</v>
      </c>
      <c r="AK224" s="365">
        <v>55.2146</v>
      </c>
      <c r="AL224" s="366">
        <f t="shared" si="169"/>
        <v>847.7946</v>
      </c>
      <c r="AM224" s="365">
        <f t="shared" si="170"/>
        <v>502.18</v>
      </c>
      <c r="AN224" s="365">
        <f t="shared" si="171"/>
        <v>373.84</v>
      </c>
      <c r="AO224" s="365">
        <f t="shared" si="172"/>
        <v>0.63</v>
      </c>
      <c r="AP224" s="365">
        <f t="shared" si="173"/>
        <v>104.8</v>
      </c>
      <c r="AQ224" s="365">
        <f t="shared" si="174"/>
        <v>22.91</v>
      </c>
      <c r="AR224" s="365">
        <f t="shared" si="175"/>
        <v>0</v>
      </c>
      <c r="AS224" s="365">
        <f t="shared" si="188"/>
        <v>345.6146</v>
      </c>
      <c r="AT224" s="365">
        <f t="shared" si="176"/>
        <v>62.72</v>
      </c>
      <c r="AU224" s="365">
        <f t="shared" si="177"/>
        <v>29.53</v>
      </c>
      <c r="AV224" s="365">
        <f t="shared" si="178"/>
        <v>0</v>
      </c>
      <c r="AW224" s="365">
        <f t="shared" si="179"/>
        <v>0</v>
      </c>
      <c r="AX224" s="365">
        <f t="shared" si="180"/>
        <v>0</v>
      </c>
      <c r="AY224" s="365">
        <f t="shared" si="181"/>
        <v>11.95</v>
      </c>
      <c r="AZ224" s="365">
        <f t="shared" si="182"/>
        <v>0</v>
      </c>
      <c r="BA224" s="365">
        <f t="shared" si="183"/>
        <v>88.2</v>
      </c>
      <c r="BB224" s="365">
        <f t="shared" si="184"/>
        <v>98</v>
      </c>
      <c r="BC224" s="365">
        <f t="shared" si="185"/>
        <v>55.2146</v>
      </c>
      <c r="BD224" s="363" t="s">
        <v>842</v>
      </c>
      <c r="BE224">
        <v>55.2146</v>
      </c>
    </row>
    <row r="225" ht="24" spans="1:57">
      <c r="A225" s="284" t="s">
        <v>195</v>
      </c>
      <c r="B225" s="284" t="s">
        <v>442</v>
      </c>
      <c r="C225" s="284" t="s">
        <v>472</v>
      </c>
      <c r="D225" s="284" t="s">
        <v>444</v>
      </c>
      <c r="E225" s="365">
        <f t="shared" si="165"/>
        <v>882.55</v>
      </c>
      <c r="F225" s="365">
        <f t="shared" si="166"/>
        <v>774.08</v>
      </c>
      <c r="G225" s="365">
        <v>564.57</v>
      </c>
      <c r="H225" s="365">
        <v>1.61</v>
      </c>
      <c r="I225" s="365">
        <v>180.78</v>
      </c>
      <c r="J225" s="365">
        <v>27.12</v>
      </c>
      <c r="K225" s="365"/>
      <c r="L225" s="365">
        <f t="shared" si="167"/>
        <v>108.47</v>
      </c>
      <c r="M225" s="365">
        <v>108.47</v>
      </c>
      <c r="N225" s="365"/>
      <c r="O225" s="365"/>
      <c r="P225" s="365"/>
      <c r="Q225" s="365"/>
      <c r="R225" s="365"/>
      <c r="S225" s="365"/>
      <c r="T225" s="366">
        <f t="shared" si="186"/>
        <v>579.1166</v>
      </c>
      <c r="U225" s="366">
        <f t="shared" si="187"/>
        <v>96.09</v>
      </c>
      <c r="V225" s="366">
        <v>95.19</v>
      </c>
      <c r="W225" s="366"/>
      <c r="X225" s="366"/>
      <c r="Y225" s="366">
        <v>0.9</v>
      </c>
      <c r="Z225" s="366"/>
      <c r="AA225" s="365">
        <f t="shared" si="168"/>
        <v>483.0266</v>
      </c>
      <c r="AB225" s="365">
        <v>3.72</v>
      </c>
      <c r="AC225" s="365"/>
      <c r="AD225" s="365"/>
      <c r="AE225" s="365"/>
      <c r="AF225" s="365"/>
      <c r="AG225" s="365">
        <v>4.51</v>
      </c>
      <c r="AH225" s="365"/>
      <c r="AI225" s="365">
        <v>148.18</v>
      </c>
      <c r="AJ225" s="365">
        <v>166</v>
      </c>
      <c r="AK225" s="365">
        <v>160.6166</v>
      </c>
      <c r="AL225" s="366">
        <f t="shared" si="169"/>
        <v>1461.6666</v>
      </c>
      <c r="AM225" s="365">
        <f t="shared" si="170"/>
        <v>870.17</v>
      </c>
      <c r="AN225" s="365">
        <f t="shared" si="171"/>
        <v>659.76</v>
      </c>
      <c r="AO225" s="365">
        <f t="shared" si="172"/>
        <v>1.61</v>
      </c>
      <c r="AP225" s="365">
        <f t="shared" si="173"/>
        <v>180.78</v>
      </c>
      <c r="AQ225" s="365">
        <f t="shared" si="174"/>
        <v>28.02</v>
      </c>
      <c r="AR225" s="365">
        <f t="shared" si="175"/>
        <v>0</v>
      </c>
      <c r="AS225" s="365">
        <f t="shared" si="188"/>
        <v>591.4966</v>
      </c>
      <c r="AT225" s="365">
        <f t="shared" si="176"/>
        <v>112.19</v>
      </c>
      <c r="AU225" s="365">
        <f t="shared" si="177"/>
        <v>0</v>
      </c>
      <c r="AV225" s="365">
        <f t="shared" si="178"/>
        <v>0</v>
      </c>
      <c r="AW225" s="365">
        <f t="shared" si="179"/>
        <v>0</v>
      </c>
      <c r="AX225" s="365">
        <f t="shared" si="180"/>
        <v>0</v>
      </c>
      <c r="AY225" s="365">
        <f t="shared" si="181"/>
        <v>4.51</v>
      </c>
      <c r="AZ225" s="365">
        <f t="shared" si="182"/>
        <v>0</v>
      </c>
      <c r="BA225" s="365">
        <f t="shared" si="183"/>
        <v>148.18</v>
      </c>
      <c r="BB225" s="365">
        <f t="shared" si="184"/>
        <v>166</v>
      </c>
      <c r="BC225" s="365">
        <f t="shared" si="185"/>
        <v>160.6166</v>
      </c>
      <c r="BD225" s="376" t="s">
        <v>843</v>
      </c>
      <c r="BE225">
        <v>160.6166</v>
      </c>
    </row>
    <row r="226" ht="24" spans="1:57">
      <c r="A226" s="284" t="s">
        <v>195</v>
      </c>
      <c r="B226" s="284" t="s">
        <v>442</v>
      </c>
      <c r="C226" s="284" t="s">
        <v>473</v>
      </c>
      <c r="D226" s="284" t="s">
        <v>444</v>
      </c>
      <c r="E226" s="365">
        <f t="shared" si="165"/>
        <v>828.12</v>
      </c>
      <c r="F226" s="365">
        <f t="shared" si="166"/>
        <v>716.71</v>
      </c>
      <c r="G226" s="365">
        <v>535.98</v>
      </c>
      <c r="H226" s="365">
        <v>1.17</v>
      </c>
      <c r="I226" s="365">
        <v>179.56</v>
      </c>
      <c r="J226" s="365"/>
      <c r="K226" s="365"/>
      <c r="L226" s="365">
        <f t="shared" si="167"/>
        <v>111.41</v>
      </c>
      <c r="M226" s="365">
        <v>107.74</v>
      </c>
      <c r="N226" s="365">
        <v>1.57</v>
      </c>
      <c r="O226" s="365"/>
      <c r="P226" s="365"/>
      <c r="Q226" s="365"/>
      <c r="R226" s="374">
        <v>2.1</v>
      </c>
      <c r="S226" s="365"/>
      <c r="T226" s="366">
        <f t="shared" si="186"/>
        <v>427.25</v>
      </c>
      <c r="U226" s="366">
        <f t="shared" si="187"/>
        <v>46.26</v>
      </c>
      <c r="V226" s="366">
        <v>46.26</v>
      </c>
      <c r="W226" s="366"/>
      <c r="X226" s="366"/>
      <c r="Y226" s="366"/>
      <c r="Z226" s="366"/>
      <c r="AA226" s="365">
        <f t="shared" si="168"/>
        <v>380.99</v>
      </c>
      <c r="AB226" s="365">
        <v>-1.88</v>
      </c>
      <c r="AC226" s="365">
        <v>-0.34</v>
      </c>
      <c r="AD226" s="365"/>
      <c r="AE226" s="365"/>
      <c r="AF226" s="365"/>
      <c r="AG226" s="365">
        <v>3.6</v>
      </c>
      <c r="AH226" s="365"/>
      <c r="AI226" s="365">
        <v>138.81</v>
      </c>
      <c r="AJ226" s="365">
        <v>170</v>
      </c>
      <c r="AK226" s="365">
        <v>70.8</v>
      </c>
      <c r="AL226" s="366">
        <f t="shared" si="169"/>
        <v>1255.37</v>
      </c>
      <c r="AM226" s="365">
        <f t="shared" si="170"/>
        <v>762.97</v>
      </c>
      <c r="AN226" s="365">
        <f t="shared" si="171"/>
        <v>582.24</v>
      </c>
      <c r="AO226" s="365">
        <f t="shared" si="172"/>
        <v>1.17</v>
      </c>
      <c r="AP226" s="365">
        <f t="shared" si="173"/>
        <v>179.56</v>
      </c>
      <c r="AQ226" s="365">
        <f t="shared" si="174"/>
        <v>0</v>
      </c>
      <c r="AR226" s="365">
        <f t="shared" si="175"/>
        <v>0</v>
      </c>
      <c r="AS226" s="365">
        <f t="shared" si="188"/>
        <v>492.4</v>
      </c>
      <c r="AT226" s="365">
        <f t="shared" si="176"/>
        <v>105.86</v>
      </c>
      <c r="AU226" s="365">
        <f t="shared" si="177"/>
        <v>1.23</v>
      </c>
      <c r="AV226" s="365">
        <f t="shared" si="178"/>
        <v>0</v>
      </c>
      <c r="AW226" s="365">
        <f t="shared" si="179"/>
        <v>0</v>
      </c>
      <c r="AX226" s="365">
        <f t="shared" si="180"/>
        <v>0</v>
      </c>
      <c r="AY226" s="365">
        <f t="shared" si="181"/>
        <v>5.7</v>
      </c>
      <c r="AZ226" s="365">
        <f t="shared" si="182"/>
        <v>0</v>
      </c>
      <c r="BA226" s="365">
        <f t="shared" si="183"/>
        <v>138.81</v>
      </c>
      <c r="BB226" s="365">
        <f t="shared" si="184"/>
        <v>170</v>
      </c>
      <c r="BC226" s="365">
        <f t="shared" si="185"/>
        <v>70.8</v>
      </c>
      <c r="BD226" s="363" t="s">
        <v>836</v>
      </c>
      <c r="BE226">
        <v>70.8</v>
      </c>
    </row>
    <row r="227" ht="24" spans="1:57">
      <c r="A227" s="284" t="s">
        <v>195</v>
      </c>
      <c r="B227" s="284" t="s">
        <v>442</v>
      </c>
      <c r="C227" s="284" t="s">
        <v>474</v>
      </c>
      <c r="D227" s="284" t="s">
        <v>454</v>
      </c>
      <c r="E227" s="365">
        <f t="shared" si="165"/>
        <v>321.7</v>
      </c>
      <c r="F227" s="365">
        <f t="shared" si="166"/>
        <v>273.15</v>
      </c>
      <c r="G227" s="365">
        <v>199.97</v>
      </c>
      <c r="H227" s="365">
        <v>0.4</v>
      </c>
      <c r="I227" s="365">
        <v>63.9</v>
      </c>
      <c r="J227" s="365">
        <v>8.88</v>
      </c>
      <c r="K227" s="365"/>
      <c r="L227" s="365">
        <f t="shared" si="167"/>
        <v>48.55</v>
      </c>
      <c r="M227" s="365">
        <v>38.34</v>
      </c>
      <c r="N227" s="365">
        <v>10.21</v>
      </c>
      <c r="O227" s="365"/>
      <c r="P227" s="365"/>
      <c r="Q227" s="365"/>
      <c r="R227" s="365"/>
      <c r="S227" s="365"/>
      <c r="T227" s="366">
        <f t="shared" si="186"/>
        <v>136.1133</v>
      </c>
      <c r="U227" s="366">
        <f t="shared" si="187"/>
        <v>15.19</v>
      </c>
      <c r="V227" s="366">
        <v>15.99</v>
      </c>
      <c r="W227" s="366"/>
      <c r="X227" s="366"/>
      <c r="Y227" s="366">
        <v>-0.8</v>
      </c>
      <c r="Z227" s="366"/>
      <c r="AA227" s="365">
        <f t="shared" si="168"/>
        <v>120.9233</v>
      </c>
      <c r="AB227" s="365">
        <v>-1.15</v>
      </c>
      <c r="AC227" s="365">
        <v>-0.92</v>
      </c>
      <c r="AD227" s="365"/>
      <c r="AE227" s="365"/>
      <c r="AF227" s="365"/>
      <c r="AG227" s="365">
        <v>1.05</v>
      </c>
      <c r="AH227" s="365"/>
      <c r="AI227" s="365">
        <v>47.88</v>
      </c>
      <c r="AJ227" s="365">
        <v>53</v>
      </c>
      <c r="AK227" s="365">
        <v>21.0633</v>
      </c>
      <c r="AL227" s="366">
        <f t="shared" si="169"/>
        <v>457.8133</v>
      </c>
      <c r="AM227" s="365">
        <f t="shared" si="170"/>
        <v>288.34</v>
      </c>
      <c r="AN227" s="365">
        <f t="shared" si="171"/>
        <v>215.96</v>
      </c>
      <c r="AO227" s="365">
        <f t="shared" si="172"/>
        <v>0.4</v>
      </c>
      <c r="AP227" s="365">
        <f t="shared" si="173"/>
        <v>63.9</v>
      </c>
      <c r="AQ227" s="365">
        <f t="shared" si="174"/>
        <v>8.08</v>
      </c>
      <c r="AR227" s="365">
        <f t="shared" si="175"/>
        <v>0</v>
      </c>
      <c r="AS227" s="365">
        <f t="shared" si="188"/>
        <v>169.4733</v>
      </c>
      <c r="AT227" s="365">
        <f t="shared" si="176"/>
        <v>37.19</v>
      </c>
      <c r="AU227" s="365">
        <f t="shared" si="177"/>
        <v>9.29</v>
      </c>
      <c r="AV227" s="365">
        <f t="shared" si="178"/>
        <v>0</v>
      </c>
      <c r="AW227" s="365">
        <f t="shared" si="179"/>
        <v>0</v>
      </c>
      <c r="AX227" s="365">
        <f t="shared" si="180"/>
        <v>0</v>
      </c>
      <c r="AY227" s="365">
        <f t="shared" si="181"/>
        <v>1.05</v>
      </c>
      <c r="AZ227" s="365">
        <f t="shared" si="182"/>
        <v>0</v>
      </c>
      <c r="BA227" s="365">
        <f t="shared" si="183"/>
        <v>47.88</v>
      </c>
      <c r="BB227" s="365">
        <f t="shared" si="184"/>
        <v>53</v>
      </c>
      <c r="BC227" s="365">
        <f t="shared" si="185"/>
        <v>21.0633</v>
      </c>
      <c r="BD227" s="363" t="s">
        <v>844</v>
      </c>
      <c r="BE227">
        <v>21.0633</v>
      </c>
    </row>
    <row r="228" ht="24" spans="1:57">
      <c r="A228" s="284" t="s">
        <v>195</v>
      </c>
      <c r="B228" s="284" t="s">
        <v>442</v>
      </c>
      <c r="C228" s="284" t="s">
        <v>475</v>
      </c>
      <c r="D228" s="284" t="s">
        <v>444</v>
      </c>
      <c r="E228" s="365">
        <f t="shared" si="165"/>
        <v>460.56</v>
      </c>
      <c r="F228" s="365">
        <f t="shared" si="166"/>
        <v>388.18</v>
      </c>
      <c r="G228" s="365">
        <v>283.46</v>
      </c>
      <c r="H228" s="365">
        <v>0.58</v>
      </c>
      <c r="I228" s="365">
        <v>90.22</v>
      </c>
      <c r="J228" s="365">
        <v>13.92</v>
      </c>
      <c r="K228" s="365"/>
      <c r="L228" s="365">
        <f t="shared" si="167"/>
        <v>72.38</v>
      </c>
      <c r="M228" s="365">
        <v>54.13</v>
      </c>
      <c r="N228" s="365">
        <v>18.25</v>
      </c>
      <c r="O228" s="365"/>
      <c r="P228" s="365"/>
      <c r="Q228" s="365"/>
      <c r="R228" s="365"/>
      <c r="S228" s="365"/>
      <c r="T228" s="366">
        <f t="shared" si="186"/>
        <v>215.1966</v>
      </c>
      <c r="U228" s="366">
        <f t="shared" si="187"/>
        <v>18.3</v>
      </c>
      <c r="V228" s="366">
        <v>18.82</v>
      </c>
      <c r="W228" s="366"/>
      <c r="X228" s="366"/>
      <c r="Y228" s="366">
        <v>-0.52</v>
      </c>
      <c r="Z228" s="366"/>
      <c r="AA228" s="365">
        <f t="shared" si="168"/>
        <v>196.8966</v>
      </c>
      <c r="AB228" s="365">
        <v>-1.61</v>
      </c>
      <c r="AC228" s="365">
        <v>-0.9</v>
      </c>
      <c r="AD228" s="365"/>
      <c r="AE228" s="365"/>
      <c r="AF228" s="365"/>
      <c r="AG228" s="365">
        <v>3.15</v>
      </c>
      <c r="AH228" s="365"/>
      <c r="AI228" s="365">
        <v>71.6</v>
      </c>
      <c r="AJ228" s="365">
        <v>86</v>
      </c>
      <c r="AK228" s="365">
        <v>38.6566</v>
      </c>
      <c r="AL228" s="366">
        <f t="shared" si="169"/>
        <v>675.7566</v>
      </c>
      <c r="AM228" s="365">
        <f t="shared" si="170"/>
        <v>406.48</v>
      </c>
      <c r="AN228" s="365">
        <f t="shared" si="171"/>
        <v>302.28</v>
      </c>
      <c r="AO228" s="365">
        <f t="shared" si="172"/>
        <v>0.58</v>
      </c>
      <c r="AP228" s="365">
        <f t="shared" si="173"/>
        <v>90.22</v>
      </c>
      <c r="AQ228" s="365">
        <f t="shared" si="174"/>
        <v>13.4</v>
      </c>
      <c r="AR228" s="365">
        <f t="shared" si="175"/>
        <v>0</v>
      </c>
      <c r="AS228" s="365">
        <f t="shared" si="188"/>
        <v>269.2766</v>
      </c>
      <c r="AT228" s="365">
        <f t="shared" si="176"/>
        <v>52.52</v>
      </c>
      <c r="AU228" s="365">
        <f t="shared" si="177"/>
        <v>17.35</v>
      </c>
      <c r="AV228" s="365">
        <f t="shared" si="178"/>
        <v>0</v>
      </c>
      <c r="AW228" s="365">
        <f t="shared" si="179"/>
        <v>0</v>
      </c>
      <c r="AX228" s="365">
        <f t="shared" si="180"/>
        <v>0</v>
      </c>
      <c r="AY228" s="365">
        <f t="shared" si="181"/>
        <v>3.15</v>
      </c>
      <c r="AZ228" s="365">
        <f t="shared" si="182"/>
        <v>0</v>
      </c>
      <c r="BA228" s="365">
        <f t="shared" si="183"/>
        <v>71.6</v>
      </c>
      <c r="BB228" s="365">
        <f t="shared" si="184"/>
        <v>86</v>
      </c>
      <c r="BC228" s="365">
        <f t="shared" si="185"/>
        <v>38.6566</v>
      </c>
      <c r="BD228" s="363" t="s">
        <v>845</v>
      </c>
      <c r="BE228">
        <v>38.6566</v>
      </c>
    </row>
    <row r="229" ht="48" spans="1:57">
      <c r="A229" s="284" t="s">
        <v>195</v>
      </c>
      <c r="B229" s="284" t="s">
        <v>442</v>
      </c>
      <c r="C229" s="284" t="s">
        <v>476</v>
      </c>
      <c r="D229" s="284" t="s">
        <v>454</v>
      </c>
      <c r="E229" s="365">
        <f t="shared" si="165"/>
        <v>406.92</v>
      </c>
      <c r="F229" s="365">
        <f t="shared" si="166"/>
        <v>344.49</v>
      </c>
      <c r="G229" s="365">
        <v>234.43</v>
      </c>
      <c r="H229" s="365">
        <v>17.05</v>
      </c>
      <c r="I229" s="365">
        <v>76.45</v>
      </c>
      <c r="J229" s="365">
        <v>16.56</v>
      </c>
      <c r="K229" s="365"/>
      <c r="L229" s="365">
        <f t="shared" si="167"/>
        <v>62.43</v>
      </c>
      <c r="M229" s="365">
        <v>45.87</v>
      </c>
      <c r="N229" s="365">
        <v>16.56</v>
      </c>
      <c r="O229" s="365"/>
      <c r="P229" s="365"/>
      <c r="Q229" s="365"/>
      <c r="R229" s="365"/>
      <c r="S229" s="365"/>
      <c r="T229" s="366">
        <f t="shared" si="186"/>
        <v>234.6966</v>
      </c>
      <c r="U229" s="366">
        <f t="shared" si="187"/>
        <v>65.36</v>
      </c>
      <c r="V229" s="366">
        <v>62.83</v>
      </c>
      <c r="W229" s="366"/>
      <c r="X229" s="366"/>
      <c r="Y229" s="366">
        <v>2.53</v>
      </c>
      <c r="Z229" s="366"/>
      <c r="AA229" s="365">
        <f t="shared" si="168"/>
        <v>169.3366</v>
      </c>
      <c r="AB229" s="365">
        <v>6.37</v>
      </c>
      <c r="AC229" s="365">
        <v>2.78</v>
      </c>
      <c r="AD229" s="365"/>
      <c r="AE229" s="365"/>
      <c r="AF229" s="365"/>
      <c r="AG229" s="365">
        <v>3.18</v>
      </c>
      <c r="AH229" s="365"/>
      <c r="AI229" s="365">
        <v>68.34</v>
      </c>
      <c r="AJ229" s="365">
        <v>60</v>
      </c>
      <c r="AK229" s="365">
        <v>28.6666</v>
      </c>
      <c r="AL229" s="366">
        <f t="shared" si="169"/>
        <v>641.6166</v>
      </c>
      <c r="AM229" s="365">
        <f t="shared" si="170"/>
        <v>409.85</v>
      </c>
      <c r="AN229" s="365">
        <f t="shared" si="171"/>
        <v>297.26</v>
      </c>
      <c r="AO229" s="365">
        <f t="shared" si="172"/>
        <v>17.05</v>
      </c>
      <c r="AP229" s="365">
        <f t="shared" si="173"/>
        <v>76.45</v>
      </c>
      <c r="AQ229" s="365">
        <f t="shared" si="174"/>
        <v>19.09</v>
      </c>
      <c r="AR229" s="365">
        <f t="shared" si="175"/>
        <v>0</v>
      </c>
      <c r="AS229" s="365">
        <f t="shared" si="188"/>
        <v>231.7666</v>
      </c>
      <c r="AT229" s="365">
        <f t="shared" si="176"/>
        <v>52.24</v>
      </c>
      <c r="AU229" s="365">
        <f t="shared" si="177"/>
        <v>19.34</v>
      </c>
      <c r="AV229" s="365">
        <f t="shared" si="178"/>
        <v>0</v>
      </c>
      <c r="AW229" s="365">
        <f t="shared" si="179"/>
        <v>0</v>
      </c>
      <c r="AX229" s="365">
        <f t="shared" si="180"/>
        <v>0</v>
      </c>
      <c r="AY229" s="365">
        <f t="shared" si="181"/>
        <v>3.18</v>
      </c>
      <c r="AZ229" s="365">
        <f t="shared" si="182"/>
        <v>0</v>
      </c>
      <c r="BA229" s="365">
        <f t="shared" si="183"/>
        <v>68.34</v>
      </c>
      <c r="BB229" s="365">
        <f t="shared" si="184"/>
        <v>60</v>
      </c>
      <c r="BC229" s="365">
        <f t="shared" si="185"/>
        <v>28.6666</v>
      </c>
      <c r="BD229" s="363" t="s">
        <v>846</v>
      </c>
      <c r="BE229">
        <v>28.6666</v>
      </c>
    </row>
    <row r="230" ht="24" spans="1:57">
      <c r="A230" s="284" t="s">
        <v>195</v>
      </c>
      <c r="B230" s="284" t="s">
        <v>442</v>
      </c>
      <c r="C230" s="284" t="s">
        <v>477</v>
      </c>
      <c r="D230" s="284" t="s">
        <v>444</v>
      </c>
      <c r="E230" s="365">
        <f t="shared" si="165"/>
        <v>633.35</v>
      </c>
      <c r="F230" s="365">
        <f t="shared" si="166"/>
        <v>520.22</v>
      </c>
      <c r="G230" s="365">
        <v>367.02</v>
      </c>
      <c r="H230" s="365">
        <v>0.55</v>
      </c>
      <c r="I230" s="365">
        <v>122.05</v>
      </c>
      <c r="J230" s="365">
        <v>30.6</v>
      </c>
      <c r="K230" s="365"/>
      <c r="L230" s="365">
        <f t="shared" si="167"/>
        <v>113.13</v>
      </c>
      <c r="M230" s="365">
        <v>73.23</v>
      </c>
      <c r="N230" s="365">
        <v>39.9</v>
      </c>
      <c r="O230" s="365"/>
      <c r="P230" s="365"/>
      <c r="Q230" s="365"/>
      <c r="R230" s="365"/>
      <c r="S230" s="365"/>
      <c r="T230" s="366">
        <f t="shared" si="186"/>
        <v>415.7962</v>
      </c>
      <c r="U230" s="366">
        <f t="shared" si="187"/>
        <v>95.91</v>
      </c>
      <c r="V230" s="366">
        <v>93.03</v>
      </c>
      <c r="W230" s="366"/>
      <c r="X230" s="366"/>
      <c r="Y230" s="366">
        <v>2.88</v>
      </c>
      <c r="Z230" s="366"/>
      <c r="AA230" s="365">
        <f t="shared" si="168"/>
        <v>319.8862</v>
      </c>
      <c r="AB230" s="365">
        <v>12.09</v>
      </c>
      <c r="AC230" s="365">
        <v>2.33</v>
      </c>
      <c r="AD230" s="365"/>
      <c r="AE230" s="365"/>
      <c r="AF230" s="365"/>
      <c r="AG230" s="365">
        <v>14.77</v>
      </c>
      <c r="AH230" s="365"/>
      <c r="AI230" s="365">
        <v>113.7</v>
      </c>
      <c r="AJ230" s="365">
        <v>120</v>
      </c>
      <c r="AK230" s="365">
        <v>56.9962</v>
      </c>
      <c r="AL230" s="366">
        <f t="shared" si="169"/>
        <v>1049.1462</v>
      </c>
      <c r="AM230" s="365">
        <f t="shared" si="170"/>
        <v>616.13</v>
      </c>
      <c r="AN230" s="365">
        <f t="shared" si="171"/>
        <v>460.05</v>
      </c>
      <c r="AO230" s="365">
        <f t="shared" si="172"/>
        <v>0.55</v>
      </c>
      <c r="AP230" s="365">
        <f t="shared" si="173"/>
        <v>122.05</v>
      </c>
      <c r="AQ230" s="365">
        <f t="shared" si="174"/>
        <v>33.48</v>
      </c>
      <c r="AR230" s="365">
        <f t="shared" si="175"/>
        <v>0</v>
      </c>
      <c r="AS230" s="365">
        <f t="shared" si="188"/>
        <v>433.0162</v>
      </c>
      <c r="AT230" s="365">
        <f t="shared" si="176"/>
        <v>85.32</v>
      </c>
      <c r="AU230" s="365">
        <f t="shared" si="177"/>
        <v>42.23</v>
      </c>
      <c r="AV230" s="365">
        <f t="shared" si="178"/>
        <v>0</v>
      </c>
      <c r="AW230" s="365">
        <f t="shared" si="179"/>
        <v>0</v>
      </c>
      <c r="AX230" s="365">
        <f t="shared" si="180"/>
        <v>0</v>
      </c>
      <c r="AY230" s="365">
        <f t="shared" si="181"/>
        <v>14.77</v>
      </c>
      <c r="AZ230" s="365">
        <f t="shared" si="182"/>
        <v>0</v>
      </c>
      <c r="BA230" s="365">
        <f t="shared" si="183"/>
        <v>113.7</v>
      </c>
      <c r="BB230" s="365">
        <f t="shared" si="184"/>
        <v>120</v>
      </c>
      <c r="BC230" s="365">
        <f t="shared" si="185"/>
        <v>56.9962</v>
      </c>
      <c r="BD230" s="363" t="s">
        <v>847</v>
      </c>
      <c r="BE230">
        <v>56.9962</v>
      </c>
    </row>
    <row r="231" ht="24" spans="1:57">
      <c r="A231" s="284" t="s">
        <v>195</v>
      </c>
      <c r="B231" s="284" t="s">
        <v>438</v>
      </c>
      <c r="C231" s="284" t="s">
        <v>478</v>
      </c>
      <c r="D231" s="284" t="s">
        <v>479</v>
      </c>
      <c r="E231" s="365">
        <f t="shared" si="165"/>
        <v>415.27</v>
      </c>
      <c r="F231" s="365">
        <f t="shared" si="166"/>
        <v>357.24</v>
      </c>
      <c r="G231" s="365">
        <v>260.08</v>
      </c>
      <c r="H231" s="365">
        <v>0.45</v>
      </c>
      <c r="I231" s="365">
        <v>96.71</v>
      </c>
      <c r="J231" s="365"/>
      <c r="K231" s="365"/>
      <c r="L231" s="365">
        <f t="shared" si="167"/>
        <v>58.03</v>
      </c>
      <c r="M231" s="365">
        <v>58.03</v>
      </c>
      <c r="N231" s="365"/>
      <c r="O231" s="365"/>
      <c r="P231" s="365"/>
      <c r="Q231" s="365"/>
      <c r="R231" s="365"/>
      <c r="S231" s="365"/>
      <c r="T231" s="366">
        <f t="shared" si="186"/>
        <v>247.4766</v>
      </c>
      <c r="U231" s="366">
        <f t="shared" si="187"/>
        <v>31.52</v>
      </c>
      <c r="V231" s="366">
        <v>31.52</v>
      </c>
      <c r="W231" s="366"/>
      <c r="X231" s="366"/>
      <c r="Y231" s="366"/>
      <c r="Z231" s="366"/>
      <c r="AA231" s="365">
        <f t="shared" si="168"/>
        <v>215.9566</v>
      </c>
      <c r="AB231" s="365">
        <v>-0.04</v>
      </c>
      <c r="AC231" s="365">
        <v>0.58</v>
      </c>
      <c r="AD231" s="365"/>
      <c r="AE231" s="365"/>
      <c r="AF231" s="365"/>
      <c r="AG231" s="365">
        <v>3.78</v>
      </c>
      <c r="AH231" s="365"/>
      <c r="AI231" s="365">
        <v>76.86</v>
      </c>
      <c r="AJ231" s="365">
        <v>96</v>
      </c>
      <c r="AK231" s="365">
        <v>38.7766</v>
      </c>
      <c r="AL231" s="366">
        <f t="shared" si="169"/>
        <v>662.7466</v>
      </c>
      <c r="AM231" s="365">
        <f t="shared" si="170"/>
        <v>388.76</v>
      </c>
      <c r="AN231" s="365">
        <f t="shared" si="171"/>
        <v>291.6</v>
      </c>
      <c r="AO231" s="365">
        <f t="shared" si="172"/>
        <v>0.45</v>
      </c>
      <c r="AP231" s="365">
        <f t="shared" si="173"/>
        <v>96.71</v>
      </c>
      <c r="AQ231" s="365">
        <f t="shared" si="174"/>
        <v>0</v>
      </c>
      <c r="AR231" s="365">
        <f t="shared" si="175"/>
        <v>0</v>
      </c>
      <c r="AS231" s="365">
        <f t="shared" si="188"/>
        <v>273.9866</v>
      </c>
      <c r="AT231" s="365">
        <f t="shared" si="176"/>
        <v>57.99</v>
      </c>
      <c r="AU231" s="365">
        <f t="shared" si="177"/>
        <v>0.58</v>
      </c>
      <c r="AV231" s="365">
        <f t="shared" si="178"/>
        <v>0</v>
      </c>
      <c r="AW231" s="365">
        <f t="shared" si="179"/>
        <v>0</v>
      </c>
      <c r="AX231" s="365">
        <f t="shared" si="180"/>
        <v>0</v>
      </c>
      <c r="AY231" s="365">
        <f t="shared" si="181"/>
        <v>3.78</v>
      </c>
      <c r="AZ231" s="365">
        <f t="shared" si="182"/>
        <v>0</v>
      </c>
      <c r="BA231" s="365">
        <f t="shared" si="183"/>
        <v>76.86</v>
      </c>
      <c r="BB231" s="365">
        <f t="shared" si="184"/>
        <v>96</v>
      </c>
      <c r="BC231" s="365">
        <f t="shared" si="185"/>
        <v>38.7766</v>
      </c>
      <c r="BD231" s="363" t="s">
        <v>848</v>
      </c>
      <c r="BE231">
        <v>38.7766</v>
      </c>
    </row>
    <row r="232" ht="24" spans="1:57">
      <c r="A232" s="284" t="s">
        <v>195</v>
      </c>
      <c r="B232" s="284" t="s">
        <v>442</v>
      </c>
      <c r="C232" s="284" t="s">
        <v>480</v>
      </c>
      <c r="D232" s="284" t="s">
        <v>454</v>
      </c>
      <c r="E232" s="365">
        <f t="shared" si="165"/>
        <v>1432.23</v>
      </c>
      <c r="F232" s="365">
        <f t="shared" si="166"/>
        <v>1253.35</v>
      </c>
      <c r="G232" s="365">
        <v>953.28</v>
      </c>
      <c r="H232" s="365">
        <v>1.94</v>
      </c>
      <c r="I232" s="365">
        <v>298.13</v>
      </c>
      <c r="J232" s="365"/>
      <c r="K232" s="365"/>
      <c r="L232" s="365">
        <f t="shared" si="167"/>
        <v>178.88</v>
      </c>
      <c r="M232" s="365">
        <v>178.88</v>
      </c>
      <c r="N232" s="365"/>
      <c r="O232" s="365"/>
      <c r="P232" s="365"/>
      <c r="Q232" s="365"/>
      <c r="R232" s="365"/>
      <c r="S232" s="365"/>
      <c r="T232" s="366">
        <f t="shared" si="186"/>
        <v>703.725</v>
      </c>
      <c r="U232" s="366">
        <f t="shared" si="187"/>
        <v>118.65</v>
      </c>
      <c r="V232" s="366">
        <v>118.65</v>
      </c>
      <c r="W232" s="366"/>
      <c r="X232" s="366"/>
      <c r="Y232" s="366"/>
      <c r="Z232" s="366"/>
      <c r="AA232" s="365">
        <f t="shared" si="168"/>
        <v>585.075</v>
      </c>
      <c r="AB232" s="365">
        <v>2.62</v>
      </c>
      <c r="AC232" s="365">
        <v>0.09</v>
      </c>
      <c r="AD232" s="365"/>
      <c r="AE232" s="365"/>
      <c r="AF232" s="365"/>
      <c r="AG232" s="365">
        <v>4.11</v>
      </c>
      <c r="AH232" s="365"/>
      <c r="AI232" s="365">
        <v>236.97</v>
      </c>
      <c r="AJ232" s="365">
        <v>249</v>
      </c>
      <c r="AK232" s="365">
        <v>92.285</v>
      </c>
      <c r="AL232" s="366">
        <f t="shared" si="169"/>
        <v>2135.955</v>
      </c>
      <c r="AM232" s="365">
        <f t="shared" si="170"/>
        <v>1372</v>
      </c>
      <c r="AN232" s="365">
        <f t="shared" si="171"/>
        <v>1071.93</v>
      </c>
      <c r="AO232" s="365">
        <f t="shared" si="172"/>
        <v>1.94</v>
      </c>
      <c r="AP232" s="365">
        <f t="shared" si="173"/>
        <v>298.13</v>
      </c>
      <c r="AQ232" s="365">
        <f t="shared" si="174"/>
        <v>0</v>
      </c>
      <c r="AR232" s="365">
        <f t="shared" si="175"/>
        <v>0</v>
      </c>
      <c r="AS232" s="365">
        <f t="shared" si="188"/>
        <v>763.955</v>
      </c>
      <c r="AT232" s="365">
        <f t="shared" si="176"/>
        <v>181.5</v>
      </c>
      <c r="AU232" s="365">
        <f t="shared" si="177"/>
        <v>0.09</v>
      </c>
      <c r="AV232" s="365">
        <f t="shared" si="178"/>
        <v>0</v>
      </c>
      <c r="AW232" s="365">
        <f t="shared" si="179"/>
        <v>0</v>
      </c>
      <c r="AX232" s="365">
        <f t="shared" si="180"/>
        <v>0</v>
      </c>
      <c r="AY232" s="365">
        <f t="shared" si="181"/>
        <v>4.11</v>
      </c>
      <c r="AZ232" s="365">
        <f t="shared" si="182"/>
        <v>0</v>
      </c>
      <c r="BA232" s="365">
        <f t="shared" si="183"/>
        <v>236.97</v>
      </c>
      <c r="BB232" s="365">
        <f t="shared" si="184"/>
        <v>249</v>
      </c>
      <c r="BC232" s="365">
        <f t="shared" si="185"/>
        <v>92.285</v>
      </c>
      <c r="BD232" s="363" t="s">
        <v>849</v>
      </c>
      <c r="BE232">
        <v>92.285</v>
      </c>
    </row>
    <row r="233" ht="24" spans="1:57">
      <c r="A233" s="284" t="s">
        <v>195</v>
      </c>
      <c r="B233" s="284" t="s">
        <v>442</v>
      </c>
      <c r="C233" s="284" t="s">
        <v>481</v>
      </c>
      <c r="D233" s="284" t="s">
        <v>444</v>
      </c>
      <c r="E233" s="365">
        <f t="shared" si="165"/>
        <v>405.68</v>
      </c>
      <c r="F233" s="365">
        <f t="shared" si="166"/>
        <v>328.48</v>
      </c>
      <c r="G233" s="365">
        <v>225.99</v>
      </c>
      <c r="H233" s="365">
        <v>0.37</v>
      </c>
      <c r="I233" s="365">
        <v>77.16</v>
      </c>
      <c r="J233" s="365">
        <v>24.96</v>
      </c>
      <c r="K233" s="365"/>
      <c r="L233" s="365">
        <f t="shared" si="167"/>
        <v>77.2</v>
      </c>
      <c r="M233" s="365">
        <v>46.3</v>
      </c>
      <c r="N233" s="365">
        <v>30.4</v>
      </c>
      <c r="O233" s="365"/>
      <c r="P233" s="365"/>
      <c r="Q233" s="365"/>
      <c r="R233" s="374">
        <v>0.5</v>
      </c>
      <c r="S233" s="365"/>
      <c r="T233" s="366">
        <f t="shared" si="186"/>
        <v>203.9581</v>
      </c>
      <c r="U233" s="366">
        <f t="shared" si="187"/>
        <v>21.92</v>
      </c>
      <c r="V233" s="366">
        <v>22.32</v>
      </c>
      <c r="W233" s="366"/>
      <c r="X233" s="366"/>
      <c r="Y233" s="366">
        <v>-0.4</v>
      </c>
      <c r="Z233" s="366"/>
      <c r="AA233" s="365">
        <f t="shared" si="168"/>
        <v>182.0381</v>
      </c>
      <c r="AB233" s="365">
        <v>-0.33</v>
      </c>
      <c r="AC233" s="365">
        <v>-0.76</v>
      </c>
      <c r="AD233" s="365"/>
      <c r="AE233" s="365"/>
      <c r="AF233" s="365"/>
      <c r="AG233" s="365">
        <v>7.69</v>
      </c>
      <c r="AH233" s="365"/>
      <c r="AI233" s="365">
        <v>63.99</v>
      </c>
      <c r="AJ233" s="365">
        <v>79</v>
      </c>
      <c r="AK233" s="365">
        <v>32.4481</v>
      </c>
      <c r="AL233" s="366">
        <f t="shared" si="169"/>
        <v>609.6381</v>
      </c>
      <c r="AM233" s="365">
        <f t="shared" si="170"/>
        <v>350.4</v>
      </c>
      <c r="AN233" s="365">
        <f t="shared" si="171"/>
        <v>248.31</v>
      </c>
      <c r="AO233" s="365">
        <f t="shared" si="172"/>
        <v>0.37</v>
      </c>
      <c r="AP233" s="365">
        <f t="shared" si="173"/>
        <v>77.16</v>
      </c>
      <c r="AQ233" s="365">
        <f t="shared" si="174"/>
        <v>24.56</v>
      </c>
      <c r="AR233" s="365">
        <f t="shared" si="175"/>
        <v>0</v>
      </c>
      <c r="AS233" s="365">
        <f t="shared" si="188"/>
        <v>259.2381</v>
      </c>
      <c r="AT233" s="365">
        <f t="shared" si="176"/>
        <v>45.97</v>
      </c>
      <c r="AU233" s="365">
        <f t="shared" si="177"/>
        <v>29.64</v>
      </c>
      <c r="AV233" s="365">
        <f t="shared" si="178"/>
        <v>0</v>
      </c>
      <c r="AW233" s="365">
        <f t="shared" si="179"/>
        <v>0</v>
      </c>
      <c r="AX233" s="365">
        <f t="shared" si="180"/>
        <v>0</v>
      </c>
      <c r="AY233" s="365">
        <f t="shared" si="181"/>
        <v>8.19</v>
      </c>
      <c r="AZ233" s="365">
        <f t="shared" si="182"/>
        <v>0</v>
      </c>
      <c r="BA233" s="365">
        <f t="shared" si="183"/>
        <v>63.99</v>
      </c>
      <c r="BB233" s="365">
        <f t="shared" si="184"/>
        <v>79</v>
      </c>
      <c r="BC233" s="365">
        <f t="shared" si="185"/>
        <v>32.4481</v>
      </c>
      <c r="BD233" s="363" t="s">
        <v>850</v>
      </c>
      <c r="BE233">
        <v>32.4481</v>
      </c>
    </row>
    <row r="234" ht="24" spans="1:57">
      <c r="A234" s="284" t="s">
        <v>195</v>
      </c>
      <c r="B234" s="284" t="s">
        <v>442</v>
      </c>
      <c r="C234" s="284" t="s">
        <v>482</v>
      </c>
      <c r="D234" s="284" t="s">
        <v>444</v>
      </c>
      <c r="E234" s="365">
        <f t="shared" si="165"/>
        <v>607.21</v>
      </c>
      <c r="F234" s="365">
        <f t="shared" si="166"/>
        <v>502.32</v>
      </c>
      <c r="G234" s="365">
        <v>360.88</v>
      </c>
      <c r="H234" s="365">
        <v>0.66</v>
      </c>
      <c r="I234" s="365">
        <v>114.62</v>
      </c>
      <c r="J234" s="365">
        <v>26.16</v>
      </c>
      <c r="K234" s="365"/>
      <c r="L234" s="365">
        <f t="shared" si="167"/>
        <v>104.89</v>
      </c>
      <c r="M234" s="365">
        <v>68.77</v>
      </c>
      <c r="N234" s="365">
        <v>36.12</v>
      </c>
      <c r="O234" s="365"/>
      <c r="P234" s="365"/>
      <c r="Q234" s="365"/>
      <c r="R234" s="365"/>
      <c r="S234" s="365"/>
      <c r="T234" s="366">
        <f t="shared" si="186"/>
        <v>183.0149</v>
      </c>
      <c r="U234" s="366">
        <f t="shared" si="187"/>
        <v>-45.68</v>
      </c>
      <c r="V234" s="366">
        <v>-41.36</v>
      </c>
      <c r="W234" s="366"/>
      <c r="X234" s="366"/>
      <c r="Y234" s="366">
        <v>-4.32</v>
      </c>
      <c r="Z234" s="366"/>
      <c r="AA234" s="365">
        <f t="shared" si="168"/>
        <v>228.6949</v>
      </c>
      <c r="AB234" s="365">
        <v>-11.24</v>
      </c>
      <c r="AC234" s="365">
        <v>-6.5</v>
      </c>
      <c r="AD234" s="365"/>
      <c r="AE234" s="365"/>
      <c r="AF234" s="365"/>
      <c r="AG234" s="365">
        <v>4.79</v>
      </c>
      <c r="AH234" s="365"/>
      <c r="AI234" s="365">
        <v>78.29</v>
      </c>
      <c r="AJ234" s="365">
        <v>122</v>
      </c>
      <c r="AK234" s="365">
        <v>41.3549</v>
      </c>
      <c r="AL234" s="366">
        <f t="shared" si="169"/>
        <v>790.2249</v>
      </c>
      <c r="AM234" s="365">
        <f t="shared" si="170"/>
        <v>456.64</v>
      </c>
      <c r="AN234" s="365">
        <f t="shared" si="171"/>
        <v>319.52</v>
      </c>
      <c r="AO234" s="365">
        <f t="shared" si="172"/>
        <v>0.66</v>
      </c>
      <c r="AP234" s="365">
        <f t="shared" si="173"/>
        <v>114.62</v>
      </c>
      <c r="AQ234" s="365">
        <f t="shared" si="174"/>
        <v>21.84</v>
      </c>
      <c r="AR234" s="365">
        <f t="shared" si="175"/>
        <v>0</v>
      </c>
      <c r="AS234" s="365">
        <f t="shared" si="188"/>
        <v>333.5849</v>
      </c>
      <c r="AT234" s="365">
        <f t="shared" si="176"/>
        <v>57.53</v>
      </c>
      <c r="AU234" s="365">
        <f t="shared" si="177"/>
        <v>29.62</v>
      </c>
      <c r="AV234" s="365">
        <f t="shared" si="178"/>
        <v>0</v>
      </c>
      <c r="AW234" s="365">
        <f t="shared" si="179"/>
        <v>0</v>
      </c>
      <c r="AX234" s="365">
        <f t="shared" si="180"/>
        <v>0</v>
      </c>
      <c r="AY234" s="365">
        <f t="shared" si="181"/>
        <v>4.79</v>
      </c>
      <c r="AZ234" s="365">
        <f t="shared" si="182"/>
        <v>0</v>
      </c>
      <c r="BA234" s="365">
        <f t="shared" si="183"/>
        <v>78.29</v>
      </c>
      <c r="BB234" s="365">
        <f t="shared" si="184"/>
        <v>122</v>
      </c>
      <c r="BC234" s="365">
        <f t="shared" si="185"/>
        <v>41.3549</v>
      </c>
      <c r="BD234" s="363" t="s">
        <v>851</v>
      </c>
      <c r="BE234">
        <v>41.3549</v>
      </c>
    </row>
    <row r="235" ht="24" spans="1:57">
      <c r="A235" s="284" t="s">
        <v>195</v>
      </c>
      <c r="B235" s="284" t="s">
        <v>442</v>
      </c>
      <c r="C235" s="284" t="s">
        <v>483</v>
      </c>
      <c r="D235" s="284" t="s">
        <v>454</v>
      </c>
      <c r="E235" s="365">
        <f t="shared" si="165"/>
        <v>397.07</v>
      </c>
      <c r="F235" s="365">
        <f t="shared" si="166"/>
        <v>345.22</v>
      </c>
      <c r="G235" s="365">
        <v>267.53</v>
      </c>
      <c r="H235" s="365">
        <v>0.39</v>
      </c>
      <c r="I235" s="365">
        <v>63.62</v>
      </c>
      <c r="J235" s="365">
        <v>13.68</v>
      </c>
      <c r="K235" s="365"/>
      <c r="L235" s="365">
        <f t="shared" si="167"/>
        <v>51.85</v>
      </c>
      <c r="M235" s="365">
        <v>38.17</v>
      </c>
      <c r="N235" s="365">
        <v>13.68</v>
      </c>
      <c r="O235" s="365"/>
      <c r="P235" s="365"/>
      <c r="Q235" s="365"/>
      <c r="R235" s="365"/>
      <c r="S235" s="365"/>
      <c r="T235" s="366">
        <f t="shared" si="186"/>
        <v>0.085000000000008</v>
      </c>
      <c r="U235" s="366">
        <f t="shared" si="187"/>
        <v>-113.7</v>
      </c>
      <c r="V235" s="366">
        <v>-110.94</v>
      </c>
      <c r="W235" s="366"/>
      <c r="X235" s="366"/>
      <c r="Y235" s="366">
        <v>-2.76</v>
      </c>
      <c r="Z235" s="366"/>
      <c r="AA235" s="365">
        <f t="shared" si="168"/>
        <v>113.785</v>
      </c>
      <c r="AB235" s="365">
        <v>-7.67</v>
      </c>
      <c r="AC235" s="365">
        <v>-2.64</v>
      </c>
      <c r="AD235" s="365"/>
      <c r="AE235" s="365"/>
      <c r="AF235" s="365"/>
      <c r="AG235" s="365">
        <v>1.05</v>
      </c>
      <c r="AH235" s="365"/>
      <c r="AI235" s="365">
        <v>39.78</v>
      </c>
      <c r="AJ235" s="365">
        <v>65</v>
      </c>
      <c r="AK235" s="365">
        <v>18.265</v>
      </c>
      <c r="AL235" s="366">
        <f t="shared" si="169"/>
        <v>397.155</v>
      </c>
      <c r="AM235" s="365">
        <f t="shared" si="170"/>
        <v>231.52</v>
      </c>
      <c r="AN235" s="365">
        <f t="shared" si="171"/>
        <v>156.59</v>
      </c>
      <c r="AO235" s="365">
        <f t="shared" si="172"/>
        <v>0.39</v>
      </c>
      <c r="AP235" s="365">
        <f t="shared" si="173"/>
        <v>63.62</v>
      </c>
      <c r="AQ235" s="365">
        <f t="shared" si="174"/>
        <v>10.92</v>
      </c>
      <c r="AR235" s="365">
        <f t="shared" si="175"/>
        <v>0</v>
      </c>
      <c r="AS235" s="365">
        <f t="shared" si="188"/>
        <v>165.635</v>
      </c>
      <c r="AT235" s="365">
        <f t="shared" si="176"/>
        <v>30.5</v>
      </c>
      <c r="AU235" s="365">
        <f t="shared" si="177"/>
        <v>11.04</v>
      </c>
      <c r="AV235" s="365">
        <f t="shared" si="178"/>
        <v>0</v>
      </c>
      <c r="AW235" s="365">
        <f t="shared" si="179"/>
        <v>0</v>
      </c>
      <c r="AX235" s="365">
        <f t="shared" si="180"/>
        <v>0</v>
      </c>
      <c r="AY235" s="365">
        <f t="shared" si="181"/>
        <v>1.05</v>
      </c>
      <c r="AZ235" s="365">
        <f t="shared" si="182"/>
        <v>0</v>
      </c>
      <c r="BA235" s="365">
        <f t="shared" si="183"/>
        <v>39.78</v>
      </c>
      <c r="BB235" s="365">
        <f t="shared" si="184"/>
        <v>65</v>
      </c>
      <c r="BC235" s="365">
        <f t="shared" si="185"/>
        <v>18.265</v>
      </c>
      <c r="BD235" s="363" t="s">
        <v>852</v>
      </c>
      <c r="BE235">
        <v>18.265</v>
      </c>
    </row>
    <row r="236" ht="24" spans="1:57">
      <c r="A236" s="284" t="s">
        <v>195</v>
      </c>
      <c r="B236" s="284" t="s">
        <v>442</v>
      </c>
      <c r="C236" s="284" t="s">
        <v>790</v>
      </c>
      <c r="D236" s="284" t="s">
        <v>454</v>
      </c>
      <c r="E236" s="365">
        <f t="shared" si="165"/>
        <v>626.29</v>
      </c>
      <c r="F236" s="365">
        <f t="shared" si="166"/>
        <v>536.52</v>
      </c>
      <c r="G236" s="365">
        <v>400.89</v>
      </c>
      <c r="H236" s="365">
        <v>0.76</v>
      </c>
      <c r="I236" s="365">
        <v>118.79</v>
      </c>
      <c r="J236" s="365">
        <v>16.08</v>
      </c>
      <c r="K236" s="365"/>
      <c r="L236" s="365">
        <f t="shared" si="167"/>
        <v>89.77</v>
      </c>
      <c r="M236" s="365">
        <v>71.28</v>
      </c>
      <c r="N236" s="365">
        <v>18.49</v>
      </c>
      <c r="O236" s="365"/>
      <c r="P236" s="365"/>
      <c r="Q236" s="365"/>
      <c r="R236" s="365"/>
      <c r="S236" s="365"/>
      <c r="T236" s="366">
        <f t="shared" si="186"/>
        <v>89.4734</v>
      </c>
      <c r="U236" s="366">
        <f t="shared" si="187"/>
        <v>-104.03</v>
      </c>
      <c r="V236" s="366">
        <v>-99.83</v>
      </c>
      <c r="W236" s="366"/>
      <c r="X236" s="366"/>
      <c r="Y236" s="366">
        <v>-4.2</v>
      </c>
      <c r="Z236" s="366"/>
      <c r="AA236" s="365">
        <f t="shared" si="168"/>
        <v>193.5034</v>
      </c>
      <c r="AB236" s="365">
        <v>-18.18</v>
      </c>
      <c r="AC236" s="365">
        <v>-5.1</v>
      </c>
      <c r="AD236" s="365"/>
      <c r="AE236" s="365"/>
      <c r="AF236" s="365"/>
      <c r="AG236" s="365">
        <v>2.25</v>
      </c>
      <c r="AH236" s="365"/>
      <c r="AI236" s="365">
        <v>74.25</v>
      </c>
      <c r="AJ236" s="365">
        <v>109</v>
      </c>
      <c r="AK236" s="365">
        <v>31.2834</v>
      </c>
      <c r="AL236" s="366">
        <f t="shared" si="169"/>
        <v>715.7634</v>
      </c>
      <c r="AM236" s="365">
        <f t="shared" si="170"/>
        <v>432.49</v>
      </c>
      <c r="AN236" s="365">
        <f t="shared" si="171"/>
        <v>301.06</v>
      </c>
      <c r="AO236" s="365">
        <f t="shared" si="172"/>
        <v>0.76</v>
      </c>
      <c r="AP236" s="365">
        <f t="shared" si="173"/>
        <v>118.79</v>
      </c>
      <c r="AQ236" s="365">
        <f t="shared" si="174"/>
        <v>11.88</v>
      </c>
      <c r="AR236" s="365">
        <f t="shared" si="175"/>
        <v>0</v>
      </c>
      <c r="AS236" s="365">
        <f t="shared" si="188"/>
        <v>283.2734</v>
      </c>
      <c r="AT236" s="365">
        <f t="shared" si="176"/>
        <v>53.1</v>
      </c>
      <c r="AU236" s="365">
        <f t="shared" si="177"/>
        <v>13.39</v>
      </c>
      <c r="AV236" s="365">
        <f t="shared" si="178"/>
        <v>0</v>
      </c>
      <c r="AW236" s="365">
        <f t="shared" si="179"/>
        <v>0</v>
      </c>
      <c r="AX236" s="365">
        <f t="shared" si="180"/>
        <v>0</v>
      </c>
      <c r="AY236" s="365">
        <f t="shared" si="181"/>
        <v>2.25</v>
      </c>
      <c r="AZ236" s="365">
        <f t="shared" si="182"/>
        <v>0</v>
      </c>
      <c r="BA236" s="365">
        <f t="shared" si="183"/>
        <v>74.25</v>
      </c>
      <c r="BB236" s="365">
        <f t="shared" si="184"/>
        <v>109</v>
      </c>
      <c r="BC236" s="365">
        <f t="shared" si="185"/>
        <v>31.2834</v>
      </c>
      <c r="BD236" s="363" t="s">
        <v>853</v>
      </c>
      <c r="BE236">
        <v>31.2834</v>
      </c>
    </row>
    <row r="237" ht="24" spans="1:57">
      <c r="A237" s="284" t="s">
        <v>195</v>
      </c>
      <c r="B237" s="284" t="s">
        <v>442</v>
      </c>
      <c r="C237" s="284" t="s">
        <v>485</v>
      </c>
      <c r="D237" s="284" t="s">
        <v>444</v>
      </c>
      <c r="E237" s="365">
        <f t="shared" si="165"/>
        <v>534.6</v>
      </c>
      <c r="F237" s="365">
        <f t="shared" si="166"/>
        <v>457.02</v>
      </c>
      <c r="G237" s="365">
        <v>335.82</v>
      </c>
      <c r="H237" s="365">
        <v>0.64</v>
      </c>
      <c r="I237" s="365">
        <v>104.48</v>
      </c>
      <c r="J237" s="365">
        <v>16.08</v>
      </c>
      <c r="K237" s="365"/>
      <c r="L237" s="365">
        <f t="shared" si="167"/>
        <v>77.58</v>
      </c>
      <c r="M237" s="365">
        <v>62.69</v>
      </c>
      <c r="N237" s="365">
        <v>14.89</v>
      </c>
      <c r="O237" s="365"/>
      <c r="P237" s="365"/>
      <c r="Q237" s="365"/>
      <c r="R237" s="365"/>
      <c r="S237" s="365"/>
      <c r="T237" s="366">
        <f t="shared" si="186"/>
        <v>263.5183</v>
      </c>
      <c r="U237" s="366">
        <f t="shared" si="187"/>
        <v>28.22</v>
      </c>
      <c r="V237" s="366">
        <v>26.94</v>
      </c>
      <c r="W237" s="366"/>
      <c r="X237" s="366"/>
      <c r="Y237" s="366">
        <v>1.28</v>
      </c>
      <c r="Z237" s="366"/>
      <c r="AA237" s="365">
        <f t="shared" si="168"/>
        <v>235.2983</v>
      </c>
      <c r="AB237" s="365">
        <v>-1.02</v>
      </c>
      <c r="AC237" s="365">
        <v>3.05</v>
      </c>
      <c r="AD237" s="365"/>
      <c r="AE237" s="365"/>
      <c r="AF237" s="365"/>
      <c r="AG237" s="365">
        <v>2.84</v>
      </c>
      <c r="AH237" s="365"/>
      <c r="AI237" s="365">
        <v>84.06</v>
      </c>
      <c r="AJ237" s="365">
        <v>98</v>
      </c>
      <c r="AK237" s="365">
        <v>48.3683</v>
      </c>
      <c r="AL237" s="366">
        <f t="shared" si="169"/>
        <v>798.1183</v>
      </c>
      <c r="AM237" s="365">
        <f t="shared" si="170"/>
        <v>485.24</v>
      </c>
      <c r="AN237" s="365">
        <f t="shared" si="171"/>
        <v>362.76</v>
      </c>
      <c r="AO237" s="365">
        <f t="shared" si="172"/>
        <v>0.64</v>
      </c>
      <c r="AP237" s="365">
        <f t="shared" si="173"/>
        <v>104.48</v>
      </c>
      <c r="AQ237" s="365">
        <f t="shared" si="174"/>
        <v>17.36</v>
      </c>
      <c r="AR237" s="365">
        <f t="shared" si="175"/>
        <v>0</v>
      </c>
      <c r="AS237" s="365">
        <f t="shared" si="188"/>
        <v>312.8783</v>
      </c>
      <c r="AT237" s="365">
        <f t="shared" si="176"/>
        <v>61.67</v>
      </c>
      <c r="AU237" s="365">
        <f t="shared" si="177"/>
        <v>17.94</v>
      </c>
      <c r="AV237" s="365">
        <f t="shared" si="178"/>
        <v>0</v>
      </c>
      <c r="AW237" s="365">
        <f t="shared" si="179"/>
        <v>0</v>
      </c>
      <c r="AX237" s="365">
        <f t="shared" si="180"/>
        <v>0</v>
      </c>
      <c r="AY237" s="365">
        <f t="shared" si="181"/>
        <v>2.84</v>
      </c>
      <c r="AZ237" s="365">
        <f t="shared" si="182"/>
        <v>0</v>
      </c>
      <c r="BA237" s="365">
        <f t="shared" si="183"/>
        <v>84.06</v>
      </c>
      <c r="BB237" s="365">
        <f t="shared" si="184"/>
        <v>98</v>
      </c>
      <c r="BC237" s="365">
        <f t="shared" si="185"/>
        <v>48.3683</v>
      </c>
      <c r="BD237" s="363" t="s">
        <v>854</v>
      </c>
      <c r="BE237">
        <v>48.3683</v>
      </c>
    </row>
    <row r="238" ht="24" spans="1:57">
      <c r="A238" s="284" t="s">
        <v>195</v>
      </c>
      <c r="B238" s="284" t="s">
        <v>442</v>
      </c>
      <c r="C238" s="284" t="s">
        <v>486</v>
      </c>
      <c r="D238" s="284" t="s">
        <v>454</v>
      </c>
      <c r="E238" s="365">
        <f t="shared" si="165"/>
        <v>307.86</v>
      </c>
      <c r="F238" s="365">
        <f t="shared" si="166"/>
        <v>259.59</v>
      </c>
      <c r="G238" s="365">
        <v>187.15</v>
      </c>
      <c r="H238" s="365">
        <v>25.16</v>
      </c>
      <c r="I238" s="365">
        <v>34.68</v>
      </c>
      <c r="J238" s="365">
        <v>12.6</v>
      </c>
      <c r="K238" s="365"/>
      <c r="L238" s="365">
        <f t="shared" si="167"/>
        <v>48.27</v>
      </c>
      <c r="M238" s="365">
        <v>35.67</v>
      </c>
      <c r="N238" s="365">
        <v>12.6</v>
      </c>
      <c r="O238" s="365"/>
      <c r="P238" s="365"/>
      <c r="Q238" s="365"/>
      <c r="R238" s="365"/>
      <c r="S238" s="365"/>
      <c r="T238" s="366">
        <f t="shared" si="186"/>
        <v>125.25</v>
      </c>
      <c r="U238" s="366">
        <f t="shared" si="187"/>
        <v>16</v>
      </c>
      <c r="V238" s="366">
        <v>13.92</v>
      </c>
      <c r="W238" s="366"/>
      <c r="X238" s="366"/>
      <c r="Y238" s="366">
        <v>2.08</v>
      </c>
      <c r="Z238" s="366"/>
      <c r="AA238" s="365">
        <f t="shared" si="168"/>
        <v>109.25</v>
      </c>
      <c r="AB238" s="365">
        <v>-1.08</v>
      </c>
      <c r="AC238" s="365">
        <v>-0.58</v>
      </c>
      <c r="AD238" s="365"/>
      <c r="AE238" s="365"/>
      <c r="AF238" s="365"/>
      <c r="AG238" s="365">
        <v>1.05</v>
      </c>
      <c r="AH238" s="365"/>
      <c r="AI238" s="365">
        <v>44.46</v>
      </c>
      <c r="AJ238" s="365">
        <v>46</v>
      </c>
      <c r="AK238" s="365">
        <v>19.4</v>
      </c>
      <c r="AL238" s="366">
        <f t="shared" si="169"/>
        <v>433.11</v>
      </c>
      <c r="AM238" s="365">
        <f t="shared" si="170"/>
        <v>275.59</v>
      </c>
      <c r="AN238" s="365">
        <f t="shared" si="171"/>
        <v>201.07</v>
      </c>
      <c r="AO238" s="365">
        <f t="shared" si="172"/>
        <v>25.16</v>
      </c>
      <c r="AP238" s="365">
        <f t="shared" si="173"/>
        <v>34.68</v>
      </c>
      <c r="AQ238" s="365">
        <f t="shared" si="174"/>
        <v>14.68</v>
      </c>
      <c r="AR238" s="365">
        <f t="shared" si="175"/>
        <v>0</v>
      </c>
      <c r="AS238" s="365">
        <f t="shared" si="188"/>
        <v>157.52</v>
      </c>
      <c r="AT238" s="365">
        <f t="shared" si="176"/>
        <v>34.59</v>
      </c>
      <c r="AU238" s="365">
        <f t="shared" si="177"/>
        <v>12.02</v>
      </c>
      <c r="AV238" s="365">
        <f t="shared" si="178"/>
        <v>0</v>
      </c>
      <c r="AW238" s="365">
        <f t="shared" si="179"/>
        <v>0</v>
      </c>
      <c r="AX238" s="365">
        <f t="shared" si="180"/>
        <v>0</v>
      </c>
      <c r="AY238" s="365">
        <f t="shared" si="181"/>
        <v>1.05</v>
      </c>
      <c r="AZ238" s="365">
        <f t="shared" si="182"/>
        <v>0</v>
      </c>
      <c r="BA238" s="365">
        <f t="shared" si="183"/>
        <v>44.46</v>
      </c>
      <c r="BB238" s="365">
        <f t="shared" si="184"/>
        <v>46</v>
      </c>
      <c r="BC238" s="365">
        <f t="shared" si="185"/>
        <v>19.4</v>
      </c>
      <c r="BD238" s="363" t="s">
        <v>844</v>
      </c>
      <c r="BE238">
        <v>19.4</v>
      </c>
    </row>
    <row r="239" ht="36" spans="1:57">
      <c r="A239" s="284" t="s">
        <v>195</v>
      </c>
      <c r="B239" s="284" t="s">
        <v>442</v>
      </c>
      <c r="C239" s="284" t="s">
        <v>487</v>
      </c>
      <c r="D239" s="284" t="s">
        <v>444</v>
      </c>
      <c r="E239" s="365">
        <f t="shared" si="165"/>
        <v>496.11</v>
      </c>
      <c r="F239" s="365">
        <f t="shared" si="166"/>
        <v>413.86</v>
      </c>
      <c r="G239" s="365">
        <v>298.93</v>
      </c>
      <c r="H239" s="365">
        <v>22.05</v>
      </c>
      <c r="I239" s="365">
        <v>92.88</v>
      </c>
      <c r="J239" s="365"/>
      <c r="K239" s="365"/>
      <c r="L239" s="365">
        <f t="shared" si="167"/>
        <v>82.25</v>
      </c>
      <c r="M239" s="365">
        <v>55.73</v>
      </c>
      <c r="N239" s="365">
        <v>26.52</v>
      </c>
      <c r="O239" s="365"/>
      <c r="P239" s="365"/>
      <c r="Q239" s="365"/>
      <c r="R239" s="365"/>
      <c r="S239" s="365"/>
      <c r="T239" s="366">
        <f t="shared" si="186"/>
        <v>269.9015</v>
      </c>
      <c r="U239" s="366">
        <f t="shared" si="187"/>
        <v>41.98</v>
      </c>
      <c r="V239" s="366">
        <v>20.46</v>
      </c>
      <c r="W239" s="366"/>
      <c r="X239" s="366"/>
      <c r="Y239" s="366">
        <v>21.52</v>
      </c>
      <c r="Z239" s="366"/>
      <c r="AA239" s="365">
        <f t="shared" si="168"/>
        <v>227.9215</v>
      </c>
      <c r="AB239" s="365">
        <v>2</v>
      </c>
      <c r="AC239" s="365">
        <v>-0.44</v>
      </c>
      <c r="AD239" s="365"/>
      <c r="AE239" s="365"/>
      <c r="AF239" s="365"/>
      <c r="AG239" s="365">
        <v>6.14</v>
      </c>
      <c r="AH239" s="365"/>
      <c r="AI239" s="365">
        <v>78.99</v>
      </c>
      <c r="AJ239" s="365">
        <v>97</v>
      </c>
      <c r="AK239" s="365">
        <v>44.2315</v>
      </c>
      <c r="AL239" s="366">
        <f t="shared" si="169"/>
        <v>766.0115</v>
      </c>
      <c r="AM239" s="365">
        <f t="shared" si="170"/>
        <v>455.84</v>
      </c>
      <c r="AN239" s="365">
        <f t="shared" si="171"/>
        <v>319.39</v>
      </c>
      <c r="AO239" s="365">
        <f t="shared" si="172"/>
        <v>22.05</v>
      </c>
      <c r="AP239" s="365">
        <f t="shared" si="173"/>
        <v>92.88</v>
      </c>
      <c r="AQ239" s="365">
        <f t="shared" si="174"/>
        <v>21.52</v>
      </c>
      <c r="AR239" s="365">
        <f t="shared" si="175"/>
        <v>0</v>
      </c>
      <c r="AS239" s="365">
        <f t="shared" si="188"/>
        <v>310.1715</v>
      </c>
      <c r="AT239" s="365">
        <f t="shared" si="176"/>
        <v>57.73</v>
      </c>
      <c r="AU239" s="365">
        <f t="shared" si="177"/>
        <v>26.08</v>
      </c>
      <c r="AV239" s="365">
        <f t="shared" si="178"/>
        <v>0</v>
      </c>
      <c r="AW239" s="365">
        <f t="shared" si="179"/>
        <v>0</v>
      </c>
      <c r="AX239" s="365">
        <f t="shared" si="180"/>
        <v>0</v>
      </c>
      <c r="AY239" s="365">
        <f t="shared" si="181"/>
        <v>6.14</v>
      </c>
      <c r="AZ239" s="365">
        <f t="shared" si="182"/>
        <v>0</v>
      </c>
      <c r="BA239" s="365">
        <f t="shared" si="183"/>
        <v>78.99</v>
      </c>
      <c r="BB239" s="365">
        <f t="shared" si="184"/>
        <v>97</v>
      </c>
      <c r="BC239" s="365">
        <f t="shared" si="185"/>
        <v>44.2315</v>
      </c>
      <c r="BD239" s="363" t="s">
        <v>855</v>
      </c>
      <c r="BE239">
        <v>44.2315</v>
      </c>
    </row>
    <row r="240" ht="24" spans="1:57">
      <c r="A240" s="284" t="s">
        <v>195</v>
      </c>
      <c r="B240" s="284" t="s">
        <v>442</v>
      </c>
      <c r="C240" s="284" t="s">
        <v>488</v>
      </c>
      <c r="D240" s="284" t="s">
        <v>454</v>
      </c>
      <c r="E240" s="365">
        <f t="shared" si="165"/>
        <v>694.1</v>
      </c>
      <c r="F240" s="365">
        <f t="shared" si="166"/>
        <v>591.04</v>
      </c>
      <c r="G240" s="365">
        <v>454.28</v>
      </c>
      <c r="H240" s="365">
        <v>0.87</v>
      </c>
      <c r="I240" s="365">
        <v>135.89</v>
      </c>
      <c r="J240" s="365"/>
      <c r="K240" s="365"/>
      <c r="L240" s="365">
        <f t="shared" si="167"/>
        <v>103.06</v>
      </c>
      <c r="M240" s="365">
        <v>81.53</v>
      </c>
      <c r="N240" s="365">
        <v>21.53</v>
      </c>
      <c r="O240" s="365"/>
      <c r="P240" s="365"/>
      <c r="Q240" s="365"/>
      <c r="R240" s="365"/>
      <c r="S240" s="365"/>
      <c r="T240" s="366">
        <f t="shared" si="186"/>
        <v>495.8998</v>
      </c>
      <c r="U240" s="366">
        <f t="shared" si="187"/>
        <v>163.51</v>
      </c>
      <c r="V240" s="366">
        <v>141.51</v>
      </c>
      <c r="W240" s="366"/>
      <c r="X240" s="366"/>
      <c r="Y240" s="366">
        <v>22</v>
      </c>
      <c r="Z240" s="366"/>
      <c r="AA240" s="365">
        <f t="shared" si="168"/>
        <v>332.3898</v>
      </c>
      <c r="AB240" s="365">
        <v>12.35</v>
      </c>
      <c r="AC240" s="365">
        <v>3.38</v>
      </c>
      <c r="AD240" s="365"/>
      <c r="AE240" s="365"/>
      <c r="AF240" s="365"/>
      <c r="AG240" s="365">
        <v>8.03</v>
      </c>
      <c r="AH240" s="365"/>
      <c r="AI240" s="365">
        <v>125.84</v>
      </c>
      <c r="AJ240" s="365">
        <v>130</v>
      </c>
      <c r="AK240" s="365">
        <v>52.7898</v>
      </c>
      <c r="AL240" s="366">
        <f t="shared" si="169"/>
        <v>1189.9998</v>
      </c>
      <c r="AM240" s="365">
        <f t="shared" si="170"/>
        <v>754.55</v>
      </c>
      <c r="AN240" s="365">
        <f t="shared" si="171"/>
        <v>595.79</v>
      </c>
      <c r="AO240" s="365">
        <f t="shared" si="172"/>
        <v>0.87</v>
      </c>
      <c r="AP240" s="365">
        <f t="shared" si="173"/>
        <v>135.89</v>
      </c>
      <c r="AQ240" s="365">
        <f t="shared" si="174"/>
        <v>22</v>
      </c>
      <c r="AR240" s="365">
        <f t="shared" si="175"/>
        <v>0</v>
      </c>
      <c r="AS240" s="365">
        <f t="shared" si="188"/>
        <v>435.4498</v>
      </c>
      <c r="AT240" s="365">
        <f t="shared" si="176"/>
        <v>93.88</v>
      </c>
      <c r="AU240" s="365">
        <f t="shared" si="177"/>
        <v>24.91</v>
      </c>
      <c r="AV240" s="365">
        <f t="shared" si="178"/>
        <v>0</v>
      </c>
      <c r="AW240" s="365">
        <f t="shared" si="179"/>
        <v>0</v>
      </c>
      <c r="AX240" s="365">
        <f t="shared" si="180"/>
        <v>0</v>
      </c>
      <c r="AY240" s="365">
        <f t="shared" si="181"/>
        <v>8.03</v>
      </c>
      <c r="AZ240" s="365">
        <f t="shared" si="182"/>
        <v>0</v>
      </c>
      <c r="BA240" s="365">
        <f t="shared" si="183"/>
        <v>125.84</v>
      </c>
      <c r="BB240" s="365">
        <f t="shared" si="184"/>
        <v>130</v>
      </c>
      <c r="BC240" s="365">
        <f t="shared" si="185"/>
        <v>52.7898</v>
      </c>
      <c r="BD240" s="363" t="s">
        <v>856</v>
      </c>
      <c r="BE240">
        <v>52.7898</v>
      </c>
    </row>
    <row r="241" ht="24" spans="1:57">
      <c r="A241" s="284" t="s">
        <v>195</v>
      </c>
      <c r="B241" s="284" t="s">
        <v>442</v>
      </c>
      <c r="C241" s="284" t="s">
        <v>489</v>
      </c>
      <c r="D241" s="284" t="s">
        <v>444</v>
      </c>
      <c r="E241" s="365">
        <f t="shared" si="165"/>
        <v>1215.9</v>
      </c>
      <c r="F241" s="365">
        <f t="shared" si="166"/>
        <v>1005.83</v>
      </c>
      <c r="G241" s="365">
        <v>711.39</v>
      </c>
      <c r="H241" s="365">
        <v>1.08</v>
      </c>
      <c r="I241" s="365">
        <v>251.84</v>
      </c>
      <c r="J241" s="365">
        <v>41.52</v>
      </c>
      <c r="K241" s="365"/>
      <c r="L241" s="365">
        <f t="shared" si="167"/>
        <v>210.07</v>
      </c>
      <c r="M241" s="365">
        <v>151.1</v>
      </c>
      <c r="N241" s="365">
        <v>58.97</v>
      </c>
      <c r="O241" s="365"/>
      <c r="P241" s="365"/>
      <c r="Q241" s="365"/>
      <c r="R241" s="365"/>
      <c r="S241" s="365"/>
      <c r="T241" s="366">
        <f t="shared" si="186"/>
        <v>791.6157</v>
      </c>
      <c r="U241" s="366">
        <f t="shared" si="187"/>
        <v>160.76</v>
      </c>
      <c r="V241" s="366">
        <v>160.44</v>
      </c>
      <c r="W241" s="366"/>
      <c r="X241" s="366"/>
      <c r="Y241" s="366">
        <v>0.32</v>
      </c>
      <c r="Z241" s="366"/>
      <c r="AA241" s="365">
        <f t="shared" si="168"/>
        <v>630.8557</v>
      </c>
      <c r="AB241" s="365">
        <v>13.76</v>
      </c>
      <c r="AC241" s="365">
        <v>4.08</v>
      </c>
      <c r="AD241" s="365"/>
      <c r="AE241" s="365"/>
      <c r="AF241" s="365"/>
      <c r="AG241" s="365">
        <v>29.38</v>
      </c>
      <c r="AH241" s="365"/>
      <c r="AI241" s="365">
        <v>226.14</v>
      </c>
      <c r="AJ241" s="365">
        <v>245</v>
      </c>
      <c r="AK241" s="365">
        <v>112.4957</v>
      </c>
      <c r="AL241" s="366">
        <f t="shared" si="169"/>
        <v>2007.5157</v>
      </c>
      <c r="AM241" s="365">
        <f t="shared" si="170"/>
        <v>1166.59</v>
      </c>
      <c r="AN241" s="365">
        <f t="shared" si="171"/>
        <v>871.83</v>
      </c>
      <c r="AO241" s="365">
        <f t="shared" si="172"/>
        <v>1.08</v>
      </c>
      <c r="AP241" s="365">
        <f t="shared" si="173"/>
        <v>251.84</v>
      </c>
      <c r="AQ241" s="365">
        <f t="shared" si="174"/>
        <v>41.84</v>
      </c>
      <c r="AR241" s="365">
        <f t="shared" si="175"/>
        <v>0</v>
      </c>
      <c r="AS241" s="365">
        <f t="shared" si="188"/>
        <v>840.9257</v>
      </c>
      <c r="AT241" s="365">
        <f t="shared" si="176"/>
        <v>164.86</v>
      </c>
      <c r="AU241" s="365">
        <f t="shared" si="177"/>
        <v>63.05</v>
      </c>
      <c r="AV241" s="365">
        <f t="shared" si="178"/>
        <v>0</v>
      </c>
      <c r="AW241" s="365">
        <f t="shared" si="179"/>
        <v>0</v>
      </c>
      <c r="AX241" s="365">
        <f t="shared" si="180"/>
        <v>0</v>
      </c>
      <c r="AY241" s="365">
        <f t="shared" si="181"/>
        <v>29.38</v>
      </c>
      <c r="AZ241" s="365">
        <f t="shared" si="182"/>
        <v>0</v>
      </c>
      <c r="BA241" s="365">
        <f t="shared" si="183"/>
        <v>226.14</v>
      </c>
      <c r="BB241" s="365">
        <f t="shared" si="184"/>
        <v>245</v>
      </c>
      <c r="BC241" s="365">
        <f t="shared" si="185"/>
        <v>112.4957</v>
      </c>
      <c r="BD241" s="363" t="s">
        <v>857</v>
      </c>
      <c r="BE241">
        <v>112.4957</v>
      </c>
    </row>
    <row r="242" ht="36" spans="1:57">
      <c r="A242" s="284" t="s">
        <v>195</v>
      </c>
      <c r="B242" s="284" t="s">
        <v>199</v>
      </c>
      <c r="C242" s="284" t="s">
        <v>490</v>
      </c>
      <c r="D242" s="284" t="s">
        <v>491</v>
      </c>
      <c r="E242" s="365">
        <f t="shared" si="165"/>
        <v>168.41</v>
      </c>
      <c r="F242" s="365">
        <f t="shared" si="166"/>
        <v>143.18</v>
      </c>
      <c r="G242" s="365">
        <v>105.08</v>
      </c>
      <c r="H242" s="365">
        <v>0.22</v>
      </c>
      <c r="I242" s="365">
        <v>33.32</v>
      </c>
      <c r="J242" s="365">
        <v>4.56</v>
      </c>
      <c r="K242" s="365"/>
      <c r="L242" s="365">
        <f t="shared" si="167"/>
        <v>25.23</v>
      </c>
      <c r="M242" s="365">
        <v>19.99</v>
      </c>
      <c r="N242" s="365">
        <v>5.24</v>
      </c>
      <c r="O242" s="365"/>
      <c r="P242" s="365"/>
      <c r="Q242" s="365"/>
      <c r="R242" s="365"/>
      <c r="S242" s="365"/>
      <c r="T242" s="366">
        <f t="shared" si="186"/>
        <v>69.05</v>
      </c>
      <c r="U242" s="366">
        <f t="shared" si="187"/>
        <v>18.63</v>
      </c>
      <c r="V242" s="366">
        <v>18.71</v>
      </c>
      <c r="W242" s="366"/>
      <c r="X242" s="366"/>
      <c r="Y242" s="366">
        <v>-0.08</v>
      </c>
      <c r="Z242" s="366"/>
      <c r="AA242" s="365">
        <f t="shared" si="168"/>
        <v>50.42</v>
      </c>
      <c r="AB242" s="365">
        <v>0.43</v>
      </c>
      <c r="AC242" s="365">
        <v>-0.09</v>
      </c>
      <c r="AD242" s="365"/>
      <c r="AE242" s="365"/>
      <c r="AF242" s="365"/>
      <c r="AG242" s="365">
        <v>0.6</v>
      </c>
      <c r="AH242" s="365"/>
      <c r="AI242" s="365">
        <v>25.98</v>
      </c>
      <c r="AJ242" s="365">
        <v>14</v>
      </c>
      <c r="AK242" s="365">
        <v>9.5</v>
      </c>
      <c r="AL242" s="366">
        <f t="shared" si="169"/>
        <v>237.46</v>
      </c>
      <c r="AM242" s="365">
        <f t="shared" si="170"/>
        <v>161.81</v>
      </c>
      <c r="AN242" s="365">
        <f t="shared" si="171"/>
        <v>123.79</v>
      </c>
      <c r="AO242" s="365">
        <f t="shared" si="172"/>
        <v>0.22</v>
      </c>
      <c r="AP242" s="365">
        <f t="shared" si="173"/>
        <v>33.32</v>
      </c>
      <c r="AQ242" s="365">
        <f t="shared" si="174"/>
        <v>4.48</v>
      </c>
      <c r="AR242" s="365">
        <f t="shared" si="175"/>
        <v>0</v>
      </c>
      <c r="AS242" s="365">
        <f t="shared" si="188"/>
        <v>75.65</v>
      </c>
      <c r="AT242" s="365">
        <f t="shared" si="176"/>
        <v>20.42</v>
      </c>
      <c r="AU242" s="365">
        <f t="shared" si="177"/>
        <v>5.15</v>
      </c>
      <c r="AV242" s="365">
        <f t="shared" si="178"/>
        <v>0</v>
      </c>
      <c r="AW242" s="365">
        <f t="shared" si="179"/>
        <v>0</v>
      </c>
      <c r="AX242" s="365">
        <f t="shared" si="180"/>
        <v>0</v>
      </c>
      <c r="AY242" s="365">
        <f t="shared" si="181"/>
        <v>0.6</v>
      </c>
      <c r="AZ242" s="365">
        <f t="shared" si="182"/>
        <v>0</v>
      </c>
      <c r="BA242" s="365">
        <f t="shared" si="183"/>
        <v>25.98</v>
      </c>
      <c r="BB242" s="365">
        <f t="shared" si="184"/>
        <v>14</v>
      </c>
      <c r="BC242" s="365">
        <f t="shared" si="185"/>
        <v>9.5</v>
      </c>
      <c r="BD242" s="363" t="s">
        <v>858</v>
      </c>
      <c r="BE242">
        <v>9.5</v>
      </c>
    </row>
    <row r="243" ht="24" spans="1:57">
      <c r="A243" s="284" t="s">
        <v>195</v>
      </c>
      <c r="B243" s="284" t="s">
        <v>442</v>
      </c>
      <c r="C243" s="284" t="s">
        <v>492</v>
      </c>
      <c r="D243" s="284" t="s">
        <v>454</v>
      </c>
      <c r="E243" s="365">
        <f t="shared" si="165"/>
        <v>1091.05</v>
      </c>
      <c r="F243" s="365">
        <f t="shared" si="166"/>
        <v>952.94</v>
      </c>
      <c r="G243" s="365">
        <v>721.23</v>
      </c>
      <c r="H243" s="365">
        <v>1.53</v>
      </c>
      <c r="I243" s="365">
        <v>230.18</v>
      </c>
      <c r="J243" s="365"/>
      <c r="K243" s="365"/>
      <c r="L243" s="365">
        <f t="shared" si="167"/>
        <v>138.11</v>
      </c>
      <c r="M243" s="365">
        <v>138.11</v>
      </c>
      <c r="N243" s="365"/>
      <c r="O243" s="365"/>
      <c r="P243" s="365"/>
      <c r="Q243" s="365"/>
      <c r="R243" s="365"/>
      <c r="S243" s="365"/>
      <c r="T243" s="366">
        <f t="shared" si="186"/>
        <v>586.65</v>
      </c>
      <c r="U243" s="366">
        <f t="shared" si="187"/>
        <v>136.39</v>
      </c>
      <c r="V243" s="366">
        <v>136.39</v>
      </c>
      <c r="W243" s="366"/>
      <c r="X243" s="366"/>
      <c r="Y243" s="366"/>
      <c r="Z243" s="366"/>
      <c r="AA243" s="365">
        <f t="shared" si="168"/>
        <v>450.26</v>
      </c>
      <c r="AB243" s="365">
        <v>5.82</v>
      </c>
      <c r="AC243" s="365"/>
      <c r="AD243" s="365"/>
      <c r="AE243" s="365"/>
      <c r="AF243" s="365"/>
      <c r="AG243" s="365">
        <v>3</v>
      </c>
      <c r="AH243" s="365"/>
      <c r="AI243" s="365">
        <v>188.27</v>
      </c>
      <c r="AJ243" s="365">
        <v>183</v>
      </c>
      <c r="AK243" s="365">
        <v>70.17</v>
      </c>
      <c r="AL243" s="366">
        <f t="shared" si="169"/>
        <v>1677.7</v>
      </c>
      <c r="AM243" s="365">
        <f t="shared" si="170"/>
        <v>1089.33</v>
      </c>
      <c r="AN243" s="365">
        <f t="shared" si="171"/>
        <v>857.62</v>
      </c>
      <c r="AO243" s="365">
        <f t="shared" si="172"/>
        <v>1.53</v>
      </c>
      <c r="AP243" s="365">
        <f t="shared" si="173"/>
        <v>230.18</v>
      </c>
      <c r="AQ243" s="365">
        <f t="shared" si="174"/>
        <v>0</v>
      </c>
      <c r="AR243" s="365">
        <f t="shared" si="175"/>
        <v>0</v>
      </c>
      <c r="AS243" s="365">
        <f t="shared" si="188"/>
        <v>588.37</v>
      </c>
      <c r="AT243" s="365">
        <f t="shared" si="176"/>
        <v>143.93</v>
      </c>
      <c r="AU243" s="365">
        <f t="shared" si="177"/>
        <v>0</v>
      </c>
      <c r="AV243" s="365">
        <f t="shared" si="178"/>
        <v>0</v>
      </c>
      <c r="AW243" s="365">
        <f t="shared" si="179"/>
        <v>0</v>
      </c>
      <c r="AX243" s="365">
        <f t="shared" si="180"/>
        <v>0</v>
      </c>
      <c r="AY243" s="365">
        <f t="shared" si="181"/>
        <v>3</v>
      </c>
      <c r="AZ243" s="365">
        <f t="shared" si="182"/>
        <v>0</v>
      </c>
      <c r="BA243" s="365">
        <f t="shared" si="183"/>
        <v>188.27</v>
      </c>
      <c r="BB243" s="365">
        <f t="shared" si="184"/>
        <v>183</v>
      </c>
      <c r="BC243" s="365">
        <f t="shared" si="185"/>
        <v>70.17</v>
      </c>
      <c r="BD243" s="363" t="s">
        <v>859</v>
      </c>
      <c r="BE243">
        <v>70.17</v>
      </c>
    </row>
    <row r="244" ht="24" spans="1:57">
      <c r="A244" s="284" t="s">
        <v>195</v>
      </c>
      <c r="B244" s="284" t="s">
        <v>438</v>
      </c>
      <c r="C244" s="284" t="s">
        <v>493</v>
      </c>
      <c r="D244" s="284" t="s">
        <v>479</v>
      </c>
      <c r="E244" s="365">
        <f t="shared" si="165"/>
        <v>158.42</v>
      </c>
      <c r="F244" s="365">
        <f t="shared" si="166"/>
        <v>135.3</v>
      </c>
      <c r="G244" s="365">
        <v>96.62</v>
      </c>
      <c r="H244" s="365">
        <v>0.14</v>
      </c>
      <c r="I244" s="365">
        <v>38.54</v>
      </c>
      <c r="J244" s="365"/>
      <c r="K244" s="365"/>
      <c r="L244" s="365">
        <f t="shared" si="167"/>
        <v>23.12</v>
      </c>
      <c r="M244" s="365">
        <v>23.12</v>
      </c>
      <c r="N244" s="365"/>
      <c r="O244" s="365"/>
      <c r="P244" s="365"/>
      <c r="Q244" s="365"/>
      <c r="R244" s="365"/>
      <c r="S244" s="365"/>
      <c r="T244" s="366">
        <f t="shared" si="186"/>
        <v>113.02</v>
      </c>
      <c r="U244" s="366">
        <f t="shared" si="187"/>
        <v>25.33</v>
      </c>
      <c r="V244" s="366">
        <v>25.33</v>
      </c>
      <c r="W244" s="366"/>
      <c r="X244" s="366"/>
      <c r="Y244" s="366"/>
      <c r="Z244" s="366"/>
      <c r="AA244" s="365">
        <f t="shared" si="168"/>
        <v>87.69</v>
      </c>
      <c r="AB244" s="365">
        <v>2.13</v>
      </c>
      <c r="AC244" s="365"/>
      <c r="AD244" s="365"/>
      <c r="AE244" s="365"/>
      <c r="AF244" s="365"/>
      <c r="AG244" s="365">
        <v>0.75</v>
      </c>
      <c r="AH244" s="365"/>
      <c r="AI244" s="365">
        <v>33.81</v>
      </c>
      <c r="AJ244" s="365">
        <v>37</v>
      </c>
      <c r="AK244" s="365">
        <v>14</v>
      </c>
      <c r="AL244" s="366">
        <f t="shared" si="169"/>
        <v>271.44</v>
      </c>
      <c r="AM244" s="365">
        <f t="shared" si="170"/>
        <v>160.63</v>
      </c>
      <c r="AN244" s="365">
        <f t="shared" si="171"/>
        <v>121.95</v>
      </c>
      <c r="AO244" s="365">
        <f t="shared" si="172"/>
        <v>0.14</v>
      </c>
      <c r="AP244" s="365">
        <f t="shared" si="173"/>
        <v>38.54</v>
      </c>
      <c r="AQ244" s="365">
        <f t="shared" si="174"/>
        <v>0</v>
      </c>
      <c r="AR244" s="365">
        <f t="shared" si="175"/>
        <v>0</v>
      </c>
      <c r="AS244" s="365">
        <f t="shared" si="188"/>
        <v>110.81</v>
      </c>
      <c r="AT244" s="365">
        <f t="shared" si="176"/>
        <v>25.25</v>
      </c>
      <c r="AU244" s="365">
        <f t="shared" si="177"/>
        <v>0</v>
      </c>
      <c r="AV244" s="365">
        <f t="shared" si="178"/>
        <v>0</v>
      </c>
      <c r="AW244" s="365">
        <f t="shared" si="179"/>
        <v>0</v>
      </c>
      <c r="AX244" s="365">
        <f t="shared" si="180"/>
        <v>0</v>
      </c>
      <c r="AY244" s="365">
        <f t="shared" si="181"/>
        <v>0.75</v>
      </c>
      <c r="AZ244" s="365">
        <f t="shared" si="182"/>
        <v>0</v>
      </c>
      <c r="BA244" s="365">
        <f t="shared" si="183"/>
        <v>33.81</v>
      </c>
      <c r="BB244" s="365">
        <f t="shared" si="184"/>
        <v>37</v>
      </c>
      <c r="BC244" s="365">
        <f t="shared" si="185"/>
        <v>14</v>
      </c>
      <c r="BD244" s="363" t="s">
        <v>830</v>
      </c>
      <c r="BE244">
        <v>14</v>
      </c>
    </row>
    <row r="245" ht="24" customHeight="1" spans="1:57">
      <c r="A245" s="284" t="s">
        <v>195</v>
      </c>
      <c r="B245" s="284" t="s">
        <v>438</v>
      </c>
      <c r="C245" s="284" t="s">
        <v>494</v>
      </c>
      <c r="D245" s="284" t="s">
        <v>479</v>
      </c>
      <c r="E245" s="365">
        <f t="shared" si="165"/>
        <v>206.97</v>
      </c>
      <c r="F245" s="365">
        <f t="shared" si="166"/>
        <v>178.98</v>
      </c>
      <c r="G245" s="365">
        <v>132.08</v>
      </c>
      <c r="H245" s="365">
        <v>0.26</v>
      </c>
      <c r="I245" s="365">
        <v>46.64</v>
      </c>
      <c r="J245" s="365"/>
      <c r="K245" s="365"/>
      <c r="L245" s="365">
        <f t="shared" si="167"/>
        <v>27.99</v>
      </c>
      <c r="M245" s="365">
        <v>27.99</v>
      </c>
      <c r="N245" s="365"/>
      <c r="O245" s="365"/>
      <c r="P245" s="365"/>
      <c r="Q245" s="365"/>
      <c r="R245" s="365"/>
      <c r="S245" s="365"/>
      <c r="T245" s="366">
        <f t="shared" si="186"/>
        <v>123.6058</v>
      </c>
      <c r="U245" s="366">
        <f t="shared" si="187"/>
        <v>11.98</v>
      </c>
      <c r="V245" s="366">
        <v>11.98</v>
      </c>
      <c r="W245" s="366"/>
      <c r="X245" s="366"/>
      <c r="Y245" s="366"/>
      <c r="Z245" s="366"/>
      <c r="AA245" s="365">
        <f t="shared" si="168"/>
        <v>111.6258</v>
      </c>
      <c r="AB245" s="365">
        <v>-0.55</v>
      </c>
      <c r="AC245" s="365"/>
      <c r="AD245" s="365"/>
      <c r="AE245" s="365"/>
      <c r="AF245" s="365"/>
      <c r="AG245" s="365">
        <v>1.81</v>
      </c>
      <c r="AH245" s="365"/>
      <c r="AI245" s="365">
        <v>36.29</v>
      </c>
      <c r="AJ245" s="365">
        <v>45</v>
      </c>
      <c r="AK245" s="365">
        <v>29.0758</v>
      </c>
      <c r="AL245" s="366">
        <f t="shared" si="169"/>
        <v>330.5758</v>
      </c>
      <c r="AM245" s="365">
        <f t="shared" si="170"/>
        <v>190.96</v>
      </c>
      <c r="AN245" s="365">
        <f t="shared" si="171"/>
        <v>144.06</v>
      </c>
      <c r="AO245" s="365">
        <f t="shared" si="172"/>
        <v>0.26</v>
      </c>
      <c r="AP245" s="365">
        <f t="shared" si="173"/>
        <v>46.64</v>
      </c>
      <c r="AQ245" s="365">
        <f t="shared" si="174"/>
        <v>0</v>
      </c>
      <c r="AR245" s="365">
        <f t="shared" si="175"/>
        <v>0</v>
      </c>
      <c r="AS245" s="365">
        <f t="shared" si="188"/>
        <v>139.6158</v>
      </c>
      <c r="AT245" s="365">
        <f t="shared" si="176"/>
        <v>27.44</v>
      </c>
      <c r="AU245" s="365">
        <f t="shared" si="177"/>
        <v>0</v>
      </c>
      <c r="AV245" s="365">
        <f t="shared" si="178"/>
        <v>0</v>
      </c>
      <c r="AW245" s="365">
        <f t="shared" si="179"/>
        <v>0</v>
      </c>
      <c r="AX245" s="365">
        <f t="shared" si="180"/>
        <v>0</v>
      </c>
      <c r="AY245" s="365">
        <f t="shared" si="181"/>
        <v>1.81</v>
      </c>
      <c r="AZ245" s="365">
        <f t="shared" si="182"/>
        <v>0</v>
      </c>
      <c r="BA245" s="365">
        <f t="shared" si="183"/>
        <v>36.29</v>
      </c>
      <c r="BB245" s="365">
        <f t="shared" si="184"/>
        <v>45</v>
      </c>
      <c r="BC245" s="365">
        <f t="shared" si="185"/>
        <v>29.0758</v>
      </c>
      <c r="BD245" s="363" t="s">
        <v>860</v>
      </c>
      <c r="BE245">
        <v>29.0758</v>
      </c>
    </row>
    <row r="246" ht="24" spans="1:57">
      <c r="A246" s="284" t="s">
        <v>195</v>
      </c>
      <c r="B246" s="284" t="s">
        <v>442</v>
      </c>
      <c r="C246" s="284" t="s">
        <v>495</v>
      </c>
      <c r="D246" s="284" t="s">
        <v>444</v>
      </c>
      <c r="E246" s="365">
        <f t="shared" si="165"/>
        <v>553.39</v>
      </c>
      <c r="F246" s="365">
        <f t="shared" si="166"/>
        <v>478.18</v>
      </c>
      <c r="G246" s="365">
        <v>352.08</v>
      </c>
      <c r="H246" s="365">
        <v>0.75</v>
      </c>
      <c r="I246" s="365">
        <v>125.35</v>
      </c>
      <c r="J246" s="365"/>
      <c r="K246" s="365"/>
      <c r="L246" s="365">
        <f t="shared" si="167"/>
        <v>75.21</v>
      </c>
      <c r="M246" s="365">
        <v>75.21</v>
      </c>
      <c r="N246" s="365"/>
      <c r="O246" s="365"/>
      <c r="P246" s="365"/>
      <c r="Q246" s="365"/>
      <c r="R246" s="365"/>
      <c r="S246" s="365"/>
      <c r="T246" s="366">
        <f t="shared" si="186"/>
        <v>387.48</v>
      </c>
      <c r="U246" s="366">
        <f t="shared" si="187"/>
        <v>107.47</v>
      </c>
      <c r="V246" s="366">
        <v>107.47</v>
      </c>
      <c r="W246" s="366"/>
      <c r="X246" s="366"/>
      <c r="Y246" s="366"/>
      <c r="Z246" s="366"/>
      <c r="AA246" s="365">
        <f t="shared" si="168"/>
        <v>280.01</v>
      </c>
      <c r="AB246" s="365">
        <v>9.61</v>
      </c>
      <c r="AC246" s="365">
        <v>1.75</v>
      </c>
      <c r="AD246" s="365"/>
      <c r="AE246" s="365"/>
      <c r="AF246" s="365"/>
      <c r="AG246" s="365">
        <v>2.7</v>
      </c>
      <c r="AH246" s="365"/>
      <c r="AI246" s="365">
        <v>111.95</v>
      </c>
      <c r="AJ246" s="365">
        <v>109</v>
      </c>
      <c r="AK246" s="365">
        <v>45</v>
      </c>
      <c r="AL246" s="366">
        <f t="shared" si="169"/>
        <v>940.87</v>
      </c>
      <c r="AM246" s="365">
        <f t="shared" si="170"/>
        <v>585.65</v>
      </c>
      <c r="AN246" s="365">
        <f t="shared" si="171"/>
        <v>459.55</v>
      </c>
      <c r="AO246" s="365">
        <f t="shared" si="172"/>
        <v>0.75</v>
      </c>
      <c r="AP246" s="365">
        <f t="shared" si="173"/>
        <v>125.35</v>
      </c>
      <c r="AQ246" s="365">
        <f t="shared" si="174"/>
        <v>0</v>
      </c>
      <c r="AR246" s="365">
        <f t="shared" si="175"/>
        <v>0</v>
      </c>
      <c r="AS246" s="365">
        <f t="shared" si="188"/>
        <v>355.22</v>
      </c>
      <c r="AT246" s="365">
        <f t="shared" si="176"/>
        <v>84.82</v>
      </c>
      <c r="AU246" s="365">
        <f t="shared" si="177"/>
        <v>1.75</v>
      </c>
      <c r="AV246" s="365">
        <f t="shared" si="178"/>
        <v>0</v>
      </c>
      <c r="AW246" s="365">
        <f t="shared" si="179"/>
        <v>0</v>
      </c>
      <c r="AX246" s="365">
        <f t="shared" si="180"/>
        <v>0</v>
      </c>
      <c r="AY246" s="365">
        <f t="shared" si="181"/>
        <v>2.7</v>
      </c>
      <c r="AZ246" s="365">
        <f t="shared" si="182"/>
        <v>0</v>
      </c>
      <c r="BA246" s="365">
        <f t="shared" si="183"/>
        <v>111.95</v>
      </c>
      <c r="BB246" s="365">
        <f t="shared" si="184"/>
        <v>109</v>
      </c>
      <c r="BC246" s="365">
        <f t="shared" si="185"/>
        <v>45</v>
      </c>
      <c r="BD246" s="363" t="s">
        <v>861</v>
      </c>
      <c r="BE246">
        <v>45</v>
      </c>
    </row>
    <row r="247" ht="24" spans="1:57">
      <c r="A247" s="284" t="s">
        <v>195</v>
      </c>
      <c r="B247" s="284" t="s">
        <v>438</v>
      </c>
      <c r="C247" s="284" t="s">
        <v>496</v>
      </c>
      <c r="D247" s="284" t="s">
        <v>479</v>
      </c>
      <c r="E247" s="365">
        <f t="shared" si="165"/>
        <v>153.07</v>
      </c>
      <c r="F247" s="365">
        <f t="shared" si="166"/>
        <v>129.86</v>
      </c>
      <c r="G247" s="365">
        <v>91.05</v>
      </c>
      <c r="H247" s="365">
        <v>0.12</v>
      </c>
      <c r="I247" s="365">
        <v>38.69</v>
      </c>
      <c r="J247" s="365"/>
      <c r="K247" s="365"/>
      <c r="L247" s="365">
        <f t="shared" si="167"/>
        <v>23.21</v>
      </c>
      <c r="M247" s="365">
        <v>23.21</v>
      </c>
      <c r="N247" s="365"/>
      <c r="O247" s="365"/>
      <c r="P247" s="365"/>
      <c r="Q247" s="365"/>
      <c r="R247" s="365"/>
      <c r="S247" s="365"/>
      <c r="T247" s="366">
        <f t="shared" si="186"/>
        <v>95.415</v>
      </c>
      <c r="U247" s="366">
        <f t="shared" si="187"/>
        <v>8.46</v>
      </c>
      <c r="V247" s="366">
        <v>8.46</v>
      </c>
      <c r="W247" s="366"/>
      <c r="X247" s="366"/>
      <c r="Y247" s="366"/>
      <c r="Z247" s="366"/>
      <c r="AA247" s="365">
        <f t="shared" si="168"/>
        <v>86.955</v>
      </c>
      <c r="AB247" s="365">
        <v>-0.65</v>
      </c>
      <c r="AC247" s="365"/>
      <c r="AD247" s="365"/>
      <c r="AE247" s="365"/>
      <c r="AF247" s="365"/>
      <c r="AG247" s="365">
        <v>0.75</v>
      </c>
      <c r="AH247" s="365"/>
      <c r="AI247" s="365">
        <v>33.56</v>
      </c>
      <c r="AJ247" s="365">
        <v>40</v>
      </c>
      <c r="AK247" s="365">
        <v>13.295</v>
      </c>
      <c r="AL247" s="366">
        <f t="shared" si="169"/>
        <v>248.485</v>
      </c>
      <c r="AM247" s="365">
        <f t="shared" si="170"/>
        <v>138.32</v>
      </c>
      <c r="AN247" s="365">
        <f t="shared" si="171"/>
        <v>99.51</v>
      </c>
      <c r="AO247" s="365">
        <f t="shared" si="172"/>
        <v>0.12</v>
      </c>
      <c r="AP247" s="365">
        <f t="shared" si="173"/>
        <v>38.69</v>
      </c>
      <c r="AQ247" s="365">
        <f t="shared" si="174"/>
        <v>0</v>
      </c>
      <c r="AR247" s="365">
        <f t="shared" si="175"/>
        <v>0</v>
      </c>
      <c r="AS247" s="365">
        <f t="shared" si="188"/>
        <v>110.165</v>
      </c>
      <c r="AT247" s="365">
        <f t="shared" si="176"/>
        <v>22.56</v>
      </c>
      <c r="AU247" s="365">
        <f t="shared" si="177"/>
        <v>0</v>
      </c>
      <c r="AV247" s="365">
        <f t="shared" si="178"/>
        <v>0</v>
      </c>
      <c r="AW247" s="365">
        <f t="shared" si="179"/>
        <v>0</v>
      </c>
      <c r="AX247" s="365">
        <f t="shared" si="180"/>
        <v>0</v>
      </c>
      <c r="AY247" s="365">
        <f t="shared" si="181"/>
        <v>0.75</v>
      </c>
      <c r="AZ247" s="365">
        <f t="shared" si="182"/>
        <v>0</v>
      </c>
      <c r="BA247" s="365">
        <f t="shared" si="183"/>
        <v>33.56</v>
      </c>
      <c r="BB247" s="365">
        <f t="shared" si="184"/>
        <v>40</v>
      </c>
      <c r="BC247" s="365">
        <f t="shared" si="185"/>
        <v>13.295</v>
      </c>
      <c r="BD247" s="363" t="s">
        <v>830</v>
      </c>
      <c r="BE247">
        <v>13.295</v>
      </c>
    </row>
    <row r="248" ht="24" spans="1:57">
      <c r="A248" s="284" t="s">
        <v>195</v>
      </c>
      <c r="B248" s="284" t="s">
        <v>438</v>
      </c>
      <c r="C248" s="284" t="s">
        <v>497</v>
      </c>
      <c r="D248" s="284" t="s">
        <v>479</v>
      </c>
      <c r="E248" s="365">
        <f t="shared" si="165"/>
        <v>125.32</v>
      </c>
      <c r="F248" s="365">
        <f t="shared" si="166"/>
        <v>106.73</v>
      </c>
      <c r="G248" s="365">
        <v>75.62</v>
      </c>
      <c r="H248" s="365">
        <v>0.12</v>
      </c>
      <c r="I248" s="365">
        <v>30.99</v>
      </c>
      <c r="J248" s="365"/>
      <c r="K248" s="365"/>
      <c r="L248" s="365">
        <f t="shared" si="167"/>
        <v>18.59</v>
      </c>
      <c r="M248" s="365">
        <v>18.59</v>
      </c>
      <c r="N248" s="365"/>
      <c r="O248" s="365"/>
      <c r="P248" s="365"/>
      <c r="Q248" s="365"/>
      <c r="R248" s="365"/>
      <c r="S248" s="365"/>
      <c r="T248" s="366">
        <f t="shared" si="186"/>
        <v>122.9783</v>
      </c>
      <c r="U248" s="366">
        <f t="shared" si="187"/>
        <v>34.76</v>
      </c>
      <c r="V248" s="366">
        <v>34.76</v>
      </c>
      <c r="W248" s="366"/>
      <c r="X248" s="366"/>
      <c r="Y248" s="366"/>
      <c r="Z248" s="366"/>
      <c r="AA248" s="365">
        <f t="shared" si="168"/>
        <v>88.2183</v>
      </c>
      <c r="AB248" s="365">
        <v>4.34</v>
      </c>
      <c r="AC248" s="365"/>
      <c r="AD248" s="365"/>
      <c r="AE248" s="365"/>
      <c r="AF248" s="365"/>
      <c r="AG248" s="365">
        <v>1.36</v>
      </c>
      <c r="AH248" s="365"/>
      <c r="AI248" s="365">
        <v>30.81</v>
      </c>
      <c r="AJ248" s="365">
        <v>39</v>
      </c>
      <c r="AK248" s="365">
        <v>12.7083</v>
      </c>
      <c r="AL248" s="366">
        <f t="shared" si="169"/>
        <v>248.2983</v>
      </c>
      <c r="AM248" s="365">
        <f t="shared" si="170"/>
        <v>141.49</v>
      </c>
      <c r="AN248" s="365">
        <f t="shared" si="171"/>
        <v>110.38</v>
      </c>
      <c r="AO248" s="365">
        <f t="shared" si="172"/>
        <v>0.12</v>
      </c>
      <c r="AP248" s="365">
        <f t="shared" si="173"/>
        <v>30.99</v>
      </c>
      <c r="AQ248" s="365">
        <f t="shared" si="174"/>
        <v>0</v>
      </c>
      <c r="AR248" s="365">
        <f t="shared" si="175"/>
        <v>0</v>
      </c>
      <c r="AS248" s="365">
        <f t="shared" si="188"/>
        <v>106.8083</v>
      </c>
      <c r="AT248" s="365">
        <f t="shared" si="176"/>
        <v>22.93</v>
      </c>
      <c r="AU248" s="365">
        <f t="shared" si="177"/>
        <v>0</v>
      </c>
      <c r="AV248" s="365">
        <f t="shared" si="178"/>
        <v>0</v>
      </c>
      <c r="AW248" s="365">
        <f t="shared" si="179"/>
        <v>0</v>
      </c>
      <c r="AX248" s="365">
        <f t="shared" si="180"/>
        <v>0</v>
      </c>
      <c r="AY248" s="365">
        <f t="shared" si="181"/>
        <v>1.36</v>
      </c>
      <c r="AZ248" s="365">
        <f t="shared" si="182"/>
        <v>0</v>
      </c>
      <c r="BA248" s="365">
        <f t="shared" si="183"/>
        <v>30.81</v>
      </c>
      <c r="BB248" s="365">
        <f t="shared" si="184"/>
        <v>39</v>
      </c>
      <c r="BC248" s="365">
        <f t="shared" si="185"/>
        <v>12.7083</v>
      </c>
      <c r="BD248" s="363" t="s">
        <v>862</v>
      </c>
      <c r="BE248">
        <v>12.7083</v>
      </c>
    </row>
    <row r="249" ht="24" spans="1:57">
      <c r="A249" s="284" t="s">
        <v>195</v>
      </c>
      <c r="B249" s="284" t="s">
        <v>442</v>
      </c>
      <c r="C249" s="284" t="s">
        <v>498</v>
      </c>
      <c r="D249" s="284" t="s">
        <v>444</v>
      </c>
      <c r="E249" s="365">
        <f t="shared" si="165"/>
        <v>225.08</v>
      </c>
      <c r="F249" s="365">
        <f t="shared" si="166"/>
        <v>194.06</v>
      </c>
      <c r="G249" s="365">
        <v>142.05</v>
      </c>
      <c r="H249" s="365">
        <v>0.31</v>
      </c>
      <c r="I249" s="365">
        <v>51.7</v>
      </c>
      <c r="J249" s="365"/>
      <c r="K249" s="365"/>
      <c r="L249" s="365">
        <f t="shared" si="167"/>
        <v>31.02</v>
      </c>
      <c r="M249" s="365">
        <v>31.02</v>
      </c>
      <c r="N249" s="365"/>
      <c r="O249" s="365"/>
      <c r="P249" s="365"/>
      <c r="Q249" s="365"/>
      <c r="R249" s="365"/>
      <c r="S249" s="365"/>
      <c r="T249" s="366">
        <f t="shared" si="186"/>
        <v>154.28</v>
      </c>
      <c r="U249" s="366">
        <f t="shared" si="187"/>
        <v>37.33</v>
      </c>
      <c r="V249" s="366">
        <v>37.33</v>
      </c>
      <c r="W249" s="366"/>
      <c r="X249" s="366"/>
      <c r="Y249" s="366"/>
      <c r="Z249" s="366"/>
      <c r="AA249" s="365">
        <f t="shared" si="168"/>
        <v>116.95</v>
      </c>
      <c r="AB249" s="365">
        <v>2.93</v>
      </c>
      <c r="AC249" s="365">
        <v>0.64</v>
      </c>
      <c r="AD249" s="365"/>
      <c r="AE249" s="365"/>
      <c r="AF249" s="365"/>
      <c r="AG249" s="365">
        <v>0.75</v>
      </c>
      <c r="AH249" s="365"/>
      <c r="AI249" s="365">
        <v>45.63</v>
      </c>
      <c r="AJ249" s="365">
        <v>48</v>
      </c>
      <c r="AK249" s="365">
        <v>19</v>
      </c>
      <c r="AL249" s="366">
        <f t="shared" si="169"/>
        <v>379.36</v>
      </c>
      <c r="AM249" s="365">
        <f t="shared" si="170"/>
        <v>231.39</v>
      </c>
      <c r="AN249" s="365">
        <f t="shared" si="171"/>
        <v>179.38</v>
      </c>
      <c r="AO249" s="365">
        <f t="shared" si="172"/>
        <v>0.31</v>
      </c>
      <c r="AP249" s="365">
        <f t="shared" si="173"/>
        <v>51.7</v>
      </c>
      <c r="AQ249" s="365">
        <f t="shared" si="174"/>
        <v>0</v>
      </c>
      <c r="AR249" s="365">
        <f t="shared" si="175"/>
        <v>0</v>
      </c>
      <c r="AS249" s="365">
        <f t="shared" si="188"/>
        <v>147.97</v>
      </c>
      <c r="AT249" s="365">
        <f t="shared" si="176"/>
        <v>33.95</v>
      </c>
      <c r="AU249" s="365">
        <f t="shared" si="177"/>
        <v>0.64</v>
      </c>
      <c r="AV249" s="365">
        <f t="shared" si="178"/>
        <v>0</v>
      </c>
      <c r="AW249" s="365">
        <f t="shared" si="179"/>
        <v>0</v>
      </c>
      <c r="AX249" s="365">
        <f t="shared" si="180"/>
        <v>0</v>
      </c>
      <c r="AY249" s="365">
        <f t="shared" si="181"/>
        <v>0.75</v>
      </c>
      <c r="AZ249" s="365">
        <f t="shared" si="182"/>
        <v>0</v>
      </c>
      <c r="BA249" s="365">
        <f t="shared" si="183"/>
        <v>45.63</v>
      </c>
      <c r="BB249" s="365">
        <f t="shared" si="184"/>
        <v>48</v>
      </c>
      <c r="BC249" s="365">
        <f t="shared" si="185"/>
        <v>19</v>
      </c>
      <c r="BD249" s="363" t="s">
        <v>830</v>
      </c>
      <c r="BE249">
        <v>19</v>
      </c>
    </row>
    <row r="250" ht="24" spans="1:57">
      <c r="A250" s="284" t="s">
        <v>195</v>
      </c>
      <c r="B250" s="284" t="s">
        <v>438</v>
      </c>
      <c r="C250" s="284" t="s">
        <v>499</v>
      </c>
      <c r="D250" s="284" t="s">
        <v>479</v>
      </c>
      <c r="E250" s="365">
        <f t="shared" si="165"/>
        <v>70.91</v>
      </c>
      <c r="F250" s="365">
        <f t="shared" si="166"/>
        <v>60.91</v>
      </c>
      <c r="G250" s="365">
        <v>44.16</v>
      </c>
      <c r="H250" s="365">
        <v>0.09</v>
      </c>
      <c r="I250" s="365">
        <v>16.66</v>
      </c>
      <c r="J250" s="365"/>
      <c r="K250" s="365"/>
      <c r="L250" s="365">
        <f t="shared" si="167"/>
        <v>10</v>
      </c>
      <c r="M250" s="365">
        <v>10</v>
      </c>
      <c r="N250" s="365"/>
      <c r="O250" s="365"/>
      <c r="P250" s="365"/>
      <c r="Q250" s="365"/>
      <c r="R250" s="365"/>
      <c r="S250" s="365"/>
      <c r="T250" s="366">
        <f t="shared" si="186"/>
        <v>45.95</v>
      </c>
      <c r="U250" s="366">
        <f t="shared" si="187"/>
        <v>10.03</v>
      </c>
      <c r="V250" s="366">
        <v>10.03</v>
      </c>
      <c r="W250" s="366"/>
      <c r="X250" s="366"/>
      <c r="Y250" s="366"/>
      <c r="Z250" s="366"/>
      <c r="AA250" s="365">
        <f t="shared" si="168"/>
        <v>35.92</v>
      </c>
      <c r="AB250" s="365">
        <v>0.5</v>
      </c>
      <c r="AC250" s="365"/>
      <c r="AD250" s="365"/>
      <c r="AE250" s="365"/>
      <c r="AF250" s="365"/>
      <c r="AG250" s="365">
        <v>0.15</v>
      </c>
      <c r="AH250" s="365"/>
      <c r="AI250" s="365">
        <v>13.77</v>
      </c>
      <c r="AJ250" s="365">
        <v>16</v>
      </c>
      <c r="AK250" s="365">
        <v>5.5</v>
      </c>
      <c r="AL250" s="366">
        <f t="shared" si="169"/>
        <v>116.86</v>
      </c>
      <c r="AM250" s="365">
        <f t="shared" si="170"/>
        <v>70.94</v>
      </c>
      <c r="AN250" s="365">
        <f t="shared" si="171"/>
        <v>54.19</v>
      </c>
      <c r="AO250" s="365">
        <f t="shared" si="172"/>
        <v>0.09</v>
      </c>
      <c r="AP250" s="365">
        <f t="shared" si="173"/>
        <v>16.66</v>
      </c>
      <c r="AQ250" s="365">
        <f t="shared" si="174"/>
        <v>0</v>
      </c>
      <c r="AR250" s="365">
        <f t="shared" si="175"/>
        <v>0</v>
      </c>
      <c r="AS250" s="365">
        <f t="shared" si="188"/>
        <v>45.92</v>
      </c>
      <c r="AT250" s="365">
        <f t="shared" si="176"/>
        <v>10.5</v>
      </c>
      <c r="AU250" s="365">
        <f t="shared" si="177"/>
        <v>0</v>
      </c>
      <c r="AV250" s="365">
        <f t="shared" si="178"/>
        <v>0</v>
      </c>
      <c r="AW250" s="365">
        <f t="shared" si="179"/>
        <v>0</v>
      </c>
      <c r="AX250" s="365">
        <f t="shared" si="180"/>
        <v>0</v>
      </c>
      <c r="AY250" s="365">
        <f t="shared" si="181"/>
        <v>0.15</v>
      </c>
      <c r="AZ250" s="365">
        <f t="shared" si="182"/>
        <v>0</v>
      </c>
      <c r="BA250" s="365">
        <f t="shared" si="183"/>
        <v>13.77</v>
      </c>
      <c r="BB250" s="365">
        <f t="shared" si="184"/>
        <v>16</v>
      </c>
      <c r="BC250" s="365">
        <f t="shared" si="185"/>
        <v>5.5</v>
      </c>
      <c r="BD250" s="363" t="s">
        <v>828</v>
      </c>
      <c r="BE250">
        <v>5.5</v>
      </c>
    </row>
    <row r="251" ht="24" spans="1:57">
      <c r="A251" s="284" t="s">
        <v>195</v>
      </c>
      <c r="B251" s="284" t="s">
        <v>438</v>
      </c>
      <c r="C251" s="284" t="s">
        <v>500</v>
      </c>
      <c r="D251" s="284" t="s">
        <v>479</v>
      </c>
      <c r="E251" s="365">
        <f t="shared" si="165"/>
        <v>28.38</v>
      </c>
      <c r="F251" s="365">
        <f t="shared" si="166"/>
        <v>24.18</v>
      </c>
      <c r="G251" s="365">
        <v>17.15</v>
      </c>
      <c r="H251" s="365">
        <v>0.03</v>
      </c>
      <c r="I251" s="365">
        <v>7</v>
      </c>
      <c r="J251" s="365"/>
      <c r="K251" s="365"/>
      <c r="L251" s="365">
        <f t="shared" si="167"/>
        <v>4.2</v>
      </c>
      <c r="M251" s="365">
        <v>4.2</v>
      </c>
      <c r="N251" s="365"/>
      <c r="O251" s="365"/>
      <c r="P251" s="365"/>
      <c r="Q251" s="365"/>
      <c r="R251" s="365"/>
      <c r="S251" s="365"/>
      <c r="T251" s="366">
        <f t="shared" si="186"/>
        <v>44.05</v>
      </c>
      <c r="U251" s="366">
        <f t="shared" si="187"/>
        <v>20.92</v>
      </c>
      <c r="V251" s="366">
        <v>20.92</v>
      </c>
      <c r="W251" s="366"/>
      <c r="X251" s="366"/>
      <c r="Y251" s="366"/>
      <c r="Z251" s="366"/>
      <c r="AA251" s="365">
        <f t="shared" si="168"/>
        <v>23.13</v>
      </c>
      <c r="AB251" s="365">
        <v>3.22</v>
      </c>
      <c r="AC251" s="365"/>
      <c r="AD251" s="365"/>
      <c r="AE251" s="365"/>
      <c r="AF251" s="365"/>
      <c r="AG251" s="365">
        <v>0.15</v>
      </c>
      <c r="AH251" s="365"/>
      <c r="AI251" s="365">
        <v>11.26</v>
      </c>
      <c r="AJ251" s="365">
        <v>4</v>
      </c>
      <c r="AK251" s="365">
        <v>4.5</v>
      </c>
      <c r="AL251" s="366">
        <f t="shared" si="169"/>
        <v>72.43</v>
      </c>
      <c r="AM251" s="365">
        <f t="shared" si="170"/>
        <v>45.1</v>
      </c>
      <c r="AN251" s="365">
        <f t="shared" si="171"/>
        <v>38.07</v>
      </c>
      <c r="AO251" s="365">
        <f t="shared" si="172"/>
        <v>0.03</v>
      </c>
      <c r="AP251" s="365">
        <f t="shared" si="173"/>
        <v>7</v>
      </c>
      <c r="AQ251" s="365">
        <f t="shared" si="174"/>
        <v>0</v>
      </c>
      <c r="AR251" s="365">
        <f t="shared" si="175"/>
        <v>0</v>
      </c>
      <c r="AS251" s="365">
        <f t="shared" si="188"/>
        <v>27.33</v>
      </c>
      <c r="AT251" s="365">
        <f t="shared" si="176"/>
        <v>7.42</v>
      </c>
      <c r="AU251" s="365">
        <f t="shared" si="177"/>
        <v>0</v>
      </c>
      <c r="AV251" s="365">
        <f t="shared" si="178"/>
        <v>0</v>
      </c>
      <c r="AW251" s="365">
        <f t="shared" si="179"/>
        <v>0</v>
      </c>
      <c r="AX251" s="365">
        <f t="shared" si="180"/>
        <v>0</v>
      </c>
      <c r="AY251" s="365">
        <f t="shared" si="181"/>
        <v>0.15</v>
      </c>
      <c r="AZ251" s="365">
        <f t="shared" si="182"/>
        <v>0</v>
      </c>
      <c r="BA251" s="365">
        <f t="shared" si="183"/>
        <v>11.26</v>
      </c>
      <c r="BB251" s="365">
        <f t="shared" si="184"/>
        <v>4</v>
      </c>
      <c r="BC251" s="365">
        <f t="shared" si="185"/>
        <v>4.5</v>
      </c>
      <c r="BD251" s="363" t="s">
        <v>828</v>
      </c>
      <c r="BE251">
        <v>4.5</v>
      </c>
    </row>
    <row r="252" ht="24" spans="1:57">
      <c r="A252" s="284" t="s">
        <v>195</v>
      </c>
      <c r="B252" s="284" t="s">
        <v>438</v>
      </c>
      <c r="C252" s="284" t="s">
        <v>501</v>
      </c>
      <c r="D252" s="284" t="s">
        <v>479</v>
      </c>
      <c r="E252" s="365">
        <f t="shared" si="165"/>
        <v>47.2</v>
      </c>
      <c r="F252" s="365">
        <f t="shared" si="166"/>
        <v>40.21</v>
      </c>
      <c r="G252" s="365">
        <v>28.52</v>
      </c>
      <c r="H252" s="365">
        <v>0.04</v>
      </c>
      <c r="I252" s="365">
        <v>11.65</v>
      </c>
      <c r="J252" s="365"/>
      <c r="K252" s="365"/>
      <c r="L252" s="365">
        <f t="shared" si="167"/>
        <v>6.99</v>
      </c>
      <c r="M252" s="365">
        <v>6.99</v>
      </c>
      <c r="N252" s="365"/>
      <c r="O252" s="365"/>
      <c r="P252" s="365"/>
      <c r="Q252" s="365"/>
      <c r="R252" s="365"/>
      <c r="S252" s="365"/>
      <c r="T252" s="366">
        <f t="shared" si="186"/>
        <v>31</v>
      </c>
      <c r="U252" s="366">
        <f t="shared" si="187"/>
        <v>5.2</v>
      </c>
      <c r="V252" s="366">
        <v>5.2</v>
      </c>
      <c r="W252" s="366"/>
      <c r="X252" s="366"/>
      <c r="Y252" s="366"/>
      <c r="Z252" s="366"/>
      <c r="AA252" s="365">
        <f t="shared" si="168"/>
        <v>25.8</v>
      </c>
      <c r="AB252" s="365">
        <v>0.17</v>
      </c>
      <c r="AC252" s="365"/>
      <c r="AD252" s="365"/>
      <c r="AE252" s="365"/>
      <c r="AF252" s="365"/>
      <c r="AG252" s="365">
        <v>0.15</v>
      </c>
      <c r="AH252" s="365"/>
      <c r="AI252" s="365">
        <v>9.48</v>
      </c>
      <c r="AJ252" s="365">
        <v>12</v>
      </c>
      <c r="AK252" s="365">
        <v>4</v>
      </c>
      <c r="AL252" s="366">
        <f t="shared" si="169"/>
        <v>78.2</v>
      </c>
      <c r="AM252" s="365">
        <f t="shared" si="170"/>
        <v>45.41</v>
      </c>
      <c r="AN252" s="365">
        <f t="shared" si="171"/>
        <v>33.72</v>
      </c>
      <c r="AO252" s="365">
        <f t="shared" si="172"/>
        <v>0.04</v>
      </c>
      <c r="AP252" s="365">
        <f t="shared" si="173"/>
        <v>11.65</v>
      </c>
      <c r="AQ252" s="365">
        <f t="shared" si="174"/>
        <v>0</v>
      </c>
      <c r="AR252" s="365">
        <f t="shared" si="175"/>
        <v>0</v>
      </c>
      <c r="AS252" s="365">
        <f t="shared" si="188"/>
        <v>32.79</v>
      </c>
      <c r="AT252" s="365">
        <f t="shared" si="176"/>
        <v>7.16</v>
      </c>
      <c r="AU252" s="365">
        <f t="shared" si="177"/>
        <v>0</v>
      </c>
      <c r="AV252" s="365">
        <f t="shared" si="178"/>
        <v>0</v>
      </c>
      <c r="AW252" s="365">
        <f t="shared" si="179"/>
        <v>0</v>
      </c>
      <c r="AX252" s="365">
        <f t="shared" si="180"/>
        <v>0</v>
      </c>
      <c r="AY252" s="365">
        <f t="shared" si="181"/>
        <v>0.15</v>
      </c>
      <c r="AZ252" s="365">
        <f t="shared" si="182"/>
        <v>0</v>
      </c>
      <c r="BA252" s="365">
        <f t="shared" si="183"/>
        <v>9.48</v>
      </c>
      <c r="BB252" s="365">
        <f t="shared" si="184"/>
        <v>12</v>
      </c>
      <c r="BC252" s="365">
        <f t="shared" si="185"/>
        <v>4</v>
      </c>
      <c r="BD252" s="363" t="s">
        <v>828</v>
      </c>
      <c r="BE252">
        <v>4</v>
      </c>
    </row>
    <row r="253" ht="24" spans="1:57">
      <c r="A253" s="284" t="s">
        <v>195</v>
      </c>
      <c r="B253" s="284" t="s">
        <v>442</v>
      </c>
      <c r="C253" s="284" t="s">
        <v>502</v>
      </c>
      <c r="D253" s="284" t="s">
        <v>444</v>
      </c>
      <c r="E253" s="365">
        <f t="shared" si="165"/>
        <v>121.05</v>
      </c>
      <c r="F253" s="365">
        <f t="shared" si="166"/>
        <v>99.88</v>
      </c>
      <c r="G253" s="365">
        <v>70.59</v>
      </c>
      <c r="H253" s="365">
        <v>4.21</v>
      </c>
      <c r="I253" s="365">
        <v>25.08</v>
      </c>
      <c r="J253" s="365"/>
      <c r="K253" s="365"/>
      <c r="L253" s="365">
        <f t="shared" si="167"/>
        <v>21.17</v>
      </c>
      <c r="M253" s="365">
        <v>15.05</v>
      </c>
      <c r="N253" s="365">
        <v>6.12</v>
      </c>
      <c r="O253" s="365"/>
      <c r="P253" s="365"/>
      <c r="Q253" s="365"/>
      <c r="R253" s="365"/>
      <c r="S253" s="365"/>
      <c r="T253" s="366">
        <f t="shared" si="186"/>
        <v>101.5083</v>
      </c>
      <c r="U253" s="366">
        <f t="shared" si="187"/>
        <v>36.92</v>
      </c>
      <c r="V253" s="366">
        <v>37.4</v>
      </c>
      <c r="W253" s="366"/>
      <c r="X253" s="366"/>
      <c r="Y253" s="366">
        <v>-0.48</v>
      </c>
      <c r="Z253" s="366"/>
      <c r="AA253" s="365">
        <f t="shared" si="168"/>
        <v>64.5883</v>
      </c>
      <c r="AB253" s="365">
        <v>4.19</v>
      </c>
      <c r="AC253" s="365">
        <v>-1.27</v>
      </c>
      <c r="AD253" s="365"/>
      <c r="AE253" s="365"/>
      <c r="AF253" s="365"/>
      <c r="AG253" s="365">
        <v>1.36</v>
      </c>
      <c r="AH253" s="365"/>
      <c r="AI253" s="365">
        <v>25.41</v>
      </c>
      <c r="AJ253" s="365">
        <v>24</v>
      </c>
      <c r="AK253" s="365">
        <v>10.8983</v>
      </c>
      <c r="AL253" s="366">
        <f t="shared" si="169"/>
        <v>222.5583</v>
      </c>
      <c r="AM253" s="365">
        <f t="shared" si="170"/>
        <v>136.8</v>
      </c>
      <c r="AN253" s="365">
        <f t="shared" si="171"/>
        <v>107.99</v>
      </c>
      <c r="AO253" s="365">
        <f t="shared" si="172"/>
        <v>4.21</v>
      </c>
      <c r="AP253" s="365">
        <f t="shared" si="173"/>
        <v>25.08</v>
      </c>
      <c r="AQ253" s="365">
        <f t="shared" si="174"/>
        <v>-0.48</v>
      </c>
      <c r="AR253" s="365">
        <f t="shared" si="175"/>
        <v>0</v>
      </c>
      <c r="AS253" s="365">
        <f t="shared" si="188"/>
        <v>85.7583</v>
      </c>
      <c r="AT253" s="365">
        <f t="shared" si="176"/>
        <v>19.24</v>
      </c>
      <c r="AU253" s="365">
        <f t="shared" si="177"/>
        <v>4.85</v>
      </c>
      <c r="AV253" s="365">
        <f t="shared" si="178"/>
        <v>0</v>
      </c>
      <c r="AW253" s="365">
        <f t="shared" si="179"/>
        <v>0</v>
      </c>
      <c r="AX253" s="365">
        <f t="shared" si="180"/>
        <v>0</v>
      </c>
      <c r="AY253" s="365">
        <f t="shared" si="181"/>
        <v>1.36</v>
      </c>
      <c r="AZ253" s="365">
        <f t="shared" si="182"/>
        <v>0</v>
      </c>
      <c r="BA253" s="365">
        <f t="shared" si="183"/>
        <v>25.41</v>
      </c>
      <c r="BB253" s="365">
        <f t="shared" si="184"/>
        <v>24</v>
      </c>
      <c r="BC253" s="365">
        <f t="shared" si="185"/>
        <v>10.8983</v>
      </c>
      <c r="BD253" s="363" t="s">
        <v>862</v>
      </c>
      <c r="BE253">
        <v>10.8983</v>
      </c>
    </row>
    <row r="254" ht="24" spans="1:57">
      <c r="A254" s="284" t="s">
        <v>195</v>
      </c>
      <c r="B254" s="284" t="s">
        <v>438</v>
      </c>
      <c r="C254" s="284" t="s">
        <v>503</v>
      </c>
      <c r="D254" s="284" t="s">
        <v>479</v>
      </c>
      <c r="E254" s="365">
        <f t="shared" si="165"/>
        <v>50.02</v>
      </c>
      <c r="F254" s="365">
        <f t="shared" si="166"/>
        <v>42.85</v>
      </c>
      <c r="G254" s="365">
        <v>30.84</v>
      </c>
      <c r="H254" s="365">
        <v>0.06</v>
      </c>
      <c r="I254" s="365">
        <v>11.95</v>
      </c>
      <c r="J254" s="365"/>
      <c r="K254" s="365"/>
      <c r="L254" s="365">
        <f t="shared" si="167"/>
        <v>7.17</v>
      </c>
      <c r="M254" s="365">
        <v>7.17</v>
      </c>
      <c r="N254" s="365"/>
      <c r="O254" s="365"/>
      <c r="P254" s="365"/>
      <c r="Q254" s="365"/>
      <c r="R254" s="365"/>
      <c r="S254" s="365"/>
      <c r="T254" s="366">
        <f t="shared" si="186"/>
        <v>30.47</v>
      </c>
      <c r="U254" s="366">
        <f t="shared" si="187"/>
        <v>4.89</v>
      </c>
      <c r="V254" s="366">
        <v>4.89</v>
      </c>
      <c r="W254" s="366"/>
      <c r="X254" s="366"/>
      <c r="Y254" s="366"/>
      <c r="Z254" s="366"/>
      <c r="AA254" s="365">
        <f t="shared" si="168"/>
        <v>25.58</v>
      </c>
      <c r="AB254" s="365">
        <v>0.1</v>
      </c>
      <c r="AC254" s="365"/>
      <c r="AD254" s="365"/>
      <c r="AE254" s="365"/>
      <c r="AF254" s="365"/>
      <c r="AG254" s="365"/>
      <c r="AH254" s="365"/>
      <c r="AI254" s="365">
        <v>9.48</v>
      </c>
      <c r="AJ254" s="365">
        <v>12</v>
      </c>
      <c r="AK254" s="365">
        <v>4</v>
      </c>
      <c r="AL254" s="366">
        <f t="shared" si="169"/>
        <v>80.49</v>
      </c>
      <c r="AM254" s="365">
        <f t="shared" si="170"/>
        <v>47.74</v>
      </c>
      <c r="AN254" s="365">
        <f t="shared" si="171"/>
        <v>35.73</v>
      </c>
      <c r="AO254" s="365">
        <f t="shared" si="172"/>
        <v>0.06</v>
      </c>
      <c r="AP254" s="365">
        <f t="shared" si="173"/>
        <v>11.95</v>
      </c>
      <c r="AQ254" s="365">
        <f t="shared" si="174"/>
        <v>0</v>
      </c>
      <c r="AR254" s="365">
        <f t="shared" si="175"/>
        <v>0</v>
      </c>
      <c r="AS254" s="365">
        <f t="shared" si="188"/>
        <v>32.75</v>
      </c>
      <c r="AT254" s="365">
        <f t="shared" si="176"/>
        <v>7.27</v>
      </c>
      <c r="AU254" s="365">
        <f t="shared" si="177"/>
        <v>0</v>
      </c>
      <c r="AV254" s="365">
        <f t="shared" si="178"/>
        <v>0</v>
      </c>
      <c r="AW254" s="365">
        <f t="shared" si="179"/>
        <v>0</v>
      </c>
      <c r="AX254" s="365">
        <f t="shared" si="180"/>
        <v>0</v>
      </c>
      <c r="AY254" s="365">
        <f t="shared" si="181"/>
        <v>0</v>
      </c>
      <c r="AZ254" s="365">
        <f t="shared" si="182"/>
        <v>0</v>
      </c>
      <c r="BA254" s="365">
        <f t="shared" si="183"/>
        <v>9.48</v>
      </c>
      <c r="BB254" s="365">
        <f t="shared" si="184"/>
        <v>12</v>
      </c>
      <c r="BC254" s="365">
        <f t="shared" si="185"/>
        <v>4</v>
      </c>
      <c r="BD254" s="363"/>
      <c r="BE254">
        <v>4</v>
      </c>
    </row>
    <row r="255" ht="36" spans="1:57">
      <c r="A255" s="284" t="s">
        <v>195</v>
      </c>
      <c r="B255" s="284" t="s">
        <v>199</v>
      </c>
      <c r="C255" s="284" t="s">
        <v>504</v>
      </c>
      <c r="D255" s="284" t="s">
        <v>505</v>
      </c>
      <c r="E255" s="365">
        <f t="shared" si="165"/>
        <v>246.87</v>
      </c>
      <c r="F255" s="365">
        <f t="shared" si="166"/>
        <v>246.87</v>
      </c>
      <c r="G255" s="365">
        <v>156.85</v>
      </c>
      <c r="H255" s="365">
        <v>45.18</v>
      </c>
      <c r="I255" s="365">
        <v>44.84</v>
      </c>
      <c r="J255" s="365"/>
      <c r="K255" s="365"/>
      <c r="L255" s="365">
        <f t="shared" si="167"/>
        <v>0</v>
      </c>
      <c r="M255" s="365"/>
      <c r="N255" s="365"/>
      <c r="O255" s="365"/>
      <c r="P255" s="365"/>
      <c r="Q255" s="365"/>
      <c r="R255" s="365"/>
      <c r="S255" s="365"/>
      <c r="T255" s="366">
        <f t="shared" si="186"/>
        <v>93.41</v>
      </c>
      <c r="U255" s="366">
        <f t="shared" si="187"/>
        <v>-14.97</v>
      </c>
      <c r="V255" s="366">
        <v>30.21</v>
      </c>
      <c r="W255" s="366"/>
      <c r="X255" s="366"/>
      <c r="Y255" s="366">
        <v>-45.18</v>
      </c>
      <c r="Z255" s="366"/>
      <c r="AA255" s="365">
        <f t="shared" si="168"/>
        <v>108.38</v>
      </c>
      <c r="AB255" s="365">
        <v>28.53</v>
      </c>
      <c r="AC255" s="365"/>
      <c r="AD255" s="365"/>
      <c r="AE255" s="365"/>
      <c r="AF255" s="365"/>
      <c r="AG255" s="365"/>
      <c r="AH255" s="365"/>
      <c r="AI255" s="365">
        <v>37.25</v>
      </c>
      <c r="AJ255" s="365">
        <v>23</v>
      </c>
      <c r="AK255" s="365">
        <v>19.6</v>
      </c>
      <c r="AL255" s="366">
        <f t="shared" si="169"/>
        <v>340.28</v>
      </c>
      <c r="AM255" s="365">
        <f t="shared" si="170"/>
        <v>231.9</v>
      </c>
      <c r="AN255" s="365">
        <f t="shared" si="171"/>
        <v>187.06</v>
      </c>
      <c r="AO255" s="365">
        <f t="shared" si="172"/>
        <v>45.18</v>
      </c>
      <c r="AP255" s="365">
        <f t="shared" si="173"/>
        <v>44.84</v>
      </c>
      <c r="AQ255" s="365">
        <f t="shared" si="174"/>
        <v>-45.18</v>
      </c>
      <c r="AR255" s="365">
        <f t="shared" si="175"/>
        <v>0</v>
      </c>
      <c r="AS255" s="365">
        <f t="shared" si="188"/>
        <v>108.38</v>
      </c>
      <c r="AT255" s="365">
        <f t="shared" si="176"/>
        <v>28.53</v>
      </c>
      <c r="AU255" s="365">
        <f t="shared" si="177"/>
        <v>0</v>
      </c>
      <c r="AV255" s="365">
        <f t="shared" si="178"/>
        <v>0</v>
      </c>
      <c r="AW255" s="365">
        <f t="shared" si="179"/>
        <v>0</v>
      </c>
      <c r="AX255" s="365">
        <f t="shared" si="180"/>
        <v>0</v>
      </c>
      <c r="AY255" s="365">
        <f t="shared" si="181"/>
        <v>0</v>
      </c>
      <c r="AZ255" s="365">
        <f t="shared" si="182"/>
        <v>0</v>
      </c>
      <c r="BA255" s="365">
        <f t="shared" si="183"/>
        <v>37.25</v>
      </c>
      <c r="BB255" s="365">
        <f t="shared" si="184"/>
        <v>23</v>
      </c>
      <c r="BC255" s="365">
        <f t="shared" si="185"/>
        <v>19.6</v>
      </c>
      <c r="BD255" s="377" t="s">
        <v>863</v>
      </c>
      <c r="BE255">
        <v>19.6</v>
      </c>
    </row>
    <row r="256" ht="36" spans="1:57">
      <c r="A256" s="284" t="s">
        <v>195</v>
      </c>
      <c r="B256" s="284" t="s">
        <v>199</v>
      </c>
      <c r="C256" s="284" t="s">
        <v>506</v>
      </c>
      <c r="D256" s="284" t="s">
        <v>505</v>
      </c>
      <c r="E256" s="365">
        <f t="shared" si="165"/>
        <v>263.32</v>
      </c>
      <c r="F256" s="365">
        <f t="shared" si="166"/>
        <v>263.32</v>
      </c>
      <c r="G256" s="365">
        <v>170.03</v>
      </c>
      <c r="H256" s="365">
        <v>46.78</v>
      </c>
      <c r="I256" s="365">
        <v>46.51</v>
      </c>
      <c r="J256" s="365"/>
      <c r="K256" s="365"/>
      <c r="L256" s="365">
        <f t="shared" si="167"/>
        <v>0</v>
      </c>
      <c r="M256" s="365"/>
      <c r="N256" s="365"/>
      <c r="O256" s="365"/>
      <c r="P256" s="365"/>
      <c r="Q256" s="365"/>
      <c r="R256" s="365"/>
      <c r="S256" s="365"/>
      <c r="T256" s="366">
        <f t="shared" si="186"/>
        <v>39.59</v>
      </c>
      <c r="U256" s="366">
        <f t="shared" si="187"/>
        <v>-53.03</v>
      </c>
      <c r="V256" s="366">
        <v>-6.25</v>
      </c>
      <c r="W256" s="366"/>
      <c r="X256" s="366"/>
      <c r="Y256" s="366">
        <v>-46.78</v>
      </c>
      <c r="Z256" s="366"/>
      <c r="AA256" s="365">
        <f t="shared" si="168"/>
        <v>92.62</v>
      </c>
      <c r="AB256" s="365">
        <v>25.84</v>
      </c>
      <c r="AC256" s="365"/>
      <c r="AD256" s="365"/>
      <c r="AE256" s="365"/>
      <c r="AF256" s="365"/>
      <c r="AG256" s="365">
        <v>1.35</v>
      </c>
      <c r="AH256" s="365"/>
      <c r="AI256" s="365">
        <v>33.03</v>
      </c>
      <c r="AJ256" s="365">
        <v>19</v>
      </c>
      <c r="AK256" s="365">
        <v>13.4</v>
      </c>
      <c r="AL256" s="366">
        <f t="shared" si="169"/>
        <v>302.91</v>
      </c>
      <c r="AM256" s="365">
        <f t="shared" si="170"/>
        <v>210.29</v>
      </c>
      <c r="AN256" s="365">
        <f t="shared" si="171"/>
        <v>163.78</v>
      </c>
      <c r="AO256" s="365">
        <f t="shared" si="172"/>
        <v>46.78</v>
      </c>
      <c r="AP256" s="365">
        <f t="shared" si="173"/>
        <v>46.51</v>
      </c>
      <c r="AQ256" s="365">
        <f t="shared" si="174"/>
        <v>-46.78</v>
      </c>
      <c r="AR256" s="365">
        <f t="shared" si="175"/>
        <v>0</v>
      </c>
      <c r="AS256" s="365">
        <f t="shared" si="188"/>
        <v>92.62</v>
      </c>
      <c r="AT256" s="365">
        <f t="shared" si="176"/>
        <v>25.84</v>
      </c>
      <c r="AU256" s="365">
        <f t="shared" si="177"/>
        <v>0</v>
      </c>
      <c r="AV256" s="365">
        <f t="shared" si="178"/>
        <v>0</v>
      </c>
      <c r="AW256" s="365">
        <f t="shared" si="179"/>
        <v>0</v>
      </c>
      <c r="AX256" s="365">
        <f t="shared" si="180"/>
        <v>0</v>
      </c>
      <c r="AY256" s="365">
        <f t="shared" si="181"/>
        <v>1.35</v>
      </c>
      <c r="AZ256" s="365">
        <f t="shared" si="182"/>
        <v>0</v>
      </c>
      <c r="BA256" s="365">
        <f t="shared" si="183"/>
        <v>33.03</v>
      </c>
      <c r="BB256" s="365">
        <f t="shared" si="184"/>
        <v>19</v>
      </c>
      <c r="BC256" s="365">
        <f t="shared" si="185"/>
        <v>13.4</v>
      </c>
      <c r="BD256" s="363" t="s">
        <v>864</v>
      </c>
      <c r="BE256">
        <v>13.4</v>
      </c>
    </row>
    <row r="257" ht="24" spans="1:57">
      <c r="A257" s="284" t="s">
        <v>195</v>
      </c>
      <c r="B257" s="284" t="s">
        <v>196</v>
      </c>
      <c r="C257" s="284" t="s">
        <v>507</v>
      </c>
      <c r="D257" s="284" t="s">
        <v>508</v>
      </c>
      <c r="E257" s="365">
        <f t="shared" si="165"/>
        <v>94.53</v>
      </c>
      <c r="F257" s="365">
        <f t="shared" si="166"/>
        <v>83.6</v>
      </c>
      <c r="G257" s="365">
        <v>61.74</v>
      </c>
      <c r="H257" s="365"/>
      <c r="I257" s="365">
        <v>21.86</v>
      </c>
      <c r="J257" s="365"/>
      <c r="K257" s="365"/>
      <c r="L257" s="365">
        <f t="shared" si="167"/>
        <v>10.93</v>
      </c>
      <c r="M257" s="366">
        <v>10.93</v>
      </c>
      <c r="N257" s="365"/>
      <c r="O257" s="365"/>
      <c r="P257" s="365"/>
      <c r="Q257" s="365"/>
      <c r="R257" s="365"/>
      <c r="S257" s="365"/>
      <c r="T257" s="366">
        <f t="shared" si="186"/>
        <v>35.85</v>
      </c>
      <c r="U257" s="366">
        <f t="shared" si="187"/>
        <v>11.19</v>
      </c>
      <c r="V257" s="366">
        <v>10.31</v>
      </c>
      <c r="W257" s="366"/>
      <c r="X257" s="366">
        <v>0.88</v>
      </c>
      <c r="Y257" s="366"/>
      <c r="Z257" s="366"/>
      <c r="AA257" s="365">
        <f t="shared" si="168"/>
        <v>24.66</v>
      </c>
      <c r="AB257" s="365">
        <v>0.53</v>
      </c>
      <c r="AC257" s="365"/>
      <c r="AD257" s="365"/>
      <c r="AE257" s="365"/>
      <c r="AF257" s="365"/>
      <c r="AG257" s="366">
        <v>2.18</v>
      </c>
      <c r="AH257" s="365">
        <v>0</v>
      </c>
      <c r="AI257" s="365">
        <v>21.95</v>
      </c>
      <c r="AJ257" s="365"/>
      <c r="AK257" s="365"/>
      <c r="AL257" s="366">
        <f t="shared" si="169"/>
        <v>130.38</v>
      </c>
      <c r="AM257" s="365">
        <f t="shared" si="170"/>
        <v>94.79</v>
      </c>
      <c r="AN257" s="365">
        <f t="shared" si="171"/>
        <v>72.05</v>
      </c>
      <c r="AO257" s="365">
        <f t="shared" si="172"/>
        <v>0</v>
      </c>
      <c r="AP257" s="365">
        <f t="shared" si="173"/>
        <v>22.74</v>
      </c>
      <c r="AQ257" s="365">
        <f t="shared" si="174"/>
        <v>0</v>
      </c>
      <c r="AR257" s="365">
        <f t="shared" si="175"/>
        <v>0</v>
      </c>
      <c r="AS257" s="365">
        <f t="shared" si="188"/>
        <v>35.59</v>
      </c>
      <c r="AT257" s="365">
        <f t="shared" si="176"/>
        <v>11.46</v>
      </c>
      <c r="AU257" s="365">
        <f t="shared" si="177"/>
        <v>0</v>
      </c>
      <c r="AV257" s="365">
        <f t="shared" si="178"/>
        <v>0</v>
      </c>
      <c r="AW257" s="365">
        <f t="shared" si="179"/>
        <v>0</v>
      </c>
      <c r="AX257" s="365">
        <f t="shared" si="180"/>
        <v>0</v>
      </c>
      <c r="AY257" s="365">
        <f t="shared" si="181"/>
        <v>2.18</v>
      </c>
      <c r="AZ257" s="365">
        <f t="shared" si="182"/>
        <v>0</v>
      </c>
      <c r="BA257" s="365">
        <f t="shared" si="183"/>
        <v>21.95</v>
      </c>
      <c r="BB257" s="365">
        <f t="shared" si="184"/>
        <v>0</v>
      </c>
      <c r="BC257" s="365">
        <f t="shared" si="185"/>
        <v>0</v>
      </c>
      <c r="BD257" s="376" t="s">
        <v>865</v>
      </c>
      <c r="BE257">
        <v>12.6216</v>
      </c>
    </row>
    <row r="258" ht="36" spans="1:57">
      <c r="A258" s="284" t="s">
        <v>195</v>
      </c>
      <c r="B258" s="284" t="s">
        <v>199</v>
      </c>
      <c r="C258" s="284" t="s">
        <v>509</v>
      </c>
      <c r="D258" s="284" t="s">
        <v>510</v>
      </c>
      <c r="E258" s="365">
        <f t="shared" si="165"/>
        <v>114.01</v>
      </c>
      <c r="F258" s="365">
        <f t="shared" si="166"/>
        <v>45.92</v>
      </c>
      <c r="G258" s="365">
        <v>31.6</v>
      </c>
      <c r="H258" s="365"/>
      <c r="I258" s="365">
        <v>14.32</v>
      </c>
      <c r="J258" s="365"/>
      <c r="K258" s="365"/>
      <c r="L258" s="365">
        <f t="shared" si="167"/>
        <v>68.09</v>
      </c>
      <c r="M258" s="365">
        <v>8.59</v>
      </c>
      <c r="N258" s="365"/>
      <c r="O258" s="365"/>
      <c r="P258" s="365"/>
      <c r="Q258" s="365"/>
      <c r="R258" s="365"/>
      <c r="S258" s="366">
        <v>59.5</v>
      </c>
      <c r="T258" s="366">
        <f t="shared" si="186"/>
        <v>-31.65</v>
      </c>
      <c r="U258" s="366">
        <f t="shared" si="187"/>
        <v>1.98</v>
      </c>
      <c r="V258" s="366">
        <v>1.48</v>
      </c>
      <c r="W258" s="366"/>
      <c r="X258" s="366">
        <v>0.5</v>
      </c>
      <c r="Y258" s="366"/>
      <c r="Z258" s="366"/>
      <c r="AA258" s="365">
        <f t="shared" si="168"/>
        <v>-33.63</v>
      </c>
      <c r="AB258" s="366">
        <v>-0.49</v>
      </c>
      <c r="AC258" s="366"/>
      <c r="AD258" s="366"/>
      <c r="AE258" s="366"/>
      <c r="AF258" s="366"/>
      <c r="AG258" s="366"/>
      <c r="AH258" s="365">
        <v>-59.5</v>
      </c>
      <c r="AI258" s="366">
        <v>13.36</v>
      </c>
      <c r="AJ258" s="366">
        <v>8</v>
      </c>
      <c r="AK258" s="365">
        <v>5</v>
      </c>
      <c r="AL258" s="366">
        <f t="shared" si="169"/>
        <v>82.36</v>
      </c>
      <c r="AM258" s="365">
        <f t="shared" si="170"/>
        <v>47.9</v>
      </c>
      <c r="AN258" s="365">
        <f t="shared" si="171"/>
        <v>33.08</v>
      </c>
      <c r="AO258" s="365">
        <f t="shared" si="172"/>
        <v>0</v>
      </c>
      <c r="AP258" s="365">
        <f t="shared" si="173"/>
        <v>14.82</v>
      </c>
      <c r="AQ258" s="365">
        <f t="shared" si="174"/>
        <v>0</v>
      </c>
      <c r="AR258" s="365">
        <f t="shared" si="175"/>
        <v>0</v>
      </c>
      <c r="AS258" s="365">
        <f t="shared" si="188"/>
        <v>34.46</v>
      </c>
      <c r="AT258" s="365">
        <f t="shared" si="176"/>
        <v>8.1</v>
      </c>
      <c r="AU258" s="365">
        <f t="shared" si="177"/>
        <v>0</v>
      </c>
      <c r="AV258" s="365">
        <f t="shared" si="178"/>
        <v>0</v>
      </c>
      <c r="AW258" s="365">
        <f t="shared" si="179"/>
        <v>0</v>
      </c>
      <c r="AX258" s="365">
        <f t="shared" si="180"/>
        <v>0</v>
      </c>
      <c r="AY258" s="365">
        <f t="shared" si="181"/>
        <v>0</v>
      </c>
      <c r="AZ258" s="365">
        <f t="shared" si="182"/>
        <v>0</v>
      </c>
      <c r="BA258" s="365">
        <f t="shared" si="183"/>
        <v>13.36</v>
      </c>
      <c r="BB258" s="365">
        <f t="shared" si="184"/>
        <v>8</v>
      </c>
      <c r="BC258" s="365">
        <f t="shared" si="185"/>
        <v>5</v>
      </c>
      <c r="BD258" s="363"/>
      <c r="BE258">
        <v>5</v>
      </c>
    </row>
    <row r="259" s="311" customFormat="1" ht="21" customHeight="1" spans="1:57">
      <c r="A259" s="328"/>
      <c r="B259" s="329" t="s">
        <v>747</v>
      </c>
      <c r="C259" s="329" t="s">
        <v>135</v>
      </c>
      <c r="D259" s="329">
        <v>206</v>
      </c>
      <c r="E259" s="364">
        <f t="shared" ref="E259:S259" si="189">SUM(E260:E261)</f>
        <v>27.06</v>
      </c>
      <c r="F259" s="364">
        <f t="shared" si="189"/>
        <v>4.83</v>
      </c>
      <c r="G259" s="364">
        <f t="shared" si="189"/>
        <v>3.38</v>
      </c>
      <c r="H259" s="364">
        <f t="shared" si="189"/>
        <v>0</v>
      </c>
      <c r="I259" s="364">
        <f t="shared" si="189"/>
        <v>1.45</v>
      </c>
      <c r="J259" s="364">
        <f t="shared" si="189"/>
        <v>0</v>
      </c>
      <c r="K259" s="364">
        <f t="shared" si="189"/>
        <v>0</v>
      </c>
      <c r="L259" s="364">
        <f t="shared" si="189"/>
        <v>22.23</v>
      </c>
      <c r="M259" s="364">
        <f t="shared" si="189"/>
        <v>0.87</v>
      </c>
      <c r="N259" s="364">
        <f t="shared" si="189"/>
        <v>0</v>
      </c>
      <c r="O259" s="364">
        <f t="shared" si="189"/>
        <v>0</v>
      </c>
      <c r="P259" s="364">
        <f t="shared" si="189"/>
        <v>14.86</v>
      </c>
      <c r="Q259" s="364">
        <f t="shared" si="189"/>
        <v>0</v>
      </c>
      <c r="R259" s="364">
        <f t="shared" si="189"/>
        <v>0</v>
      </c>
      <c r="S259" s="364">
        <f t="shared" si="189"/>
        <v>6.5</v>
      </c>
      <c r="T259" s="364">
        <f t="shared" si="186"/>
        <v>-3.14</v>
      </c>
      <c r="U259" s="364">
        <f t="shared" ref="U259:AK259" si="190">SUM(U260:U261)</f>
        <v>0.48</v>
      </c>
      <c r="V259" s="364">
        <f t="shared" si="190"/>
        <v>0.48</v>
      </c>
      <c r="W259" s="364">
        <f t="shared" si="190"/>
        <v>0</v>
      </c>
      <c r="X259" s="364">
        <f t="shared" si="190"/>
        <v>0</v>
      </c>
      <c r="Y259" s="364">
        <f t="shared" si="190"/>
        <v>0</v>
      </c>
      <c r="Z259" s="364">
        <f t="shared" si="190"/>
        <v>0</v>
      </c>
      <c r="AA259" s="364">
        <f t="shared" si="190"/>
        <v>-3.62</v>
      </c>
      <c r="AB259" s="364">
        <f t="shared" si="190"/>
        <v>0</v>
      </c>
      <c r="AC259" s="364">
        <f t="shared" si="190"/>
        <v>0</v>
      </c>
      <c r="AD259" s="364">
        <f t="shared" si="190"/>
        <v>0</v>
      </c>
      <c r="AE259" s="364">
        <f t="shared" si="190"/>
        <v>0</v>
      </c>
      <c r="AF259" s="364">
        <f t="shared" si="190"/>
        <v>0</v>
      </c>
      <c r="AG259" s="364">
        <f t="shared" si="190"/>
        <v>0</v>
      </c>
      <c r="AH259" s="364">
        <f t="shared" si="190"/>
        <v>-6.5</v>
      </c>
      <c r="AI259" s="364">
        <f t="shared" si="190"/>
        <v>1.38</v>
      </c>
      <c r="AJ259" s="364">
        <f t="shared" si="190"/>
        <v>1</v>
      </c>
      <c r="AK259" s="364">
        <f t="shared" si="190"/>
        <v>0.5</v>
      </c>
      <c r="AL259" s="364">
        <f t="shared" si="169"/>
        <v>23.92</v>
      </c>
      <c r="AM259" s="364">
        <f t="shared" ref="AM259:BC259" si="191">SUM(AM260:AM261)</f>
        <v>5.31</v>
      </c>
      <c r="AN259" s="364">
        <f t="shared" si="191"/>
        <v>3.86</v>
      </c>
      <c r="AO259" s="364">
        <f t="shared" si="191"/>
        <v>0</v>
      </c>
      <c r="AP259" s="364">
        <f t="shared" si="191"/>
        <v>1.45</v>
      </c>
      <c r="AQ259" s="364">
        <f t="shared" si="191"/>
        <v>0</v>
      </c>
      <c r="AR259" s="364">
        <f t="shared" si="191"/>
        <v>0</v>
      </c>
      <c r="AS259" s="364">
        <f t="shared" si="191"/>
        <v>18.61</v>
      </c>
      <c r="AT259" s="364">
        <f t="shared" si="191"/>
        <v>0.87</v>
      </c>
      <c r="AU259" s="364">
        <f t="shared" si="191"/>
        <v>0</v>
      </c>
      <c r="AV259" s="364">
        <f t="shared" si="191"/>
        <v>0</v>
      </c>
      <c r="AW259" s="364">
        <f t="shared" si="191"/>
        <v>14.86</v>
      </c>
      <c r="AX259" s="364">
        <f t="shared" si="191"/>
        <v>0</v>
      </c>
      <c r="AY259" s="364">
        <f t="shared" si="191"/>
        <v>0</v>
      </c>
      <c r="AZ259" s="364">
        <f t="shared" si="191"/>
        <v>0</v>
      </c>
      <c r="BA259" s="364">
        <f t="shared" si="191"/>
        <v>1.38</v>
      </c>
      <c r="BB259" s="364">
        <f t="shared" si="191"/>
        <v>1</v>
      </c>
      <c r="BC259" s="364">
        <f t="shared" si="191"/>
        <v>0.5</v>
      </c>
      <c r="BD259" s="372"/>
      <c r="BE259" s="373"/>
    </row>
    <row r="260" ht="24" spans="1:57">
      <c r="A260" s="284" t="s">
        <v>195</v>
      </c>
      <c r="B260" s="284" t="s">
        <v>196</v>
      </c>
      <c r="C260" s="284" t="s">
        <v>791</v>
      </c>
      <c r="D260" s="284" t="s">
        <v>512</v>
      </c>
      <c r="E260" s="365">
        <f t="shared" ref="E260:E276" si="192">F260+L260</f>
        <v>0</v>
      </c>
      <c r="F260" s="365">
        <f t="shared" ref="F260:F276" si="193">SUM(G260:K260)</f>
        <v>0</v>
      </c>
      <c r="G260" s="365"/>
      <c r="H260" s="365"/>
      <c r="I260" s="365"/>
      <c r="J260" s="365"/>
      <c r="K260" s="365"/>
      <c r="L260" s="365">
        <f t="shared" ref="L260:L276" si="194">SUM(M260:S260)</f>
        <v>0</v>
      </c>
      <c r="M260" s="365"/>
      <c r="N260" s="365"/>
      <c r="O260" s="365"/>
      <c r="P260" s="365"/>
      <c r="Q260" s="365"/>
      <c r="R260" s="371"/>
      <c r="S260" s="365"/>
      <c r="T260" s="366">
        <f t="shared" si="186"/>
        <v>0</v>
      </c>
      <c r="U260" s="366">
        <f t="shared" si="187"/>
        <v>0</v>
      </c>
      <c r="V260" s="366"/>
      <c r="W260" s="366"/>
      <c r="X260" s="366"/>
      <c r="Y260" s="366"/>
      <c r="Z260" s="366"/>
      <c r="AA260" s="365">
        <f t="shared" ref="AA260:AA276" si="195">SUM(AB260:AK260)</f>
        <v>0</v>
      </c>
      <c r="AB260" s="365"/>
      <c r="AC260" s="365"/>
      <c r="AD260" s="365"/>
      <c r="AE260" s="365"/>
      <c r="AF260" s="365"/>
      <c r="AG260" s="365"/>
      <c r="AH260" s="365">
        <v>0</v>
      </c>
      <c r="AI260" s="365"/>
      <c r="AJ260" s="365"/>
      <c r="AK260" s="365"/>
      <c r="AL260" s="366">
        <f t="shared" si="169"/>
        <v>0</v>
      </c>
      <c r="AM260" s="365">
        <f t="shared" ref="AM260:AM276" si="196">SUM(AN260:AR260)</f>
        <v>0</v>
      </c>
      <c r="AN260" s="365">
        <f t="shared" ref="AN260:AR260" si="197">G260+V260</f>
        <v>0</v>
      </c>
      <c r="AO260" s="365">
        <f t="shared" si="197"/>
        <v>0</v>
      </c>
      <c r="AP260" s="365">
        <f t="shared" si="197"/>
        <v>0</v>
      </c>
      <c r="AQ260" s="365">
        <f t="shared" si="197"/>
        <v>0</v>
      </c>
      <c r="AR260" s="365">
        <f t="shared" si="197"/>
        <v>0</v>
      </c>
      <c r="AS260" s="365">
        <f t="shared" si="188"/>
        <v>0</v>
      </c>
      <c r="AT260" s="365">
        <f t="shared" ref="AT260:AZ260" si="198">M260+AB260</f>
        <v>0</v>
      </c>
      <c r="AU260" s="365">
        <f t="shared" si="198"/>
        <v>0</v>
      </c>
      <c r="AV260" s="365">
        <f t="shared" si="198"/>
        <v>0</v>
      </c>
      <c r="AW260" s="365">
        <f t="shared" si="198"/>
        <v>0</v>
      </c>
      <c r="AX260" s="365">
        <f t="shared" si="198"/>
        <v>0</v>
      </c>
      <c r="AY260" s="365">
        <f t="shared" si="198"/>
        <v>0</v>
      </c>
      <c r="AZ260" s="365">
        <f t="shared" si="198"/>
        <v>0</v>
      </c>
      <c r="BA260" s="365">
        <f t="shared" ref="BA260:BA276" si="199">AI260</f>
        <v>0</v>
      </c>
      <c r="BB260" s="365">
        <f>AJ260</f>
        <v>0</v>
      </c>
      <c r="BC260" s="365">
        <f t="shared" ref="BC260:BC276" si="200">AK260</f>
        <v>0</v>
      </c>
      <c r="BD260" s="363"/>
      <c r="BE260">
        <v>6.1568</v>
      </c>
    </row>
    <row r="261" ht="24" spans="1:57">
      <c r="A261" s="284" t="s">
        <v>195</v>
      </c>
      <c r="B261" s="284" t="s">
        <v>199</v>
      </c>
      <c r="C261" s="284" t="s">
        <v>513</v>
      </c>
      <c r="D261" s="284" t="s">
        <v>512</v>
      </c>
      <c r="E261" s="365">
        <f t="shared" si="192"/>
        <v>27.06</v>
      </c>
      <c r="F261" s="365">
        <f t="shared" si="193"/>
        <v>4.83</v>
      </c>
      <c r="G261" s="365">
        <v>3.38</v>
      </c>
      <c r="H261" s="365"/>
      <c r="I261" s="365">
        <v>1.45</v>
      </c>
      <c r="J261" s="365"/>
      <c r="K261" s="365"/>
      <c r="L261" s="365">
        <f t="shared" si="194"/>
        <v>22.23</v>
      </c>
      <c r="M261" s="365">
        <v>0.87</v>
      </c>
      <c r="N261" s="365"/>
      <c r="O261" s="365"/>
      <c r="P261" s="365">
        <v>14.86</v>
      </c>
      <c r="Q261" s="365"/>
      <c r="R261" s="365"/>
      <c r="S261" s="365">
        <v>6.5</v>
      </c>
      <c r="T261" s="366">
        <f t="shared" si="186"/>
        <v>-3.14</v>
      </c>
      <c r="U261" s="366">
        <f t="shared" si="187"/>
        <v>0.48</v>
      </c>
      <c r="V261" s="366">
        <v>0.48</v>
      </c>
      <c r="W261" s="366"/>
      <c r="X261" s="366"/>
      <c r="Y261" s="366"/>
      <c r="Z261" s="366"/>
      <c r="AA261" s="365">
        <f t="shared" si="195"/>
        <v>-3.62</v>
      </c>
      <c r="AB261" s="365"/>
      <c r="AC261" s="365"/>
      <c r="AD261" s="365"/>
      <c r="AE261" s="365"/>
      <c r="AF261" s="365"/>
      <c r="AG261" s="365"/>
      <c r="AH261" s="365">
        <v>-6.5</v>
      </c>
      <c r="AI261" s="365">
        <v>1.38</v>
      </c>
      <c r="AJ261" s="365">
        <v>1</v>
      </c>
      <c r="AK261" s="365">
        <v>0.5</v>
      </c>
      <c r="AL261" s="366">
        <f t="shared" si="169"/>
        <v>23.92</v>
      </c>
      <c r="AM261" s="365">
        <f t="shared" si="196"/>
        <v>5.31</v>
      </c>
      <c r="AN261" s="365">
        <f t="shared" ref="AN261:AR261" si="201">G261+V261</f>
        <v>3.86</v>
      </c>
      <c r="AO261" s="365">
        <f t="shared" si="201"/>
        <v>0</v>
      </c>
      <c r="AP261" s="365">
        <f t="shared" si="201"/>
        <v>1.45</v>
      </c>
      <c r="AQ261" s="365">
        <f t="shared" si="201"/>
        <v>0</v>
      </c>
      <c r="AR261" s="365">
        <f t="shared" si="201"/>
        <v>0</v>
      </c>
      <c r="AS261" s="365">
        <f t="shared" si="188"/>
        <v>18.61</v>
      </c>
      <c r="AT261" s="365">
        <f t="shared" ref="AT261:AZ261" si="202">M261+AB261</f>
        <v>0.87</v>
      </c>
      <c r="AU261" s="365">
        <f t="shared" si="202"/>
        <v>0</v>
      </c>
      <c r="AV261" s="365">
        <f t="shared" si="202"/>
        <v>0</v>
      </c>
      <c r="AW261" s="365">
        <f t="shared" si="202"/>
        <v>14.86</v>
      </c>
      <c r="AX261" s="365">
        <f t="shared" si="202"/>
        <v>0</v>
      </c>
      <c r="AY261" s="365">
        <f t="shared" si="202"/>
        <v>0</v>
      </c>
      <c r="AZ261" s="365">
        <f t="shared" si="202"/>
        <v>0</v>
      </c>
      <c r="BA261" s="365">
        <f t="shared" si="199"/>
        <v>1.38</v>
      </c>
      <c r="BB261" s="365">
        <f>AJ261</f>
        <v>1</v>
      </c>
      <c r="BC261" s="365">
        <f t="shared" si="200"/>
        <v>0.5</v>
      </c>
      <c r="BD261" s="363"/>
      <c r="BE261">
        <v>0.5</v>
      </c>
    </row>
    <row r="262" s="311" customFormat="1" ht="21" customHeight="1" spans="1:57">
      <c r="A262" s="328"/>
      <c r="B262" s="329" t="s">
        <v>748</v>
      </c>
      <c r="C262" s="329" t="s">
        <v>136</v>
      </c>
      <c r="D262" s="329">
        <v>207</v>
      </c>
      <c r="E262" s="364">
        <f t="shared" ref="E262:S262" si="203">SUM(E263:E276)</f>
        <v>1342.246928</v>
      </c>
      <c r="F262" s="364">
        <f t="shared" si="203"/>
        <v>499.51</v>
      </c>
      <c r="G262" s="364">
        <f t="shared" si="203"/>
        <v>360.83</v>
      </c>
      <c r="H262" s="364">
        <f t="shared" si="203"/>
        <v>0.09</v>
      </c>
      <c r="I262" s="364">
        <f t="shared" si="203"/>
        <v>138.59</v>
      </c>
      <c r="J262" s="364">
        <f t="shared" si="203"/>
        <v>0</v>
      </c>
      <c r="K262" s="364">
        <f t="shared" si="203"/>
        <v>0</v>
      </c>
      <c r="L262" s="364">
        <f t="shared" si="203"/>
        <v>842.736928</v>
      </c>
      <c r="M262" s="364">
        <f t="shared" si="203"/>
        <v>82.2</v>
      </c>
      <c r="N262" s="364">
        <f t="shared" si="203"/>
        <v>0</v>
      </c>
      <c r="O262" s="364">
        <f t="shared" si="203"/>
        <v>220.108</v>
      </c>
      <c r="P262" s="364">
        <f t="shared" si="203"/>
        <v>32.168928</v>
      </c>
      <c r="Q262" s="364">
        <f t="shared" si="203"/>
        <v>0</v>
      </c>
      <c r="R262" s="364">
        <f t="shared" si="203"/>
        <v>14.26</v>
      </c>
      <c r="S262" s="364">
        <f t="shared" si="203"/>
        <v>494</v>
      </c>
      <c r="T262" s="364">
        <f t="shared" si="186"/>
        <v>-63.7532</v>
      </c>
      <c r="U262" s="364">
        <f t="shared" ref="U262:AK262" si="204">SUM(U263:U276)</f>
        <v>98.55</v>
      </c>
      <c r="V262" s="364">
        <f t="shared" si="204"/>
        <v>81.36</v>
      </c>
      <c r="W262" s="364">
        <f t="shared" si="204"/>
        <v>0</v>
      </c>
      <c r="X262" s="364">
        <f t="shared" si="204"/>
        <v>17.19</v>
      </c>
      <c r="Y262" s="364">
        <f t="shared" si="204"/>
        <v>0</v>
      </c>
      <c r="Z262" s="364">
        <f t="shared" si="204"/>
        <v>0</v>
      </c>
      <c r="AA262" s="364">
        <f t="shared" si="204"/>
        <v>-162.3032</v>
      </c>
      <c r="AB262" s="364">
        <f t="shared" si="204"/>
        <v>9.73</v>
      </c>
      <c r="AC262" s="364">
        <f t="shared" si="204"/>
        <v>0</v>
      </c>
      <c r="AD262" s="364">
        <f t="shared" si="204"/>
        <v>6.67</v>
      </c>
      <c r="AE262" s="364">
        <f t="shared" si="204"/>
        <v>0</v>
      </c>
      <c r="AF262" s="364">
        <f t="shared" si="204"/>
        <v>0</v>
      </c>
      <c r="AG262" s="364">
        <f t="shared" si="204"/>
        <v>5.12</v>
      </c>
      <c r="AH262" s="364">
        <f t="shared" si="204"/>
        <v>-494</v>
      </c>
      <c r="AI262" s="364">
        <f t="shared" si="204"/>
        <v>178.7</v>
      </c>
      <c r="AJ262" s="364">
        <f t="shared" si="204"/>
        <v>92</v>
      </c>
      <c r="AK262" s="364">
        <f t="shared" si="204"/>
        <v>39.4768</v>
      </c>
      <c r="AL262" s="364">
        <f t="shared" si="169"/>
        <v>1278.493728</v>
      </c>
      <c r="AM262" s="364">
        <f t="shared" ref="AM262:BC262" si="205">SUM(AM263:AM276)</f>
        <v>598.06</v>
      </c>
      <c r="AN262" s="364">
        <f t="shared" si="205"/>
        <v>442.19</v>
      </c>
      <c r="AO262" s="364">
        <f t="shared" si="205"/>
        <v>0.09</v>
      </c>
      <c r="AP262" s="364">
        <f t="shared" si="205"/>
        <v>155.78</v>
      </c>
      <c r="AQ262" s="364">
        <f t="shared" si="205"/>
        <v>0</v>
      </c>
      <c r="AR262" s="364">
        <f t="shared" si="205"/>
        <v>0</v>
      </c>
      <c r="AS262" s="364">
        <f t="shared" si="205"/>
        <v>680.433728</v>
      </c>
      <c r="AT262" s="364">
        <f t="shared" si="205"/>
        <v>91.93</v>
      </c>
      <c r="AU262" s="364">
        <f t="shared" si="205"/>
        <v>0</v>
      </c>
      <c r="AV262" s="364">
        <f t="shared" si="205"/>
        <v>226.778</v>
      </c>
      <c r="AW262" s="364">
        <f t="shared" si="205"/>
        <v>32.168928</v>
      </c>
      <c r="AX262" s="364">
        <f t="shared" si="205"/>
        <v>0</v>
      </c>
      <c r="AY262" s="364">
        <f t="shared" si="205"/>
        <v>19.38</v>
      </c>
      <c r="AZ262" s="364">
        <f t="shared" si="205"/>
        <v>0</v>
      </c>
      <c r="BA262" s="364">
        <f t="shared" si="205"/>
        <v>178.7</v>
      </c>
      <c r="BB262" s="364">
        <f t="shared" si="205"/>
        <v>92</v>
      </c>
      <c r="BC262" s="364">
        <f t="shared" si="205"/>
        <v>39.4768</v>
      </c>
      <c r="BD262" s="372"/>
      <c r="BE262" s="373"/>
    </row>
    <row r="263" ht="24" spans="1:57">
      <c r="A263" s="284" t="s">
        <v>195</v>
      </c>
      <c r="B263" s="284" t="s">
        <v>196</v>
      </c>
      <c r="C263" s="284" t="s">
        <v>514</v>
      </c>
      <c r="D263" s="284" t="s">
        <v>515</v>
      </c>
      <c r="E263" s="365">
        <f t="shared" si="192"/>
        <v>0</v>
      </c>
      <c r="F263" s="365">
        <f t="shared" si="193"/>
        <v>0</v>
      </c>
      <c r="G263" s="365"/>
      <c r="H263" s="365"/>
      <c r="I263" s="365"/>
      <c r="J263" s="365"/>
      <c r="K263" s="365"/>
      <c r="L263" s="365">
        <f t="shared" si="194"/>
        <v>0</v>
      </c>
      <c r="M263" s="365"/>
      <c r="N263" s="365"/>
      <c r="O263" s="365"/>
      <c r="P263" s="365"/>
      <c r="Q263" s="365"/>
      <c r="R263" s="365"/>
      <c r="S263" s="365"/>
      <c r="T263" s="366">
        <f t="shared" si="186"/>
        <v>0</v>
      </c>
      <c r="U263" s="366">
        <f t="shared" si="187"/>
        <v>0</v>
      </c>
      <c r="V263" s="366"/>
      <c r="W263" s="366"/>
      <c r="X263" s="366"/>
      <c r="Y263" s="366"/>
      <c r="Z263" s="366"/>
      <c r="AA263" s="365">
        <f t="shared" si="195"/>
        <v>0</v>
      </c>
      <c r="AB263" s="365"/>
      <c r="AC263" s="365"/>
      <c r="AD263" s="365"/>
      <c r="AE263" s="365"/>
      <c r="AF263" s="365"/>
      <c r="AG263" s="365"/>
      <c r="AH263" s="365">
        <v>0</v>
      </c>
      <c r="AI263" s="365"/>
      <c r="AJ263" s="365"/>
      <c r="AK263" s="365"/>
      <c r="AL263" s="366">
        <f t="shared" ref="AL263:AL326" si="206">AM263+AS263</f>
        <v>0</v>
      </c>
      <c r="AM263" s="365">
        <f t="shared" si="196"/>
        <v>0</v>
      </c>
      <c r="AN263" s="365">
        <f t="shared" ref="AN263:AN276" si="207">G263+V263</f>
        <v>0</v>
      </c>
      <c r="AO263" s="365">
        <f t="shared" ref="AO263:AO276" si="208">H263+W263</f>
        <v>0</v>
      </c>
      <c r="AP263" s="365">
        <f t="shared" ref="AP263:AP276" si="209">I263+X263</f>
        <v>0</v>
      </c>
      <c r="AQ263" s="365">
        <f t="shared" ref="AQ263:AQ276" si="210">J263+Y263</f>
        <v>0</v>
      </c>
      <c r="AR263" s="365">
        <f t="shared" ref="AR263:AR276" si="211">K263+Z263</f>
        <v>0</v>
      </c>
      <c r="AS263" s="365">
        <f t="shared" si="188"/>
        <v>0</v>
      </c>
      <c r="AT263" s="365">
        <f t="shared" ref="AT263:AT276" si="212">M263+AB263</f>
        <v>0</v>
      </c>
      <c r="AU263" s="365">
        <f t="shared" ref="AU263:AU276" si="213">N263+AC263</f>
        <v>0</v>
      </c>
      <c r="AV263" s="365">
        <f t="shared" ref="AV263:AV276" si="214">O263+AD263</f>
        <v>0</v>
      </c>
      <c r="AW263" s="365">
        <f t="shared" ref="AW263:AW276" si="215">P263+AE263</f>
        <v>0</v>
      </c>
      <c r="AX263" s="365">
        <f t="shared" ref="AX263:AX276" si="216">Q263+AF263</f>
        <v>0</v>
      </c>
      <c r="AY263" s="365">
        <f t="shared" ref="AY263:AY276" si="217">R263+AG263</f>
        <v>0</v>
      </c>
      <c r="AZ263" s="365">
        <f t="shared" ref="AZ263:AZ276" si="218">S263+AH263</f>
        <v>0</v>
      </c>
      <c r="BA263" s="365">
        <f t="shared" si="199"/>
        <v>0</v>
      </c>
      <c r="BB263" s="365">
        <f t="shared" ref="BB263:BB276" si="219">AJ263</f>
        <v>0</v>
      </c>
      <c r="BC263" s="365">
        <f t="shared" si="200"/>
        <v>0</v>
      </c>
      <c r="BD263" s="363"/>
      <c r="BE263">
        <v>15.642</v>
      </c>
    </row>
    <row r="264" ht="24" spans="1:57">
      <c r="A264" s="284" t="s">
        <v>195</v>
      </c>
      <c r="B264" s="284" t="s">
        <v>199</v>
      </c>
      <c r="C264" s="284" t="s">
        <v>516</v>
      </c>
      <c r="D264" s="284" t="s">
        <v>517</v>
      </c>
      <c r="E264" s="365">
        <f t="shared" si="192"/>
        <v>80.98</v>
      </c>
      <c r="F264" s="365">
        <f t="shared" si="193"/>
        <v>37.48</v>
      </c>
      <c r="G264" s="365">
        <v>27.44</v>
      </c>
      <c r="H264" s="365"/>
      <c r="I264" s="365">
        <v>10.04</v>
      </c>
      <c r="J264" s="365"/>
      <c r="K264" s="365"/>
      <c r="L264" s="365">
        <f t="shared" si="194"/>
        <v>43.5</v>
      </c>
      <c r="M264" s="365">
        <v>6.02</v>
      </c>
      <c r="N264" s="365"/>
      <c r="O264" s="365"/>
      <c r="P264" s="365">
        <v>2.48</v>
      </c>
      <c r="Q264" s="365"/>
      <c r="R264" s="365"/>
      <c r="S264" s="365">
        <v>35</v>
      </c>
      <c r="T264" s="366">
        <f t="shared" ref="T264:T327" si="220">U264+AA264</f>
        <v>-12.135</v>
      </c>
      <c r="U264" s="366">
        <f t="shared" si="187"/>
        <v>2.71</v>
      </c>
      <c r="V264" s="366">
        <v>1.3</v>
      </c>
      <c r="W264" s="366"/>
      <c r="X264" s="366">
        <v>1.41</v>
      </c>
      <c r="Y264" s="366"/>
      <c r="Z264" s="366"/>
      <c r="AA264" s="365">
        <f t="shared" si="195"/>
        <v>-14.845</v>
      </c>
      <c r="AB264" s="365">
        <v>0.02</v>
      </c>
      <c r="AC264" s="365"/>
      <c r="AD264" s="365"/>
      <c r="AE264" s="365"/>
      <c r="AF264" s="365"/>
      <c r="AG264" s="365">
        <v>0.18</v>
      </c>
      <c r="AH264" s="365">
        <v>-35</v>
      </c>
      <c r="AI264" s="365">
        <v>10.29</v>
      </c>
      <c r="AJ264" s="365">
        <v>5</v>
      </c>
      <c r="AK264" s="365">
        <v>4.665</v>
      </c>
      <c r="AL264" s="366">
        <f t="shared" si="206"/>
        <v>68.845</v>
      </c>
      <c r="AM264" s="365">
        <f t="shared" si="196"/>
        <v>40.19</v>
      </c>
      <c r="AN264" s="365">
        <f t="shared" si="207"/>
        <v>28.74</v>
      </c>
      <c r="AO264" s="365">
        <f t="shared" si="208"/>
        <v>0</v>
      </c>
      <c r="AP264" s="365">
        <f t="shared" si="209"/>
        <v>11.45</v>
      </c>
      <c r="AQ264" s="365">
        <f t="shared" si="210"/>
        <v>0</v>
      </c>
      <c r="AR264" s="365">
        <f t="shared" si="211"/>
        <v>0</v>
      </c>
      <c r="AS264" s="365">
        <f t="shared" si="188"/>
        <v>28.655</v>
      </c>
      <c r="AT264" s="365">
        <f t="shared" si="212"/>
        <v>6.04</v>
      </c>
      <c r="AU264" s="365">
        <f t="shared" si="213"/>
        <v>0</v>
      </c>
      <c r="AV264" s="365">
        <f t="shared" si="214"/>
        <v>0</v>
      </c>
      <c r="AW264" s="365">
        <f t="shared" si="215"/>
        <v>2.48</v>
      </c>
      <c r="AX264" s="365">
        <f t="shared" si="216"/>
        <v>0</v>
      </c>
      <c r="AY264" s="365">
        <f t="shared" si="217"/>
        <v>0.18</v>
      </c>
      <c r="AZ264" s="365">
        <f t="shared" si="218"/>
        <v>0</v>
      </c>
      <c r="BA264" s="365">
        <f t="shared" si="199"/>
        <v>10.29</v>
      </c>
      <c r="BB264" s="365">
        <f t="shared" si="219"/>
        <v>5</v>
      </c>
      <c r="BC264" s="365">
        <f t="shared" si="200"/>
        <v>4.665</v>
      </c>
      <c r="BD264" s="363" t="s">
        <v>866</v>
      </c>
      <c r="BE264">
        <v>4.665</v>
      </c>
    </row>
    <row r="265" ht="36" spans="1:57">
      <c r="A265" s="284" t="s">
        <v>195</v>
      </c>
      <c r="B265" s="284" t="s">
        <v>518</v>
      </c>
      <c r="C265" s="284" t="s">
        <v>519</v>
      </c>
      <c r="D265" s="284" t="s">
        <v>520</v>
      </c>
      <c r="E265" s="365">
        <f t="shared" si="192"/>
        <v>270.108</v>
      </c>
      <c r="F265" s="365">
        <f t="shared" si="193"/>
        <v>0</v>
      </c>
      <c r="G265" s="365"/>
      <c r="H265" s="365"/>
      <c r="I265" s="365"/>
      <c r="J265" s="365"/>
      <c r="K265" s="365"/>
      <c r="L265" s="365">
        <f t="shared" si="194"/>
        <v>270.108</v>
      </c>
      <c r="M265" s="365"/>
      <c r="N265" s="365"/>
      <c r="O265" s="365">
        <v>220.108</v>
      </c>
      <c r="P265" s="365"/>
      <c r="Q265" s="365"/>
      <c r="R265" s="365"/>
      <c r="S265" s="365">
        <v>50</v>
      </c>
      <c r="T265" s="366">
        <f t="shared" si="220"/>
        <v>-3.54</v>
      </c>
      <c r="U265" s="366">
        <f t="shared" si="187"/>
        <v>0</v>
      </c>
      <c r="V265" s="366"/>
      <c r="W265" s="366"/>
      <c r="X265" s="366"/>
      <c r="Y265" s="366"/>
      <c r="Z265" s="366"/>
      <c r="AA265" s="365">
        <f t="shared" si="195"/>
        <v>-3.54</v>
      </c>
      <c r="AB265" s="365"/>
      <c r="AC265" s="365"/>
      <c r="AD265" s="365">
        <v>6.67</v>
      </c>
      <c r="AE265" s="365"/>
      <c r="AF265" s="365"/>
      <c r="AG265" s="365"/>
      <c r="AH265" s="365">
        <v>-50</v>
      </c>
      <c r="AI265" s="365">
        <v>24</v>
      </c>
      <c r="AJ265" s="365">
        <v>5</v>
      </c>
      <c r="AK265" s="365">
        <v>10.79</v>
      </c>
      <c r="AL265" s="366">
        <f t="shared" si="206"/>
        <v>266.568</v>
      </c>
      <c r="AM265" s="365">
        <f t="shared" si="196"/>
        <v>0</v>
      </c>
      <c r="AN265" s="365">
        <f t="shared" si="207"/>
        <v>0</v>
      </c>
      <c r="AO265" s="365">
        <f t="shared" si="208"/>
        <v>0</v>
      </c>
      <c r="AP265" s="365">
        <f t="shared" si="209"/>
        <v>0</v>
      </c>
      <c r="AQ265" s="365">
        <f t="shared" si="210"/>
        <v>0</v>
      </c>
      <c r="AR265" s="365">
        <f t="shared" si="211"/>
        <v>0</v>
      </c>
      <c r="AS265" s="365">
        <f t="shared" si="188"/>
        <v>266.568</v>
      </c>
      <c r="AT265" s="365">
        <f t="shared" si="212"/>
        <v>0</v>
      </c>
      <c r="AU265" s="365">
        <f t="shared" si="213"/>
        <v>0</v>
      </c>
      <c r="AV265" s="365">
        <f t="shared" si="214"/>
        <v>226.778</v>
      </c>
      <c r="AW265" s="365">
        <f t="shared" si="215"/>
        <v>0</v>
      </c>
      <c r="AX265" s="365">
        <f t="shared" si="216"/>
        <v>0</v>
      </c>
      <c r="AY265" s="365">
        <f t="shared" si="217"/>
        <v>0</v>
      </c>
      <c r="AZ265" s="365">
        <f t="shared" si="218"/>
        <v>0</v>
      </c>
      <c r="BA265" s="365">
        <f t="shared" si="199"/>
        <v>24</v>
      </c>
      <c r="BB265" s="365">
        <f t="shared" si="219"/>
        <v>5</v>
      </c>
      <c r="BC265" s="365">
        <f t="shared" si="200"/>
        <v>10.79</v>
      </c>
      <c r="BD265" s="363"/>
      <c r="BE265">
        <v>10.79</v>
      </c>
    </row>
    <row r="266" ht="24" spans="1:57">
      <c r="A266" s="284" t="s">
        <v>195</v>
      </c>
      <c r="B266" s="284" t="s">
        <v>199</v>
      </c>
      <c r="C266" s="284" t="s">
        <v>793</v>
      </c>
      <c r="D266" s="284" t="s">
        <v>522</v>
      </c>
      <c r="E266" s="365">
        <f t="shared" si="192"/>
        <v>68.69</v>
      </c>
      <c r="F266" s="365">
        <f t="shared" si="193"/>
        <v>33.25</v>
      </c>
      <c r="G266" s="365">
        <v>24.19</v>
      </c>
      <c r="H266" s="365"/>
      <c r="I266" s="365">
        <v>9.06</v>
      </c>
      <c r="J266" s="365"/>
      <c r="K266" s="365"/>
      <c r="L266" s="365">
        <f t="shared" si="194"/>
        <v>35.44</v>
      </c>
      <c r="M266" s="365">
        <v>5.44</v>
      </c>
      <c r="N266" s="365"/>
      <c r="O266" s="365"/>
      <c r="P266" s="365"/>
      <c r="Q266" s="365"/>
      <c r="R266" s="365"/>
      <c r="S266" s="366">
        <v>30</v>
      </c>
      <c r="T266" s="366">
        <f t="shared" si="220"/>
        <v>4.9817</v>
      </c>
      <c r="U266" s="366">
        <f t="shared" si="187"/>
        <v>13.79</v>
      </c>
      <c r="V266" s="366">
        <v>11.02</v>
      </c>
      <c r="W266" s="366"/>
      <c r="X266" s="366">
        <v>2.77</v>
      </c>
      <c r="Y266" s="366"/>
      <c r="Z266" s="366"/>
      <c r="AA266" s="365">
        <f t="shared" si="195"/>
        <v>-8.8083</v>
      </c>
      <c r="AB266" s="366">
        <v>1.75</v>
      </c>
      <c r="AC266" s="366"/>
      <c r="AD266" s="366"/>
      <c r="AE266" s="366"/>
      <c r="AF266" s="366"/>
      <c r="AG266" s="366">
        <v>0.15</v>
      </c>
      <c r="AH266" s="365">
        <v>-30</v>
      </c>
      <c r="AI266" s="366">
        <v>11.88</v>
      </c>
      <c r="AJ266" s="366">
        <v>2</v>
      </c>
      <c r="AK266" s="365">
        <v>5.4117</v>
      </c>
      <c r="AL266" s="366">
        <f t="shared" si="206"/>
        <v>73.6717</v>
      </c>
      <c r="AM266" s="365">
        <f t="shared" si="196"/>
        <v>47.04</v>
      </c>
      <c r="AN266" s="365">
        <f t="shared" si="207"/>
        <v>35.21</v>
      </c>
      <c r="AO266" s="365">
        <f t="shared" si="208"/>
        <v>0</v>
      </c>
      <c r="AP266" s="365">
        <f t="shared" si="209"/>
        <v>11.83</v>
      </c>
      <c r="AQ266" s="365">
        <f t="shared" si="210"/>
        <v>0</v>
      </c>
      <c r="AR266" s="365">
        <f t="shared" si="211"/>
        <v>0</v>
      </c>
      <c r="AS266" s="365">
        <f t="shared" si="188"/>
        <v>26.6317</v>
      </c>
      <c r="AT266" s="365">
        <f t="shared" si="212"/>
        <v>7.19</v>
      </c>
      <c r="AU266" s="365">
        <f t="shared" si="213"/>
        <v>0</v>
      </c>
      <c r="AV266" s="365">
        <f t="shared" si="214"/>
        <v>0</v>
      </c>
      <c r="AW266" s="365">
        <f t="shared" si="215"/>
        <v>0</v>
      </c>
      <c r="AX266" s="365">
        <f t="shared" si="216"/>
        <v>0</v>
      </c>
      <c r="AY266" s="365">
        <f t="shared" si="217"/>
        <v>0.15</v>
      </c>
      <c r="AZ266" s="365">
        <f t="shared" si="218"/>
        <v>0</v>
      </c>
      <c r="BA266" s="365">
        <f t="shared" si="199"/>
        <v>11.88</v>
      </c>
      <c r="BB266" s="365">
        <f t="shared" si="219"/>
        <v>2</v>
      </c>
      <c r="BC266" s="365">
        <f t="shared" si="200"/>
        <v>5.4117</v>
      </c>
      <c r="BD266" s="363" t="s">
        <v>776</v>
      </c>
      <c r="BE266">
        <v>5.4117</v>
      </c>
    </row>
    <row r="267" ht="36" spans="1:57">
      <c r="A267" s="284" t="s">
        <v>195</v>
      </c>
      <c r="B267" s="284" t="s">
        <v>196</v>
      </c>
      <c r="C267" s="284" t="s">
        <v>523</v>
      </c>
      <c r="D267" s="284" t="s">
        <v>524</v>
      </c>
      <c r="E267" s="365">
        <f t="shared" si="192"/>
        <v>0</v>
      </c>
      <c r="F267" s="365">
        <f t="shared" si="193"/>
        <v>0</v>
      </c>
      <c r="G267" s="365"/>
      <c r="H267" s="365"/>
      <c r="I267" s="365"/>
      <c r="J267" s="365"/>
      <c r="K267" s="365"/>
      <c r="L267" s="365">
        <f t="shared" si="194"/>
        <v>0</v>
      </c>
      <c r="M267" s="365"/>
      <c r="N267" s="365"/>
      <c r="O267" s="365"/>
      <c r="P267" s="365"/>
      <c r="Q267" s="365"/>
      <c r="R267" s="365"/>
      <c r="S267" s="366"/>
      <c r="T267" s="366">
        <f t="shared" si="220"/>
        <v>0</v>
      </c>
      <c r="U267" s="366">
        <f t="shared" ref="U267:U330" si="221">SUM(V267:Z267)</f>
        <v>0</v>
      </c>
      <c r="V267" s="366"/>
      <c r="W267" s="366"/>
      <c r="X267" s="366"/>
      <c r="Y267" s="366"/>
      <c r="Z267" s="366"/>
      <c r="AA267" s="365">
        <f t="shared" si="195"/>
        <v>0</v>
      </c>
      <c r="AB267" s="366"/>
      <c r="AC267" s="366"/>
      <c r="AD267" s="366"/>
      <c r="AE267" s="366"/>
      <c r="AF267" s="366"/>
      <c r="AG267" s="366"/>
      <c r="AH267" s="365">
        <v>0</v>
      </c>
      <c r="AI267" s="366"/>
      <c r="AJ267" s="366"/>
      <c r="AK267" s="366"/>
      <c r="AL267" s="366">
        <f t="shared" si="206"/>
        <v>0</v>
      </c>
      <c r="AM267" s="365">
        <f t="shared" si="196"/>
        <v>0</v>
      </c>
      <c r="AN267" s="365">
        <f t="shared" si="207"/>
        <v>0</v>
      </c>
      <c r="AO267" s="365">
        <f t="shared" si="208"/>
        <v>0</v>
      </c>
      <c r="AP267" s="365">
        <f t="shared" si="209"/>
        <v>0</v>
      </c>
      <c r="AQ267" s="365">
        <f t="shared" si="210"/>
        <v>0</v>
      </c>
      <c r="AR267" s="365">
        <f t="shared" si="211"/>
        <v>0</v>
      </c>
      <c r="AS267" s="365">
        <f t="shared" ref="AS267:AS330" si="222">SUM(AT267:BC267)</f>
        <v>0</v>
      </c>
      <c r="AT267" s="365">
        <f t="shared" si="212"/>
        <v>0</v>
      </c>
      <c r="AU267" s="365">
        <f t="shared" si="213"/>
        <v>0</v>
      </c>
      <c r="AV267" s="365">
        <f t="shared" si="214"/>
        <v>0</v>
      </c>
      <c r="AW267" s="365">
        <f t="shared" si="215"/>
        <v>0</v>
      </c>
      <c r="AX267" s="365">
        <f t="shared" si="216"/>
        <v>0</v>
      </c>
      <c r="AY267" s="365">
        <f t="shared" si="217"/>
        <v>0</v>
      </c>
      <c r="AZ267" s="365">
        <f t="shared" si="218"/>
        <v>0</v>
      </c>
      <c r="BA267" s="365">
        <f t="shared" si="199"/>
        <v>0</v>
      </c>
      <c r="BB267" s="365">
        <f t="shared" si="219"/>
        <v>0</v>
      </c>
      <c r="BC267" s="365">
        <f t="shared" si="200"/>
        <v>0</v>
      </c>
      <c r="BD267" s="363"/>
      <c r="BE267">
        <v>2.1974</v>
      </c>
    </row>
    <row r="268" ht="36" spans="1:56">
      <c r="A268" s="284" t="s">
        <v>195</v>
      </c>
      <c r="B268" s="284" t="s">
        <v>199</v>
      </c>
      <c r="C268" s="284" t="s">
        <v>525</v>
      </c>
      <c r="D268" s="284" t="s">
        <v>526</v>
      </c>
      <c r="E268" s="365">
        <f t="shared" si="192"/>
        <v>36.59</v>
      </c>
      <c r="F268" s="365">
        <f t="shared" si="193"/>
        <v>31.41</v>
      </c>
      <c r="G268" s="365">
        <v>22.78</v>
      </c>
      <c r="H268" s="365"/>
      <c r="I268" s="365">
        <v>8.63</v>
      </c>
      <c r="J268" s="365"/>
      <c r="K268" s="365"/>
      <c r="L268" s="365">
        <f t="shared" si="194"/>
        <v>5.18</v>
      </c>
      <c r="M268" s="365">
        <v>5.18</v>
      </c>
      <c r="N268" s="365"/>
      <c r="O268" s="365"/>
      <c r="P268" s="365"/>
      <c r="Q268" s="365"/>
      <c r="R268" s="365"/>
      <c r="S268" s="365"/>
      <c r="T268" s="366">
        <f t="shared" si="220"/>
        <v>18.32</v>
      </c>
      <c r="U268" s="366">
        <f t="shared" si="221"/>
        <v>3.32</v>
      </c>
      <c r="V268" s="366">
        <v>3.23</v>
      </c>
      <c r="W268" s="366"/>
      <c r="X268" s="366">
        <v>0.09</v>
      </c>
      <c r="Y268" s="366"/>
      <c r="Z268" s="366"/>
      <c r="AA268" s="365">
        <f t="shared" si="195"/>
        <v>15</v>
      </c>
      <c r="AB268" s="365">
        <v>0.06</v>
      </c>
      <c r="AC268" s="365"/>
      <c r="AD268" s="365"/>
      <c r="AE268" s="365"/>
      <c r="AF268" s="365"/>
      <c r="AG268" s="365">
        <v>0.15</v>
      </c>
      <c r="AH268" s="365">
        <v>0</v>
      </c>
      <c r="AI268" s="365">
        <v>8.79</v>
      </c>
      <c r="AJ268" s="365">
        <v>6</v>
      </c>
      <c r="AK268" s="365">
        <v>0</v>
      </c>
      <c r="AL268" s="366">
        <f t="shared" si="206"/>
        <v>54.91</v>
      </c>
      <c r="AM268" s="365">
        <f t="shared" si="196"/>
        <v>34.73</v>
      </c>
      <c r="AN268" s="365">
        <f t="shared" si="207"/>
        <v>26.01</v>
      </c>
      <c r="AO268" s="365">
        <f t="shared" si="208"/>
        <v>0</v>
      </c>
      <c r="AP268" s="365">
        <f t="shared" si="209"/>
        <v>8.72</v>
      </c>
      <c r="AQ268" s="365">
        <f t="shared" si="210"/>
        <v>0</v>
      </c>
      <c r="AR268" s="365">
        <f t="shared" si="211"/>
        <v>0</v>
      </c>
      <c r="AS268" s="365">
        <f t="shared" si="222"/>
        <v>20.18</v>
      </c>
      <c r="AT268" s="365">
        <f t="shared" si="212"/>
        <v>5.24</v>
      </c>
      <c r="AU268" s="365">
        <f t="shared" si="213"/>
        <v>0</v>
      </c>
      <c r="AV268" s="365">
        <f t="shared" si="214"/>
        <v>0</v>
      </c>
      <c r="AW268" s="365">
        <f t="shared" si="215"/>
        <v>0</v>
      </c>
      <c r="AX268" s="365">
        <f t="shared" si="216"/>
        <v>0</v>
      </c>
      <c r="AY268" s="365">
        <f t="shared" si="217"/>
        <v>0.15</v>
      </c>
      <c r="AZ268" s="365">
        <f t="shared" si="218"/>
        <v>0</v>
      </c>
      <c r="BA268" s="365">
        <f t="shared" si="199"/>
        <v>8.79</v>
      </c>
      <c r="BB268" s="365">
        <f t="shared" si="219"/>
        <v>6</v>
      </c>
      <c r="BC268" s="365">
        <f t="shared" si="200"/>
        <v>0</v>
      </c>
      <c r="BD268" s="363" t="s">
        <v>776</v>
      </c>
    </row>
    <row r="269" ht="36" spans="1:56">
      <c r="A269" s="284" t="s">
        <v>195</v>
      </c>
      <c r="B269" s="284" t="s">
        <v>199</v>
      </c>
      <c r="C269" s="284" t="s">
        <v>527</v>
      </c>
      <c r="D269" s="284" t="s">
        <v>526</v>
      </c>
      <c r="E269" s="365">
        <f t="shared" si="192"/>
        <v>27.56</v>
      </c>
      <c r="F269" s="365">
        <f t="shared" si="193"/>
        <v>23.22</v>
      </c>
      <c r="G269" s="365">
        <v>15.98</v>
      </c>
      <c r="H269" s="365"/>
      <c r="I269" s="365">
        <v>7.24</v>
      </c>
      <c r="J269" s="365"/>
      <c r="K269" s="365"/>
      <c r="L269" s="365">
        <f t="shared" si="194"/>
        <v>4.34</v>
      </c>
      <c r="M269" s="365">
        <v>4.34</v>
      </c>
      <c r="N269" s="365"/>
      <c r="O269" s="365"/>
      <c r="P269" s="365"/>
      <c r="Q269" s="365"/>
      <c r="R269" s="365"/>
      <c r="S269" s="365"/>
      <c r="T269" s="366">
        <f t="shared" si="220"/>
        <v>15.15</v>
      </c>
      <c r="U269" s="366">
        <f t="shared" si="221"/>
        <v>3.99</v>
      </c>
      <c r="V269" s="366">
        <v>3.55</v>
      </c>
      <c r="W269" s="366"/>
      <c r="X269" s="366">
        <v>0.44</v>
      </c>
      <c r="Y269" s="366"/>
      <c r="Z269" s="366"/>
      <c r="AA269" s="365">
        <f t="shared" si="195"/>
        <v>11.16</v>
      </c>
      <c r="AB269" s="365">
        <v>0.27</v>
      </c>
      <c r="AC269" s="365"/>
      <c r="AD269" s="365"/>
      <c r="AE269" s="365"/>
      <c r="AF269" s="365"/>
      <c r="AG269" s="365">
        <v>0.15</v>
      </c>
      <c r="AH269" s="365">
        <v>0</v>
      </c>
      <c r="AI269" s="365">
        <v>7.74</v>
      </c>
      <c r="AJ269" s="365">
        <v>3</v>
      </c>
      <c r="AK269" s="365">
        <v>0</v>
      </c>
      <c r="AL269" s="366">
        <f t="shared" si="206"/>
        <v>42.71</v>
      </c>
      <c r="AM269" s="365">
        <f t="shared" si="196"/>
        <v>27.21</v>
      </c>
      <c r="AN269" s="365">
        <f t="shared" si="207"/>
        <v>19.53</v>
      </c>
      <c r="AO269" s="365">
        <f t="shared" si="208"/>
        <v>0</v>
      </c>
      <c r="AP269" s="365">
        <f t="shared" si="209"/>
        <v>7.68</v>
      </c>
      <c r="AQ269" s="365">
        <f t="shared" si="210"/>
        <v>0</v>
      </c>
      <c r="AR269" s="365">
        <f t="shared" si="211"/>
        <v>0</v>
      </c>
      <c r="AS269" s="365">
        <f t="shared" si="222"/>
        <v>15.5</v>
      </c>
      <c r="AT269" s="365">
        <f t="shared" si="212"/>
        <v>4.61</v>
      </c>
      <c r="AU269" s="365">
        <f t="shared" si="213"/>
        <v>0</v>
      </c>
      <c r="AV269" s="365">
        <f t="shared" si="214"/>
        <v>0</v>
      </c>
      <c r="AW269" s="365">
        <f t="shared" si="215"/>
        <v>0</v>
      </c>
      <c r="AX269" s="365">
        <f t="shared" si="216"/>
        <v>0</v>
      </c>
      <c r="AY269" s="365">
        <f t="shared" si="217"/>
        <v>0.15</v>
      </c>
      <c r="AZ269" s="365">
        <f t="shared" si="218"/>
        <v>0</v>
      </c>
      <c r="BA269" s="365">
        <f t="shared" si="199"/>
        <v>7.74</v>
      </c>
      <c r="BB269" s="365">
        <f t="shared" si="219"/>
        <v>3</v>
      </c>
      <c r="BC269" s="365">
        <f t="shared" si="200"/>
        <v>0</v>
      </c>
      <c r="BD269" s="363" t="s">
        <v>776</v>
      </c>
    </row>
    <row r="270" ht="36" spans="1:56">
      <c r="A270" s="284" t="s">
        <v>195</v>
      </c>
      <c r="B270" s="284" t="s">
        <v>199</v>
      </c>
      <c r="C270" s="284" t="s">
        <v>528</v>
      </c>
      <c r="D270" s="284" t="s">
        <v>526</v>
      </c>
      <c r="E270" s="365">
        <f t="shared" si="192"/>
        <v>18.73</v>
      </c>
      <c r="F270" s="365">
        <f t="shared" si="193"/>
        <v>16.1</v>
      </c>
      <c r="G270" s="365">
        <v>11.71</v>
      </c>
      <c r="H270" s="365"/>
      <c r="I270" s="365">
        <v>4.39</v>
      </c>
      <c r="J270" s="365"/>
      <c r="K270" s="365"/>
      <c r="L270" s="365">
        <f t="shared" si="194"/>
        <v>2.63</v>
      </c>
      <c r="M270" s="365">
        <v>2.63</v>
      </c>
      <c r="N270" s="365"/>
      <c r="O270" s="365"/>
      <c r="P270" s="365"/>
      <c r="Q270" s="365"/>
      <c r="R270" s="365"/>
      <c r="S270" s="365"/>
      <c r="T270" s="366">
        <f t="shared" si="220"/>
        <v>15.6</v>
      </c>
      <c r="U270" s="366">
        <f t="shared" si="221"/>
        <v>7.81</v>
      </c>
      <c r="V270" s="366">
        <v>5.99</v>
      </c>
      <c r="W270" s="366"/>
      <c r="X270" s="366">
        <v>1.82</v>
      </c>
      <c r="Y270" s="366"/>
      <c r="Z270" s="366"/>
      <c r="AA270" s="365">
        <f t="shared" si="195"/>
        <v>7.79</v>
      </c>
      <c r="AB270" s="365">
        <v>1.09</v>
      </c>
      <c r="AC270" s="365"/>
      <c r="AD270" s="365"/>
      <c r="AE270" s="365"/>
      <c r="AF270" s="365"/>
      <c r="AG270" s="365">
        <v>0.15</v>
      </c>
      <c r="AH270" s="365">
        <v>0</v>
      </c>
      <c r="AI270" s="365">
        <v>5.55</v>
      </c>
      <c r="AJ270" s="365">
        <v>1</v>
      </c>
      <c r="AK270" s="365">
        <v>0</v>
      </c>
      <c r="AL270" s="366">
        <f t="shared" si="206"/>
        <v>34.33</v>
      </c>
      <c r="AM270" s="365">
        <f t="shared" si="196"/>
        <v>23.91</v>
      </c>
      <c r="AN270" s="365">
        <f t="shared" si="207"/>
        <v>17.7</v>
      </c>
      <c r="AO270" s="365">
        <f t="shared" si="208"/>
        <v>0</v>
      </c>
      <c r="AP270" s="365">
        <f t="shared" si="209"/>
        <v>6.21</v>
      </c>
      <c r="AQ270" s="365">
        <f t="shared" si="210"/>
        <v>0</v>
      </c>
      <c r="AR270" s="365">
        <f t="shared" si="211"/>
        <v>0</v>
      </c>
      <c r="AS270" s="365">
        <f t="shared" si="222"/>
        <v>10.42</v>
      </c>
      <c r="AT270" s="365">
        <f t="shared" si="212"/>
        <v>3.72</v>
      </c>
      <c r="AU270" s="365">
        <f t="shared" si="213"/>
        <v>0</v>
      </c>
      <c r="AV270" s="365">
        <f t="shared" si="214"/>
        <v>0</v>
      </c>
      <c r="AW270" s="365">
        <f t="shared" si="215"/>
        <v>0</v>
      </c>
      <c r="AX270" s="365">
        <f t="shared" si="216"/>
        <v>0</v>
      </c>
      <c r="AY270" s="365">
        <f t="shared" si="217"/>
        <v>0.15</v>
      </c>
      <c r="AZ270" s="365">
        <f t="shared" si="218"/>
        <v>0</v>
      </c>
      <c r="BA270" s="365">
        <f t="shared" si="199"/>
        <v>5.55</v>
      </c>
      <c r="BB270" s="365">
        <f t="shared" si="219"/>
        <v>1</v>
      </c>
      <c r="BC270" s="365">
        <f t="shared" si="200"/>
        <v>0</v>
      </c>
      <c r="BD270" s="363" t="s">
        <v>776</v>
      </c>
    </row>
    <row r="271" ht="36" spans="1:56">
      <c r="A271" s="284" t="s">
        <v>195</v>
      </c>
      <c r="B271" s="284" t="s">
        <v>199</v>
      </c>
      <c r="C271" s="284" t="s">
        <v>529</v>
      </c>
      <c r="D271" s="284" t="s">
        <v>526</v>
      </c>
      <c r="E271" s="365">
        <f t="shared" si="192"/>
        <v>19.23</v>
      </c>
      <c r="F271" s="365">
        <f t="shared" si="193"/>
        <v>16.21</v>
      </c>
      <c r="G271" s="365">
        <v>11.18</v>
      </c>
      <c r="H271" s="365"/>
      <c r="I271" s="365">
        <v>5.03</v>
      </c>
      <c r="J271" s="365"/>
      <c r="K271" s="365"/>
      <c r="L271" s="365">
        <f t="shared" si="194"/>
        <v>3.02</v>
      </c>
      <c r="M271" s="365">
        <v>3.02</v>
      </c>
      <c r="N271" s="365"/>
      <c r="O271" s="365"/>
      <c r="P271" s="365"/>
      <c r="Q271" s="365"/>
      <c r="R271" s="365"/>
      <c r="S271" s="365"/>
      <c r="T271" s="366">
        <f t="shared" si="220"/>
        <v>16.35</v>
      </c>
      <c r="U271" s="366">
        <f t="shared" si="221"/>
        <v>6.29</v>
      </c>
      <c r="V271" s="366">
        <v>4.71</v>
      </c>
      <c r="W271" s="366"/>
      <c r="X271" s="366">
        <v>1.58</v>
      </c>
      <c r="Y271" s="366"/>
      <c r="Z271" s="366"/>
      <c r="AA271" s="365">
        <f t="shared" si="195"/>
        <v>10.06</v>
      </c>
      <c r="AB271" s="365">
        <v>0.95</v>
      </c>
      <c r="AC271" s="365"/>
      <c r="AD271" s="365"/>
      <c r="AE271" s="365"/>
      <c r="AF271" s="365"/>
      <c r="AG271" s="365"/>
      <c r="AH271" s="365">
        <v>0</v>
      </c>
      <c r="AI271" s="365">
        <v>7.11</v>
      </c>
      <c r="AJ271" s="365">
        <v>2</v>
      </c>
      <c r="AK271" s="365">
        <v>0</v>
      </c>
      <c r="AL271" s="366">
        <f t="shared" si="206"/>
        <v>35.58</v>
      </c>
      <c r="AM271" s="365">
        <f t="shared" si="196"/>
        <v>22.5</v>
      </c>
      <c r="AN271" s="365">
        <f t="shared" si="207"/>
        <v>15.89</v>
      </c>
      <c r="AO271" s="365">
        <f t="shared" si="208"/>
        <v>0</v>
      </c>
      <c r="AP271" s="365">
        <f t="shared" si="209"/>
        <v>6.61</v>
      </c>
      <c r="AQ271" s="365">
        <f t="shared" si="210"/>
        <v>0</v>
      </c>
      <c r="AR271" s="365">
        <f t="shared" si="211"/>
        <v>0</v>
      </c>
      <c r="AS271" s="365">
        <f t="shared" si="222"/>
        <v>13.08</v>
      </c>
      <c r="AT271" s="365">
        <f t="shared" si="212"/>
        <v>3.97</v>
      </c>
      <c r="AU271" s="365">
        <f t="shared" si="213"/>
        <v>0</v>
      </c>
      <c r="AV271" s="365">
        <f t="shared" si="214"/>
        <v>0</v>
      </c>
      <c r="AW271" s="365">
        <f t="shared" si="215"/>
        <v>0</v>
      </c>
      <c r="AX271" s="365">
        <f t="shared" si="216"/>
        <v>0</v>
      </c>
      <c r="AY271" s="365">
        <f t="shared" si="217"/>
        <v>0</v>
      </c>
      <c r="AZ271" s="365">
        <f t="shared" si="218"/>
        <v>0</v>
      </c>
      <c r="BA271" s="365">
        <f t="shared" si="199"/>
        <v>7.11</v>
      </c>
      <c r="BB271" s="365">
        <f t="shared" si="219"/>
        <v>2</v>
      </c>
      <c r="BC271" s="365">
        <f t="shared" si="200"/>
        <v>0</v>
      </c>
      <c r="BD271" s="363"/>
    </row>
    <row r="272" ht="24" spans="1:57">
      <c r="A272" s="284" t="s">
        <v>195</v>
      </c>
      <c r="B272" s="284" t="s">
        <v>199</v>
      </c>
      <c r="C272" s="284" t="s">
        <v>794</v>
      </c>
      <c r="D272" s="284" t="s">
        <v>531</v>
      </c>
      <c r="E272" s="365">
        <f t="shared" si="192"/>
        <v>161.078928</v>
      </c>
      <c r="F272" s="365">
        <f t="shared" si="193"/>
        <v>65.85</v>
      </c>
      <c r="G272" s="365">
        <v>46.82</v>
      </c>
      <c r="H272" s="365"/>
      <c r="I272" s="365">
        <v>19.03</v>
      </c>
      <c r="J272" s="365"/>
      <c r="K272" s="365"/>
      <c r="L272" s="365">
        <f t="shared" si="194"/>
        <v>95.228928</v>
      </c>
      <c r="M272" s="365">
        <v>11.42</v>
      </c>
      <c r="N272" s="365"/>
      <c r="O272" s="365"/>
      <c r="P272" s="365">
        <v>19.808928</v>
      </c>
      <c r="Q272" s="365"/>
      <c r="R272" s="365"/>
      <c r="S272" s="366">
        <v>64</v>
      </c>
      <c r="T272" s="366">
        <f t="shared" si="220"/>
        <v>-22.2883</v>
      </c>
      <c r="U272" s="366">
        <f t="shared" si="221"/>
        <v>7.78</v>
      </c>
      <c r="V272" s="366">
        <v>7.14</v>
      </c>
      <c r="W272" s="366"/>
      <c r="X272" s="366">
        <v>0.64</v>
      </c>
      <c r="Y272" s="366"/>
      <c r="Z272" s="366"/>
      <c r="AA272" s="365">
        <f t="shared" si="195"/>
        <v>-30.0683</v>
      </c>
      <c r="AB272" s="366">
        <v>0.38</v>
      </c>
      <c r="AC272" s="366"/>
      <c r="AD272" s="366"/>
      <c r="AE272" s="366"/>
      <c r="AF272" s="366"/>
      <c r="AG272" s="366">
        <v>0.15</v>
      </c>
      <c r="AH272" s="365">
        <v>-64</v>
      </c>
      <c r="AI272" s="366">
        <v>15.85</v>
      </c>
      <c r="AJ272" s="366">
        <v>11</v>
      </c>
      <c r="AK272" s="365">
        <v>6.5517</v>
      </c>
      <c r="AL272" s="366">
        <f t="shared" si="206"/>
        <v>138.790628</v>
      </c>
      <c r="AM272" s="365">
        <f t="shared" si="196"/>
        <v>73.63</v>
      </c>
      <c r="AN272" s="365">
        <f t="shared" si="207"/>
        <v>53.96</v>
      </c>
      <c r="AO272" s="365">
        <f t="shared" si="208"/>
        <v>0</v>
      </c>
      <c r="AP272" s="365">
        <f t="shared" si="209"/>
        <v>19.67</v>
      </c>
      <c r="AQ272" s="365">
        <f t="shared" si="210"/>
        <v>0</v>
      </c>
      <c r="AR272" s="365">
        <f t="shared" si="211"/>
        <v>0</v>
      </c>
      <c r="AS272" s="365">
        <f t="shared" si="222"/>
        <v>65.160628</v>
      </c>
      <c r="AT272" s="365">
        <f t="shared" si="212"/>
        <v>11.8</v>
      </c>
      <c r="AU272" s="365">
        <f t="shared" si="213"/>
        <v>0</v>
      </c>
      <c r="AV272" s="365">
        <f t="shared" si="214"/>
        <v>0</v>
      </c>
      <c r="AW272" s="365">
        <f t="shared" si="215"/>
        <v>19.808928</v>
      </c>
      <c r="AX272" s="365">
        <f t="shared" si="216"/>
        <v>0</v>
      </c>
      <c r="AY272" s="365">
        <f t="shared" si="217"/>
        <v>0.15</v>
      </c>
      <c r="AZ272" s="365">
        <f t="shared" si="218"/>
        <v>0</v>
      </c>
      <c r="BA272" s="365">
        <f t="shared" si="199"/>
        <v>15.85</v>
      </c>
      <c r="BB272" s="365">
        <f t="shared" si="219"/>
        <v>11</v>
      </c>
      <c r="BC272" s="365">
        <f t="shared" si="200"/>
        <v>6.5517</v>
      </c>
      <c r="BD272" s="363" t="s">
        <v>776</v>
      </c>
      <c r="BE272">
        <v>6.5517</v>
      </c>
    </row>
    <row r="273" ht="24" spans="1:57">
      <c r="A273" s="284" t="s">
        <v>195</v>
      </c>
      <c r="B273" s="284" t="s">
        <v>199</v>
      </c>
      <c r="C273" s="284" t="s">
        <v>532</v>
      </c>
      <c r="D273" s="284" t="s">
        <v>533</v>
      </c>
      <c r="E273" s="365">
        <f t="shared" si="192"/>
        <v>105.25</v>
      </c>
      <c r="F273" s="365">
        <f t="shared" si="193"/>
        <v>54.92</v>
      </c>
      <c r="G273" s="365">
        <v>41.7</v>
      </c>
      <c r="H273" s="365">
        <v>0.09</v>
      </c>
      <c r="I273" s="365">
        <v>13.13</v>
      </c>
      <c r="J273" s="365"/>
      <c r="K273" s="365"/>
      <c r="L273" s="365">
        <f t="shared" si="194"/>
        <v>50.33</v>
      </c>
      <c r="M273" s="365">
        <v>7.88</v>
      </c>
      <c r="N273" s="365"/>
      <c r="O273" s="365"/>
      <c r="P273" s="365">
        <v>2.45</v>
      </c>
      <c r="Q273" s="365"/>
      <c r="R273" s="365"/>
      <c r="S273" s="365">
        <v>40</v>
      </c>
      <c r="T273" s="366">
        <f t="shared" si="220"/>
        <v>-13.14</v>
      </c>
      <c r="U273" s="366">
        <f t="shared" si="221"/>
        <v>5.14</v>
      </c>
      <c r="V273" s="366">
        <v>5.14</v>
      </c>
      <c r="W273" s="366"/>
      <c r="X273" s="366"/>
      <c r="Y273" s="366"/>
      <c r="Z273" s="366"/>
      <c r="AA273" s="365">
        <f t="shared" si="195"/>
        <v>-18.28</v>
      </c>
      <c r="AB273" s="365"/>
      <c r="AC273" s="365"/>
      <c r="AD273" s="365"/>
      <c r="AE273" s="365"/>
      <c r="AF273" s="365"/>
      <c r="AG273" s="365"/>
      <c r="AH273" s="365">
        <v>-40</v>
      </c>
      <c r="AI273" s="365">
        <v>12.72</v>
      </c>
      <c r="AJ273" s="365">
        <v>5</v>
      </c>
      <c r="AK273" s="365">
        <v>4</v>
      </c>
      <c r="AL273" s="366">
        <f t="shared" si="206"/>
        <v>92.11</v>
      </c>
      <c r="AM273" s="365">
        <f t="shared" si="196"/>
        <v>60.06</v>
      </c>
      <c r="AN273" s="365">
        <f t="shared" si="207"/>
        <v>46.84</v>
      </c>
      <c r="AO273" s="365">
        <f t="shared" si="208"/>
        <v>0.09</v>
      </c>
      <c r="AP273" s="365">
        <f t="shared" si="209"/>
        <v>13.13</v>
      </c>
      <c r="AQ273" s="365">
        <f t="shared" si="210"/>
        <v>0</v>
      </c>
      <c r="AR273" s="365">
        <f t="shared" si="211"/>
        <v>0</v>
      </c>
      <c r="AS273" s="365">
        <f t="shared" si="222"/>
        <v>32.05</v>
      </c>
      <c r="AT273" s="365">
        <f t="shared" si="212"/>
        <v>7.88</v>
      </c>
      <c r="AU273" s="365">
        <f t="shared" si="213"/>
        <v>0</v>
      </c>
      <c r="AV273" s="365">
        <f t="shared" si="214"/>
        <v>0</v>
      </c>
      <c r="AW273" s="365">
        <f t="shared" si="215"/>
        <v>2.45</v>
      </c>
      <c r="AX273" s="365">
        <f t="shared" si="216"/>
        <v>0</v>
      </c>
      <c r="AY273" s="365">
        <f t="shared" si="217"/>
        <v>0</v>
      </c>
      <c r="AZ273" s="365">
        <f t="shared" si="218"/>
        <v>0</v>
      </c>
      <c r="BA273" s="365">
        <f t="shared" si="199"/>
        <v>12.72</v>
      </c>
      <c r="BB273" s="365">
        <f t="shared" si="219"/>
        <v>5</v>
      </c>
      <c r="BC273" s="365">
        <f t="shared" si="200"/>
        <v>4</v>
      </c>
      <c r="BD273" s="363"/>
      <c r="BE273">
        <v>4</v>
      </c>
    </row>
    <row r="274" ht="36" spans="1:57">
      <c r="A274" s="284" t="s">
        <v>195</v>
      </c>
      <c r="B274" s="284" t="s">
        <v>199</v>
      </c>
      <c r="C274" s="284" t="s">
        <v>534</v>
      </c>
      <c r="D274" s="284" t="s">
        <v>535</v>
      </c>
      <c r="E274" s="365">
        <f t="shared" si="192"/>
        <v>163.53</v>
      </c>
      <c r="F274" s="365">
        <f t="shared" si="193"/>
        <v>74.88</v>
      </c>
      <c r="G274" s="365">
        <v>55.97</v>
      </c>
      <c r="H274" s="365"/>
      <c r="I274" s="365">
        <v>18.91</v>
      </c>
      <c r="J274" s="365"/>
      <c r="K274" s="365"/>
      <c r="L274" s="365">
        <f t="shared" si="194"/>
        <v>88.65</v>
      </c>
      <c r="M274" s="366">
        <v>10.39</v>
      </c>
      <c r="N274" s="365"/>
      <c r="O274" s="365"/>
      <c r="P274" s="365"/>
      <c r="Q274" s="365"/>
      <c r="R274" s="365">
        <v>14.26</v>
      </c>
      <c r="S274" s="366">
        <v>64</v>
      </c>
      <c r="T274" s="366">
        <f t="shared" si="220"/>
        <v>-16.4133</v>
      </c>
      <c r="U274" s="366">
        <f t="shared" si="221"/>
        <v>10.23</v>
      </c>
      <c r="V274" s="366">
        <v>8.89</v>
      </c>
      <c r="W274" s="366"/>
      <c r="X274" s="366">
        <v>1.34</v>
      </c>
      <c r="Y274" s="366"/>
      <c r="Z274" s="366"/>
      <c r="AA274" s="365">
        <f t="shared" si="195"/>
        <v>-26.6433</v>
      </c>
      <c r="AB274" s="366">
        <v>0.8</v>
      </c>
      <c r="AC274" s="366"/>
      <c r="AD274" s="366"/>
      <c r="AE274" s="366"/>
      <c r="AF274" s="366"/>
      <c r="AG274" s="366">
        <v>3.14</v>
      </c>
      <c r="AH274" s="365">
        <v>-64</v>
      </c>
      <c r="AI274" s="366">
        <v>20.4</v>
      </c>
      <c r="AJ274" s="366">
        <v>6</v>
      </c>
      <c r="AK274" s="365">
        <v>7.0167</v>
      </c>
      <c r="AL274" s="366">
        <f t="shared" si="206"/>
        <v>147.1167</v>
      </c>
      <c r="AM274" s="365">
        <f t="shared" si="196"/>
        <v>85.11</v>
      </c>
      <c r="AN274" s="365">
        <f t="shared" si="207"/>
        <v>64.86</v>
      </c>
      <c r="AO274" s="365">
        <f t="shared" si="208"/>
        <v>0</v>
      </c>
      <c r="AP274" s="365">
        <f t="shared" si="209"/>
        <v>20.25</v>
      </c>
      <c r="AQ274" s="365">
        <f t="shared" si="210"/>
        <v>0</v>
      </c>
      <c r="AR274" s="365">
        <f t="shared" si="211"/>
        <v>0</v>
      </c>
      <c r="AS274" s="365">
        <f t="shared" si="222"/>
        <v>62.0067</v>
      </c>
      <c r="AT274" s="365">
        <f t="shared" si="212"/>
        <v>11.19</v>
      </c>
      <c r="AU274" s="365">
        <f t="shared" si="213"/>
        <v>0</v>
      </c>
      <c r="AV274" s="365">
        <f t="shared" si="214"/>
        <v>0</v>
      </c>
      <c r="AW274" s="365">
        <f t="shared" si="215"/>
        <v>0</v>
      </c>
      <c r="AX274" s="365">
        <f t="shared" si="216"/>
        <v>0</v>
      </c>
      <c r="AY274" s="365">
        <f t="shared" si="217"/>
        <v>17.4</v>
      </c>
      <c r="AZ274" s="365">
        <f t="shared" si="218"/>
        <v>0</v>
      </c>
      <c r="BA274" s="365">
        <f t="shared" si="199"/>
        <v>20.4</v>
      </c>
      <c r="BB274" s="365">
        <f t="shared" si="219"/>
        <v>6</v>
      </c>
      <c r="BC274" s="365">
        <f t="shared" si="200"/>
        <v>7.0167</v>
      </c>
      <c r="BD274" s="363" t="s">
        <v>867</v>
      </c>
      <c r="BE274">
        <v>7.0167</v>
      </c>
    </row>
    <row r="275" ht="36" spans="1:57">
      <c r="A275" s="284" t="s">
        <v>195</v>
      </c>
      <c r="B275" s="284" t="s">
        <v>196</v>
      </c>
      <c r="C275" s="284" t="s">
        <v>536</v>
      </c>
      <c r="D275" s="284" t="s">
        <v>537</v>
      </c>
      <c r="E275" s="365">
        <f t="shared" si="192"/>
        <v>361.19</v>
      </c>
      <c r="F275" s="365">
        <f t="shared" si="193"/>
        <v>137.95</v>
      </c>
      <c r="G275" s="365">
        <v>97.55</v>
      </c>
      <c r="H275" s="365"/>
      <c r="I275" s="365">
        <v>40.4</v>
      </c>
      <c r="J275" s="365"/>
      <c r="K275" s="365"/>
      <c r="L275" s="365">
        <f t="shared" si="194"/>
        <v>223.24</v>
      </c>
      <c r="M275" s="365">
        <v>24.24</v>
      </c>
      <c r="N275" s="365"/>
      <c r="O275" s="365"/>
      <c r="P275" s="365"/>
      <c r="Q275" s="365"/>
      <c r="R275" s="365"/>
      <c r="S275" s="366">
        <v>199</v>
      </c>
      <c r="T275" s="366">
        <f t="shared" si="220"/>
        <v>-66.27</v>
      </c>
      <c r="U275" s="366">
        <f t="shared" si="221"/>
        <v>32.88</v>
      </c>
      <c r="V275" s="366">
        <v>26.93</v>
      </c>
      <c r="W275" s="366"/>
      <c r="X275" s="366">
        <v>5.95</v>
      </c>
      <c r="Y275" s="366"/>
      <c r="Z275" s="366"/>
      <c r="AA275" s="365">
        <f t="shared" si="195"/>
        <v>-99.15</v>
      </c>
      <c r="AB275" s="366">
        <v>3.72</v>
      </c>
      <c r="AC275" s="366"/>
      <c r="AD275" s="366"/>
      <c r="AE275" s="366"/>
      <c r="AF275" s="366"/>
      <c r="AG275" s="366">
        <v>0.9</v>
      </c>
      <c r="AH275" s="365">
        <v>-199</v>
      </c>
      <c r="AI275" s="366">
        <v>50.23</v>
      </c>
      <c r="AJ275" s="366">
        <v>45</v>
      </c>
      <c r="AK275" s="366"/>
      <c r="AL275" s="366">
        <f t="shared" si="206"/>
        <v>294.92</v>
      </c>
      <c r="AM275" s="365">
        <f t="shared" si="196"/>
        <v>170.83</v>
      </c>
      <c r="AN275" s="365">
        <f t="shared" si="207"/>
        <v>124.48</v>
      </c>
      <c r="AO275" s="365">
        <f t="shared" si="208"/>
        <v>0</v>
      </c>
      <c r="AP275" s="365">
        <f t="shared" si="209"/>
        <v>46.35</v>
      </c>
      <c r="AQ275" s="365">
        <f t="shared" si="210"/>
        <v>0</v>
      </c>
      <c r="AR275" s="365">
        <f t="shared" si="211"/>
        <v>0</v>
      </c>
      <c r="AS275" s="365">
        <f t="shared" si="222"/>
        <v>124.09</v>
      </c>
      <c r="AT275" s="365">
        <f t="shared" si="212"/>
        <v>27.96</v>
      </c>
      <c r="AU275" s="365">
        <f t="shared" si="213"/>
        <v>0</v>
      </c>
      <c r="AV275" s="365">
        <f t="shared" si="214"/>
        <v>0</v>
      </c>
      <c r="AW275" s="365">
        <f t="shared" si="215"/>
        <v>0</v>
      </c>
      <c r="AX275" s="365">
        <f t="shared" si="216"/>
        <v>0</v>
      </c>
      <c r="AY275" s="365">
        <f t="shared" si="217"/>
        <v>0.9</v>
      </c>
      <c r="AZ275" s="365">
        <f t="shared" si="218"/>
        <v>0</v>
      </c>
      <c r="BA275" s="365">
        <f t="shared" si="199"/>
        <v>50.23</v>
      </c>
      <c r="BB275" s="365">
        <f t="shared" si="219"/>
        <v>45</v>
      </c>
      <c r="BC275" s="365">
        <f t="shared" si="200"/>
        <v>0</v>
      </c>
      <c r="BD275" s="363"/>
      <c r="BE275">
        <v>18.7162</v>
      </c>
    </row>
    <row r="276" ht="48" spans="1:57">
      <c r="A276" s="284" t="s">
        <v>195</v>
      </c>
      <c r="B276" s="284" t="s">
        <v>199</v>
      </c>
      <c r="C276" s="284" t="s">
        <v>538</v>
      </c>
      <c r="D276" s="284" t="s">
        <v>539</v>
      </c>
      <c r="E276" s="365">
        <f t="shared" si="192"/>
        <v>29.31</v>
      </c>
      <c r="F276" s="365">
        <f t="shared" si="193"/>
        <v>8.24</v>
      </c>
      <c r="G276" s="365">
        <v>5.51</v>
      </c>
      <c r="H276" s="365"/>
      <c r="I276" s="365">
        <v>2.73</v>
      </c>
      <c r="J276" s="365"/>
      <c r="K276" s="365"/>
      <c r="L276" s="365">
        <f t="shared" si="194"/>
        <v>21.07</v>
      </c>
      <c r="M276" s="365">
        <v>1.64</v>
      </c>
      <c r="N276" s="365"/>
      <c r="O276" s="365"/>
      <c r="P276" s="365">
        <v>7.43</v>
      </c>
      <c r="Q276" s="365"/>
      <c r="R276" s="365"/>
      <c r="S276" s="365">
        <v>12</v>
      </c>
      <c r="T276" s="366">
        <f t="shared" si="220"/>
        <v>-0.368300000000001</v>
      </c>
      <c r="U276" s="366">
        <f t="shared" si="221"/>
        <v>4.61</v>
      </c>
      <c r="V276" s="366">
        <v>3.46</v>
      </c>
      <c r="W276" s="366"/>
      <c r="X276" s="366">
        <v>1.15</v>
      </c>
      <c r="Y276" s="366"/>
      <c r="Z276" s="366"/>
      <c r="AA276" s="365">
        <f t="shared" si="195"/>
        <v>-4.9783</v>
      </c>
      <c r="AB276" s="365">
        <v>0.69</v>
      </c>
      <c r="AC276" s="365"/>
      <c r="AD276" s="365"/>
      <c r="AE276" s="365"/>
      <c r="AF276" s="365"/>
      <c r="AG276" s="365">
        <v>0.15</v>
      </c>
      <c r="AH276" s="365">
        <v>-12</v>
      </c>
      <c r="AI276" s="365">
        <v>4.14</v>
      </c>
      <c r="AJ276" s="365">
        <v>1</v>
      </c>
      <c r="AK276" s="365">
        <v>1.0417</v>
      </c>
      <c r="AL276" s="366">
        <f t="shared" si="206"/>
        <v>28.9417</v>
      </c>
      <c r="AM276" s="365">
        <f t="shared" si="196"/>
        <v>12.85</v>
      </c>
      <c r="AN276" s="365">
        <f t="shared" si="207"/>
        <v>8.97</v>
      </c>
      <c r="AO276" s="365">
        <f t="shared" si="208"/>
        <v>0</v>
      </c>
      <c r="AP276" s="365">
        <f t="shared" si="209"/>
        <v>3.88</v>
      </c>
      <c r="AQ276" s="365">
        <f t="shared" si="210"/>
        <v>0</v>
      </c>
      <c r="AR276" s="365">
        <f t="shared" si="211"/>
        <v>0</v>
      </c>
      <c r="AS276" s="365">
        <f t="shared" si="222"/>
        <v>16.0917</v>
      </c>
      <c r="AT276" s="365">
        <f t="shared" si="212"/>
        <v>2.33</v>
      </c>
      <c r="AU276" s="365">
        <f t="shared" si="213"/>
        <v>0</v>
      </c>
      <c r="AV276" s="365">
        <f t="shared" si="214"/>
        <v>0</v>
      </c>
      <c r="AW276" s="365">
        <f t="shared" si="215"/>
        <v>7.43</v>
      </c>
      <c r="AX276" s="365">
        <f t="shared" si="216"/>
        <v>0</v>
      </c>
      <c r="AY276" s="365">
        <f t="shared" si="217"/>
        <v>0.15</v>
      </c>
      <c r="AZ276" s="365">
        <f t="shared" si="218"/>
        <v>0</v>
      </c>
      <c r="BA276" s="365">
        <f t="shared" si="199"/>
        <v>4.14</v>
      </c>
      <c r="BB276" s="365">
        <f t="shared" si="219"/>
        <v>1</v>
      </c>
      <c r="BC276" s="365">
        <f t="shared" si="200"/>
        <v>1.0417</v>
      </c>
      <c r="BD276" s="363"/>
      <c r="BE276">
        <v>1.0417</v>
      </c>
    </row>
    <row r="277" s="311" customFormat="1" ht="21" customHeight="1" spans="1:57">
      <c r="A277" s="328"/>
      <c r="B277" s="329" t="s">
        <v>749</v>
      </c>
      <c r="C277" s="329" t="s">
        <v>137</v>
      </c>
      <c r="D277" s="329">
        <v>208</v>
      </c>
      <c r="E277" s="364">
        <f t="shared" ref="E277:S277" si="223">SUM(E278:E298)</f>
        <v>755.3</v>
      </c>
      <c r="F277" s="364">
        <f t="shared" si="223"/>
        <v>346.01</v>
      </c>
      <c r="G277" s="364">
        <f t="shared" si="223"/>
        <v>246.99</v>
      </c>
      <c r="H277" s="364">
        <f t="shared" si="223"/>
        <v>2.69</v>
      </c>
      <c r="I277" s="364">
        <f t="shared" si="223"/>
        <v>96.33</v>
      </c>
      <c r="J277" s="364">
        <f t="shared" si="223"/>
        <v>0</v>
      </c>
      <c r="K277" s="364">
        <f t="shared" si="223"/>
        <v>0</v>
      </c>
      <c r="L277" s="364">
        <f t="shared" si="223"/>
        <v>409.29</v>
      </c>
      <c r="M277" s="364">
        <f t="shared" si="223"/>
        <v>59.43</v>
      </c>
      <c r="N277" s="364">
        <f t="shared" si="223"/>
        <v>0</v>
      </c>
      <c r="O277" s="364">
        <f t="shared" si="223"/>
        <v>0</v>
      </c>
      <c r="P277" s="364">
        <f t="shared" si="223"/>
        <v>0</v>
      </c>
      <c r="Q277" s="364">
        <f t="shared" si="223"/>
        <v>0</v>
      </c>
      <c r="R277" s="364">
        <f t="shared" si="223"/>
        <v>2.86</v>
      </c>
      <c r="S277" s="364">
        <f t="shared" si="223"/>
        <v>347</v>
      </c>
      <c r="T277" s="364">
        <f t="shared" si="220"/>
        <v>-125.0744</v>
      </c>
      <c r="U277" s="364">
        <f t="shared" ref="U277:AK277" si="224">SUM(U278:U298)</f>
        <v>35.6368</v>
      </c>
      <c r="V277" s="364">
        <f t="shared" si="224"/>
        <v>34.9693</v>
      </c>
      <c r="W277" s="364">
        <f t="shared" si="224"/>
        <v>0.6675</v>
      </c>
      <c r="X277" s="364">
        <f t="shared" si="224"/>
        <v>0</v>
      </c>
      <c r="Y277" s="364">
        <f t="shared" si="224"/>
        <v>0</v>
      </c>
      <c r="Z277" s="364">
        <f t="shared" si="224"/>
        <v>0</v>
      </c>
      <c r="AA277" s="364">
        <f t="shared" si="224"/>
        <v>-160.7112</v>
      </c>
      <c r="AB277" s="364">
        <f t="shared" si="224"/>
        <v>0.4005</v>
      </c>
      <c r="AC277" s="364">
        <f t="shared" si="224"/>
        <v>0</v>
      </c>
      <c r="AD277" s="364">
        <f t="shared" si="224"/>
        <v>0</v>
      </c>
      <c r="AE277" s="364">
        <f t="shared" si="224"/>
        <v>0</v>
      </c>
      <c r="AF277" s="364">
        <f t="shared" si="224"/>
        <v>0</v>
      </c>
      <c r="AG277" s="364">
        <f t="shared" si="224"/>
        <v>1.35</v>
      </c>
      <c r="AH277" s="364">
        <f t="shared" si="224"/>
        <v>-347</v>
      </c>
      <c r="AI277" s="364">
        <f t="shared" si="224"/>
        <v>94.77</v>
      </c>
      <c r="AJ277" s="364">
        <f t="shared" si="224"/>
        <v>52</v>
      </c>
      <c r="AK277" s="364">
        <f t="shared" si="224"/>
        <v>37.7683</v>
      </c>
      <c r="AL277" s="364">
        <f t="shared" si="206"/>
        <v>630.2256</v>
      </c>
      <c r="AM277" s="364">
        <f t="shared" ref="AM277:BC277" si="225">SUM(AM278:AM298)</f>
        <v>381.6468</v>
      </c>
      <c r="AN277" s="364">
        <f t="shared" si="225"/>
        <v>281.9593</v>
      </c>
      <c r="AO277" s="364">
        <f t="shared" si="225"/>
        <v>3.3575</v>
      </c>
      <c r="AP277" s="364">
        <f t="shared" si="225"/>
        <v>96.33</v>
      </c>
      <c r="AQ277" s="364">
        <f t="shared" si="225"/>
        <v>0</v>
      </c>
      <c r="AR277" s="364">
        <f t="shared" si="225"/>
        <v>0</v>
      </c>
      <c r="AS277" s="364">
        <f t="shared" si="225"/>
        <v>248.5788</v>
      </c>
      <c r="AT277" s="364">
        <f t="shared" si="225"/>
        <v>59.8305</v>
      </c>
      <c r="AU277" s="364">
        <f t="shared" si="225"/>
        <v>0</v>
      </c>
      <c r="AV277" s="364">
        <f t="shared" si="225"/>
        <v>0</v>
      </c>
      <c r="AW277" s="364">
        <f t="shared" si="225"/>
        <v>0</v>
      </c>
      <c r="AX277" s="364">
        <f t="shared" si="225"/>
        <v>0</v>
      </c>
      <c r="AY277" s="364">
        <f t="shared" si="225"/>
        <v>4.21</v>
      </c>
      <c r="AZ277" s="364">
        <f t="shared" si="225"/>
        <v>0</v>
      </c>
      <c r="BA277" s="364">
        <f t="shared" si="225"/>
        <v>94.77</v>
      </c>
      <c r="BB277" s="364">
        <f t="shared" si="225"/>
        <v>52</v>
      </c>
      <c r="BC277" s="364">
        <f t="shared" si="225"/>
        <v>37.7683</v>
      </c>
      <c r="BD277" s="372"/>
      <c r="BE277" s="373"/>
    </row>
    <row r="278" ht="24" spans="1:57">
      <c r="A278" s="284" t="s">
        <v>540</v>
      </c>
      <c r="B278" s="284" t="s">
        <v>196</v>
      </c>
      <c r="C278" s="284" t="s">
        <v>541</v>
      </c>
      <c r="D278" s="284" t="s">
        <v>542</v>
      </c>
      <c r="E278" s="365">
        <f t="shared" ref="E278:E298" si="226">F278+L278</f>
        <v>0</v>
      </c>
      <c r="F278" s="365">
        <f t="shared" ref="F278:F298" si="227">SUM(G278:K278)</f>
        <v>0</v>
      </c>
      <c r="G278" s="365"/>
      <c r="H278" s="365"/>
      <c r="I278" s="365"/>
      <c r="J278" s="365"/>
      <c r="K278" s="365"/>
      <c r="L278" s="365">
        <f t="shared" ref="L278:L298" si="228">SUM(M278:S278)</f>
        <v>0</v>
      </c>
      <c r="M278" s="365"/>
      <c r="N278" s="365"/>
      <c r="O278" s="365"/>
      <c r="P278" s="365"/>
      <c r="Q278" s="365"/>
      <c r="R278" s="365"/>
      <c r="S278" s="365"/>
      <c r="T278" s="366">
        <f t="shared" si="220"/>
        <v>0</v>
      </c>
      <c r="U278" s="366">
        <f t="shared" si="221"/>
        <v>0</v>
      </c>
      <c r="V278" s="366"/>
      <c r="W278" s="366"/>
      <c r="X278" s="366"/>
      <c r="Y278" s="366"/>
      <c r="Z278" s="366"/>
      <c r="AA278" s="365">
        <f t="shared" ref="AA278:AA298" si="229">SUM(AB278:AK278)</f>
        <v>0</v>
      </c>
      <c r="AB278" s="365"/>
      <c r="AC278" s="365"/>
      <c r="AD278" s="365"/>
      <c r="AE278" s="365"/>
      <c r="AF278" s="365"/>
      <c r="AG278" s="365"/>
      <c r="AH278" s="365">
        <v>0</v>
      </c>
      <c r="AI278" s="365"/>
      <c r="AJ278" s="365"/>
      <c r="AK278" s="365"/>
      <c r="AL278" s="366">
        <f t="shared" si="206"/>
        <v>0</v>
      </c>
      <c r="AM278" s="365">
        <f t="shared" ref="AM278:AM298" si="230">SUM(AN278:AR278)</f>
        <v>0</v>
      </c>
      <c r="AN278" s="365">
        <f t="shared" ref="AN278:AN298" si="231">G278+V278</f>
        <v>0</v>
      </c>
      <c r="AO278" s="365">
        <f t="shared" ref="AO278:AO298" si="232">H278+W278</f>
        <v>0</v>
      </c>
      <c r="AP278" s="365">
        <f t="shared" ref="AP278:AP298" si="233">I278+X278</f>
        <v>0</v>
      </c>
      <c r="AQ278" s="365">
        <f t="shared" ref="AQ278:AQ298" si="234">J278+Y278</f>
        <v>0</v>
      </c>
      <c r="AR278" s="365">
        <f t="shared" ref="AR278:AR298" si="235">K278+Z278</f>
        <v>0</v>
      </c>
      <c r="AS278" s="365">
        <f t="shared" si="222"/>
        <v>0</v>
      </c>
      <c r="AT278" s="365">
        <f t="shared" ref="AT278:AT298" si="236">M278+AB278</f>
        <v>0</v>
      </c>
      <c r="AU278" s="365">
        <f t="shared" ref="AU278:AU298" si="237">N278+AC278</f>
        <v>0</v>
      </c>
      <c r="AV278" s="365">
        <f t="shared" ref="AV278:AV298" si="238">O278+AD278</f>
        <v>0</v>
      </c>
      <c r="AW278" s="365">
        <f t="shared" ref="AW278:AW298" si="239">P278+AE278</f>
        <v>0</v>
      </c>
      <c r="AX278" s="365">
        <f t="shared" ref="AX278:AX298" si="240">Q278+AF278</f>
        <v>0</v>
      </c>
      <c r="AY278" s="365">
        <f t="shared" ref="AY278:AY298" si="241">R278+AG278</f>
        <v>0</v>
      </c>
      <c r="AZ278" s="365">
        <f t="shared" ref="AZ278:AZ298" si="242">S278+AH278</f>
        <v>0</v>
      </c>
      <c r="BA278" s="365">
        <f t="shared" ref="BA278:BA298" si="243">AI278</f>
        <v>0</v>
      </c>
      <c r="BB278" s="365">
        <f t="shared" ref="BB278:BB298" si="244">AJ278</f>
        <v>0</v>
      </c>
      <c r="BC278" s="365">
        <f t="shared" ref="BC278:BC298" si="245">AK278</f>
        <v>0</v>
      </c>
      <c r="BD278" s="363"/>
      <c r="BE278">
        <v>21.303</v>
      </c>
    </row>
    <row r="279" ht="24" spans="1:56">
      <c r="A279" s="284" t="s">
        <v>540</v>
      </c>
      <c r="B279" s="284" t="s">
        <v>196</v>
      </c>
      <c r="C279" s="284" t="s">
        <v>543</v>
      </c>
      <c r="D279" s="284" t="s">
        <v>542</v>
      </c>
      <c r="E279" s="365">
        <f t="shared" si="226"/>
        <v>0</v>
      </c>
      <c r="F279" s="365">
        <f t="shared" si="227"/>
        <v>0</v>
      </c>
      <c r="G279" s="365"/>
      <c r="H279" s="365"/>
      <c r="I279" s="365"/>
      <c r="J279" s="365"/>
      <c r="K279" s="365"/>
      <c r="L279" s="365">
        <f t="shared" si="228"/>
        <v>0</v>
      </c>
      <c r="M279" s="365"/>
      <c r="N279" s="365"/>
      <c r="O279" s="365"/>
      <c r="P279" s="365"/>
      <c r="Q279" s="365"/>
      <c r="R279" s="365"/>
      <c r="S279" s="365"/>
      <c r="T279" s="366">
        <f t="shared" si="220"/>
        <v>0</v>
      </c>
      <c r="U279" s="366">
        <f t="shared" si="221"/>
        <v>0</v>
      </c>
      <c r="V279" s="366"/>
      <c r="W279" s="366"/>
      <c r="X279" s="366"/>
      <c r="Y279" s="366"/>
      <c r="Z279" s="366"/>
      <c r="AA279" s="365">
        <f t="shared" si="229"/>
        <v>0</v>
      </c>
      <c r="AB279" s="365"/>
      <c r="AC279" s="365"/>
      <c r="AD279" s="365"/>
      <c r="AE279" s="365"/>
      <c r="AF279" s="365"/>
      <c r="AG279" s="365"/>
      <c r="AH279" s="365">
        <v>0</v>
      </c>
      <c r="AI279" s="365"/>
      <c r="AJ279" s="365"/>
      <c r="AK279" s="365"/>
      <c r="AL279" s="366">
        <f t="shared" si="206"/>
        <v>0</v>
      </c>
      <c r="AM279" s="365">
        <f t="shared" si="230"/>
        <v>0</v>
      </c>
      <c r="AN279" s="365">
        <f t="shared" si="231"/>
        <v>0</v>
      </c>
      <c r="AO279" s="365">
        <f t="shared" si="232"/>
        <v>0</v>
      </c>
      <c r="AP279" s="365">
        <f t="shared" si="233"/>
        <v>0</v>
      </c>
      <c r="AQ279" s="365">
        <f t="shared" si="234"/>
        <v>0</v>
      </c>
      <c r="AR279" s="365">
        <f t="shared" si="235"/>
        <v>0</v>
      </c>
      <c r="AS279" s="365">
        <f t="shared" si="222"/>
        <v>0</v>
      </c>
      <c r="AT279" s="365">
        <f t="shared" si="236"/>
        <v>0</v>
      </c>
      <c r="AU279" s="365">
        <f t="shared" si="237"/>
        <v>0</v>
      </c>
      <c r="AV279" s="365">
        <f t="shared" si="238"/>
        <v>0</v>
      </c>
      <c r="AW279" s="365">
        <f t="shared" si="239"/>
        <v>0</v>
      </c>
      <c r="AX279" s="365">
        <f t="shared" si="240"/>
        <v>0</v>
      </c>
      <c r="AY279" s="365">
        <f t="shared" si="241"/>
        <v>0</v>
      </c>
      <c r="AZ279" s="365">
        <f t="shared" si="242"/>
        <v>0</v>
      </c>
      <c r="BA279" s="365">
        <f t="shared" si="243"/>
        <v>0</v>
      </c>
      <c r="BB279" s="365">
        <f t="shared" si="244"/>
        <v>0</v>
      </c>
      <c r="BC279" s="365">
        <f t="shared" si="245"/>
        <v>0</v>
      </c>
      <c r="BD279" s="363"/>
    </row>
    <row r="280" ht="36" spans="1:57">
      <c r="A280" s="284" t="s">
        <v>540</v>
      </c>
      <c r="B280" s="284" t="s">
        <v>199</v>
      </c>
      <c r="C280" s="284" t="s">
        <v>544</v>
      </c>
      <c r="D280" s="284" t="s">
        <v>545</v>
      </c>
      <c r="E280" s="365">
        <f t="shared" si="226"/>
        <v>121.52</v>
      </c>
      <c r="F280" s="365">
        <f t="shared" si="227"/>
        <v>57.85</v>
      </c>
      <c r="G280" s="365">
        <v>41.74</v>
      </c>
      <c r="H280" s="365"/>
      <c r="I280" s="365">
        <v>16.11</v>
      </c>
      <c r="J280" s="365"/>
      <c r="K280" s="365"/>
      <c r="L280" s="365">
        <f t="shared" si="228"/>
        <v>63.67</v>
      </c>
      <c r="M280" s="365">
        <v>9.67</v>
      </c>
      <c r="N280" s="365"/>
      <c r="O280" s="365"/>
      <c r="P280" s="365"/>
      <c r="Q280" s="365"/>
      <c r="R280" s="365"/>
      <c r="S280" s="365">
        <v>54</v>
      </c>
      <c r="T280" s="366">
        <f t="shared" si="220"/>
        <v>-22.76556</v>
      </c>
      <c r="U280" s="366">
        <f t="shared" si="221"/>
        <v>2.6218</v>
      </c>
      <c r="V280" s="366">
        <v>3.4174</v>
      </c>
      <c r="W280" s="366">
        <v>-0.7956</v>
      </c>
      <c r="X280" s="366"/>
      <c r="Y280" s="366"/>
      <c r="Z280" s="366"/>
      <c r="AA280" s="365">
        <f t="shared" si="229"/>
        <v>-25.38736</v>
      </c>
      <c r="AB280" s="365">
        <v>-0.47736</v>
      </c>
      <c r="AC280" s="365"/>
      <c r="AD280" s="365"/>
      <c r="AE280" s="365"/>
      <c r="AF280" s="365"/>
      <c r="AG280" s="365">
        <v>0.45</v>
      </c>
      <c r="AH280" s="365">
        <v>-54</v>
      </c>
      <c r="AI280" s="365">
        <v>16.14</v>
      </c>
      <c r="AJ280" s="365">
        <v>7</v>
      </c>
      <c r="AK280" s="365">
        <v>5.5</v>
      </c>
      <c r="AL280" s="366">
        <f t="shared" si="206"/>
        <v>98.75444</v>
      </c>
      <c r="AM280" s="365">
        <f t="shared" si="230"/>
        <v>60.4718</v>
      </c>
      <c r="AN280" s="365">
        <f t="shared" si="231"/>
        <v>45.1574</v>
      </c>
      <c r="AO280" s="365">
        <f t="shared" si="232"/>
        <v>-0.7956</v>
      </c>
      <c r="AP280" s="365">
        <f t="shared" si="233"/>
        <v>16.11</v>
      </c>
      <c r="AQ280" s="365">
        <f t="shared" si="234"/>
        <v>0</v>
      </c>
      <c r="AR280" s="365">
        <f t="shared" si="235"/>
        <v>0</v>
      </c>
      <c r="AS280" s="365">
        <f t="shared" si="222"/>
        <v>38.28264</v>
      </c>
      <c r="AT280" s="365">
        <f t="shared" si="236"/>
        <v>9.19264</v>
      </c>
      <c r="AU280" s="365">
        <f t="shared" si="237"/>
        <v>0</v>
      </c>
      <c r="AV280" s="365">
        <f t="shared" si="238"/>
        <v>0</v>
      </c>
      <c r="AW280" s="365">
        <f t="shared" si="239"/>
        <v>0</v>
      </c>
      <c r="AX280" s="365">
        <f t="shared" si="240"/>
        <v>0</v>
      </c>
      <c r="AY280" s="365">
        <f t="shared" si="241"/>
        <v>0.45</v>
      </c>
      <c r="AZ280" s="365">
        <f t="shared" si="242"/>
        <v>0</v>
      </c>
      <c r="BA280" s="365">
        <f t="shared" si="243"/>
        <v>16.14</v>
      </c>
      <c r="BB280" s="365">
        <f t="shared" si="244"/>
        <v>7</v>
      </c>
      <c r="BC280" s="365">
        <f t="shared" si="245"/>
        <v>5.5</v>
      </c>
      <c r="BD280" s="363"/>
      <c r="BE280">
        <v>5.5</v>
      </c>
    </row>
    <row r="281" ht="36" spans="1:57">
      <c r="A281" s="284" t="s">
        <v>540</v>
      </c>
      <c r="B281" s="284" t="s">
        <v>199</v>
      </c>
      <c r="C281" s="284" t="s">
        <v>546</v>
      </c>
      <c r="D281" s="284" t="s">
        <v>547</v>
      </c>
      <c r="E281" s="365">
        <f t="shared" si="226"/>
        <v>75.33</v>
      </c>
      <c r="F281" s="365">
        <f t="shared" si="227"/>
        <v>34.51</v>
      </c>
      <c r="G281" s="365">
        <v>24.81</v>
      </c>
      <c r="H281" s="365"/>
      <c r="I281" s="365">
        <v>9.7</v>
      </c>
      <c r="J281" s="365"/>
      <c r="K281" s="365"/>
      <c r="L281" s="365">
        <f t="shared" si="228"/>
        <v>40.82</v>
      </c>
      <c r="M281" s="365">
        <v>5.82</v>
      </c>
      <c r="N281" s="365"/>
      <c r="O281" s="365"/>
      <c r="P281" s="365"/>
      <c r="Q281" s="365"/>
      <c r="R281" s="365"/>
      <c r="S281" s="365">
        <v>35</v>
      </c>
      <c r="T281" s="366">
        <f t="shared" si="220"/>
        <v>-4.31962</v>
      </c>
      <c r="U281" s="366">
        <f t="shared" si="221"/>
        <v>10.2853</v>
      </c>
      <c r="V281" s="366">
        <v>8.2435</v>
      </c>
      <c r="W281" s="366">
        <v>2.0418</v>
      </c>
      <c r="X281" s="366"/>
      <c r="Y281" s="366"/>
      <c r="Z281" s="366"/>
      <c r="AA281" s="365">
        <f t="shared" si="229"/>
        <v>-14.60492</v>
      </c>
      <c r="AB281" s="365">
        <v>1.22508</v>
      </c>
      <c r="AC281" s="365"/>
      <c r="AD281" s="365"/>
      <c r="AE281" s="365"/>
      <c r="AF281" s="365"/>
      <c r="AG281" s="365"/>
      <c r="AH281" s="365">
        <v>-35</v>
      </c>
      <c r="AI281" s="365">
        <v>11.67</v>
      </c>
      <c r="AJ281" s="365">
        <v>4</v>
      </c>
      <c r="AK281" s="365">
        <v>3.5</v>
      </c>
      <c r="AL281" s="366">
        <f t="shared" si="206"/>
        <v>71.01038</v>
      </c>
      <c r="AM281" s="365">
        <f t="shared" si="230"/>
        <v>44.7953</v>
      </c>
      <c r="AN281" s="365">
        <f t="shared" si="231"/>
        <v>33.0535</v>
      </c>
      <c r="AO281" s="365">
        <f t="shared" si="232"/>
        <v>2.0418</v>
      </c>
      <c r="AP281" s="365">
        <f t="shared" si="233"/>
        <v>9.7</v>
      </c>
      <c r="AQ281" s="365">
        <f t="shared" si="234"/>
        <v>0</v>
      </c>
      <c r="AR281" s="365">
        <f t="shared" si="235"/>
        <v>0</v>
      </c>
      <c r="AS281" s="365">
        <f t="shared" si="222"/>
        <v>26.21508</v>
      </c>
      <c r="AT281" s="365">
        <f t="shared" si="236"/>
        <v>7.04508</v>
      </c>
      <c r="AU281" s="365">
        <f t="shared" si="237"/>
        <v>0</v>
      </c>
      <c r="AV281" s="365">
        <f t="shared" si="238"/>
        <v>0</v>
      </c>
      <c r="AW281" s="365">
        <f t="shared" si="239"/>
        <v>0</v>
      </c>
      <c r="AX281" s="365">
        <f t="shared" si="240"/>
        <v>0</v>
      </c>
      <c r="AY281" s="365">
        <f t="shared" si="241"/>
        <v>0</v>
      </c>
      <c r="AZ281" s="365">
        <f t="shared" si="242"/>
        <v>0</v>
      </c>
      <c r="BA281" s="365">
        <f t="shared" si="243"/>
        <v>11.67</v>
      </c>
      <c r="BB281" s="365">
        <f t="shared" si="244"/>
        <v>4</v>
      </c>
      <c r="BC281" s="365">
        <f t="shared" si="245"/>
        <v>3.5</v>
      </c>
      <c r="BD281" s="363"/>
      <c r="BE281">
        <v>3.5</v>
      </c>
    </row>
    <row r="282" ht="36" spans="1:57">
      <c r="A282" s="284" t="s">
        <v>540</v>
      </c>
      <c r="B282" s="284" t="s">
        <v>199</v>
      </c>
      <c r="C282" s="284" t="s">
        <v>548</v>
      </c>
      <c r="D282" s="284" t="s">
        <v>549</v>
      </c>
      <c r="E282" s="365">
        <f t="shared" si="226"/>
        <v>66.61</v>
      </c>
      <c r="F282" s="365">
        <f t="shared" si="227"/>
        <v>31.23</v>
      </c>
      <c r="G282" s="365">
        <v>22.27</v>
      </c>
      <c r="H282" s="365"/>
      <c r="I282" s="365">
        <v>8.96</v>
      </c>
      <c r="J282" s="365"/>
      <c r="K282" s="365"/>
      <c r="L282" s="365">
        <f t="shared" si="228"/>
        <v>35.38</v>
      </c>
      <c r="M282" s="365">
        <v>5.38</v>
      </c>
      <c r="N282" s="365"/>
      <c r="O282" s="365"/>
      <c r="P282" s="365"/>
      <c r="Q282" s="365"/>
      <c r="R282" s="365"/>
      <c r="S282" s="365">
        <v>30</v>
      </c>
      <c r="T282" s="366">
        <f t="shared" si="220"/>
        <v>-10.3579</v>
      </c>
      <c r="U282" s="366">
        <f t="shared" si="221"/>
        <v>3.2421</v>
      </c>
      <c r="V282" s="366">
        <v>3.2421</v>
      </c>
      <c r="W282" s="366"/>
      <c r="X282" s="366"/>
      <c r="Y282" s="366"/>
      <c r="Z282" s="366"/>
      <c r="AA282" s="365">
        <f t="shared" si="229"/>
        <v>-13.6</v>
      </c>
      <c r="AB282" s="365"/>
      <c r="AC282" s="365"/>
      <c r="AD282" s="365"/>
      <c r="AE282" s="365"/>
      <c r="AF282" s="365"/>
      <c r="AG282" s="365">
        <v>0.15</v>
      </c>
      <c r="AH282" s="365">
        <v>-30</v>
      </c>
      <c r="AI282" s="365">
        <v>8.91</v>
      </c>
      <c r="AJ282" s="365">
        <v>4</v>
      </c>
      <c r="AK282" s="365">
        <v>3.34</v>
      </c>
      <c r="AL282" s="366">
        <f t="shared" si="206"/>
        <v>56.2521</v>
      </c>
      <c r="AM282" s="365">
        <f t="shared" si="230"/>
        <v>34.4721</v>
      </c>
      <c r="AN282" s="365">
        <f t="shared" si="231"/>
        <v>25.5121</v>
      </c>
      <c r="AO282" s="365">
        <f t="shared" si="232"/>
        <v>0</v>
      </c>
      <c r="AP282" s="365">
        <f t="shared" si="233"/>
        <v>8.96</v>
      </c>
      <c r="AQ282" s="365">
        <f t="shared" si="234"/>
        <v>0</v>
      </c>
      <c r="AR282" s="365">
        <f t="shared" si="235"/>
        <v>0</v>
      </c>
      <c r="AS282" s="365">
        <f t="shared" si="222"/>
        <v>21.78</v>
      </c>
      <c r="AT282" s="365">
        <f t="shared" si="236"/>
        <v>5.38</v>
      </c>
      <c r="AU282" s="365">
        <f t="shared" si="237"/>
        <v>0</v>
      </c>
      <c r="AV282" s="365">
        <f t="shared" si="238"/>
        <v>0</v>
      </c>
      <c r="AW282" s="365">
        <f t="shared" si="239"/>
        <v>0</v>
      </c>
      <c r="AX282" s="365">
        <f t="shared" si="240"/>
        <v>0</v>
      </c>
      <c r="AY282" s="365">
        <f t="shared" si="241"/>
        <v>0.15</v>
      </c>
      <c r="AZ282" s="365">
        <f t="shared" si="242"/>
        <v>0</v>
      </c>
      <c r="BA282" s="365">
        <f t="shared" si="243"/>
        <v>8.91</v>
      </c>
      <c r="BB282" s="365">
        <f t="shared" si="244"/>
        <v>4</v>
      </c>
      <c r="BC282" s="365">
        <f t="shared" si="245"/>
        <v>3.34</v>
      </c>
      <c r="BD282" s="363"/>
      <c r="BE282">
        <v>3.34</v>
      </c>
    </row>
    <row r="283" ht="36" spans="1:57">
      <c r="A283" s="284" t="s">
        <v>540</v>
      </c>
      <c r="B283" s="284" t="s">
        <v>199</v>
      </c>
      <c r="C283" s="284" t="s">
        <v>550</v>
      </c>
      <c r="D283" s="284" t="s">
        <v>549</v>
      </c>
      <c r="E283" s="365">
        <f t="shared" si="226"/>
        <v>119.32</v>
      </c>
      <c r="F283" s="365">
        <f t="shared" si="227"/>
        <v>56.02</v>
      </c>
      <c r="G283" s="365">
        <v>40.53</v>
      </c>
      <c r="H283" s="365"/>
      <c r="I283" s="365">
        <v>15.49</v>
      </c>
      <c r="J283" s="365"/>
      <c r="K283" s="365"/>
      <c r="L283" s="365">
        <f t="shared" si="228"/>
        <v>63.3</v>
      </c>
      <c r="M283" s="365">
        <v>9.3</v>
      </c>
      <c r="N283" s="365"/>
      <c r="O283" s="365"/>
      <c r="P283" s="365"/>
      <c r="Q283" s="365"/>
      <c r="R283" s="365"/>
      <c r="S283" s="366">
        <v>54</v>
      </c>
      <c r="T283" s="366">
        <f t="shared" si="220"/>
        <v>-18.73536</v>
      </c>
      <c r="U283" s="366">
        <f t="shared" si="221"/>
        <v>5.5542</v>
      </c>
      <c r="V283" s="366">
        <v>5.5173</v>
      </c>
      <c r="W283" s="366">
        <v>0.0369</v>
      </c>
      <c r="X283" s="366"/>
      <c r="Y283" s="366"/>
      <c r="Z283" s="366"/>
      <c r="AA283" s="365">
        <f t="shared" si="229"/>
        <v>-24.28956</v>
      </c>
      <c r="AB283" s="366">
        <v>0.02214</v>
      </c>
      <c r="AC283" s="366"/>
      <c r="AD283" s="366"/>
      <c r="AE283" s="366"/>
      <c r="AF283" s="366"/>
      <c r="AG283" s="366">
        <v>0.45</v>
      </c>
      <c r="AH283" s="365">
        <v>-54</v>
      </c>
      <c r="AI283" s="366">
        <v>16.53</v>
      </c>
      <c r="AJ283" s="366">
        <v>7</v>
      </c>
      <c r="AK283" s="365">
        <v>5.7083</v>
      </c>
      <c r="AL283" s="366">
        <f t="shared" si="206"/>
        <v>100.58464</v>
      </c>
      <c r="AM283" s="365">
        <f t="shared" si="230"/>
        <v>61.5742</v>
      </c>
      <c r="AN283" s="365">
        <f t="shared" si="231"/>
        <v>46.0473</v>
      </c>
      <c r="AO283" s="365">
        <f t="shared" si="232"/>
        <v>0.0369</v>
      </c>
      <c r="AP283" s="365">
        <f t="shared" si="233"/>
        <v>15.49</v>
      </c>
      <c r="AQ283" s="365">
        <f t="shared" si="234"/>
        <v>0</v>
      </c>
      <c r="AR283" s="365">
        <f t="shared" si="235"/>
        <v>0</v>
      </c>
      <c r="AS283" s="365">
        <f t="shared" si="222"/>
        <v>39.01044</v>
      </c>
      <c r="AT283" s="365">
        <f t="shared" si="236"/>
        <v>9.32214</v>
      </c>
      <c r="AU283" s="365">
        <f t="shared" si="237"/>
        <v>0</v>
      </c>
      <c r="AV283" s="365">
        <f t="shared" si="238"/>
        <v>0</v>
      </c>
      <c r="AW283" s="365">
        <f t="shared" si="239"/>
        <v>0</v>
      </c>
      <c r="AX283" s="365">
        <f t="shared" si="240"/>
        <v>0</v>
      </c>
      <c r="AY283" s="365">
        <f t="shared" si="241"/>
        <v>0.45</v>
      </c>
      <c r="AZ283" s="365">
        <f t="shared" si="242"/>
        <v>0</v>
      </c>
      <c r="BA283" s="365">
        <f t="shared" si="243"/>
        <v>16.53</v>
      </c>
      <c r="BB283" s="365">
        <f t="shared" si="244"/>
        <v>7</v>
      </c>
      <c r="BC283" s="365">
        <f t="shared" si="245"/>
        <v>5.7083</v>
      </c>
      <c r="BD283" s="363"/>
      <c r="BE283">
        <v>5.7083</v>
      </c>
    </row>
    <row r="284" ht="36" spans="1:56">
      <c r="A284" s="284" t="s">
        <v>540</v>
      </c>
      <c r="B284" s="284" t="s">
        <v>199</v>
      </c>
      <c r="C284" s="284" t="s">
        <v>551</v>
      </c>
      <c r="D284" s="284" t="s">
        <v>552</v>
      </c>
      <c r="E284" s="365">
        <f t="shared" si="226"/>
        <v>8.69</v>
      </c>
      <c r="F284" s="365">
        <f t="shared" si="227"/>
        <v>7.23</v>
      </c>
      <c r="G284" s="365">
        <v>4.8</v>
      </c>
      <c r="H284" s="365"/>
      <c r="I284" s="365">
        <v>2.43</v>
      </c>
      <c r="J284" s="365"/>
      <c r="K284" s="365"/>
      <c r="L284" s="365">
        <f t="shared" si="228"/>
        <v>1.46</v>
      </c>
      <c r="M284" s="365">
        <v>1.46</v>
      </c>
      <c r="N284" s="365"/>
      <c r="O284" s="365"/>
      <c r="P284" s="365"/>
      <c r="Q284" s="365"/>
      <c r="R284" s="365"/>
      <c r="S284" s="365"/>
      <c r="T284" s="366">
        <f t="shared" si="220"/>
        <v>6.14834</v>
      </c>
      <c r="U284" s="366">
        <f t="shared" si="221"/>
        <v>1.2609</v>
      </c>
      <c r="V284" s="366">
        <v>1.0485</v>
      </c>
      <c r="W284" s="366">
        <v>0.2124</v>
      </c>
      <c r="X284" s="366"/>
      <c r="Y284" s="366"/>
      <c r="Z284" s="366"/>
      <c r="AA284" s="365">
        <f t="shared" si="229"/>
        <v>4.88744</v>
      </c>
      <c r="AB284" s="365">
        <v>0.12744</v>
      </c>
      <c r="AC284" s="365"/>
      <c r="AD284" s="365"/>
      <c r="AE284" s="365"/>
      <c r="AF284" s="365"/>
      <c r="AG284" s="365"/>
      <c r="AH284" s="365">
        <v>0</v>
      </c>
      <c r="AI284" s="365">
        <v>2.76</v>
      </c>
      <c r="AJ284" s="365">
        <v>1</v>
      </c>
      <c r="AK284" s="365">
        <v>1</v>
      </c>
      <c r="AL284" s="366">
        <f t="shared" si="206"/>
        <v>14.83834</v>
      </c>
      <c r="AM284" s="365">
        <f t="shared" si="230"/>
        <v>8.4909</v>
      </c>
      <c r="AN284" s="365">
        <f t="shared" si="231"/>
        <v>5.8485</v>
      </c>
      <c r="AO284" s="365">
        <f t="shared" si="232"/>
        <v>0.2124</v>
      </c>
      <c r="AP284" s="365">
        <f t="shared" si="233"/>
        <v>2.43</v>
      </c>
      <c r="AQ284" s="365">
        <f t="shared" si="234"/>
        <v>0</v>
      </c>
      <c r="AR284" s="365">
        <f t="shared" si="235"/>
        <v>0</v>
      </c>
      <c r="AS284" s="365">
        <f t="shared" si="222"/>
        <v>6.34744</v>
      </c>
      <c r="AT284" s="365">
        <f t="shared" si="236"/>
        <v>1.58744</v>
      </c>
      <c r="AU284" s="365">
        <f t="shared" si="237"/>
        <v>0</v>
      </c>
      <c r="AV284" s="365">
        <f t="shared" si="238"/>
        <v>0</v>
      </c>
      <c r="AW284" s="365">
        <f t="shared" si="239"/>
        <v>0</v>
      </c>
      <c r="AX284" s="365">
        <f t="shared" si="240"/>
        <v>0</v>
      </c>
      <c r="AY284" s="365">
        <f t="shared" si="241"/>
        <v>0</v>
      </c>
      <c r="AZ284" s="365">
        <f t="shared" si="242"/>
        <v>0</v>
      </c>
      <c r="BA284" s="365">
        <f t="shared" si="243"/>
        <v>2.76</v>
      </c>
      <c r="BB284" s="365">
        <f t="shared" si="244"/>
        <v>1</v>
      </c>
      <c r="BC284" s="365">
        <f t="shared" si="245"/>
        <v>1</v>
      </c>
      <c r="BD284" s="363"/>
    </row>
    <row r="285" ht="24" spans="1:57">
      <c r="A285" s="284" t="s">
        <v>540</v>
      </c>
      <c r="B285" s="284" t="s">
        <v>196</v>
      </c>
      <c r="C285" s="284" t="s">
        <v>553</v>
      </c>
      <c r="D285" s="284" t="s">
        <v>554</v>
      </c>
      <c r="E285" s="365">
        <f t="shared" si="226"/>
        <v>0</v>
      </c>
      <c r="F285" s="365">
        <f t="shared" si="227"/>
        <v>0</v>
      </c>
      <c r="G285" s="365"/>
      <c r="H285" s="365"/>
      <c r="I285" s="365"/>
      <c r="J285" s="365"/>
      <c r="K285" s="365"/>
      <c r="L285" s="365">
        <f t="shared" si="228"/>
        <v>0</v>
      </c>
      <c r="M285" s="365"/>
      <c r="N285" s="365"/>
      <c r="O285" s="365"/>
      <c r="P285" s="365"/>
      <c r="Q285" s="365"/>
      <c r="R285" s="365"/>
      <c r="S285" s="365"/>
      <c r="T285" s="366">
        <f t="shared" si="220"/>
        <v>0</v>
      </c>
      <c r="U285" s="366">
        <f t="shared" si="221"/>
        <v>0</v>
      </c>
      <c r="V285" s="366"/>
      <c r="W285" s="366"/>
      <c r="X285" s="366"/>
      <c r="Y285" s="366"/>
      <c r="Z285" s="366"/>
      <c r="AA285" s="365">
        <f t="shared" si="229"/>
        <v>0</v>
      </c>
      <c r="AB285" s="365"/>
      <c r="AC285" s="365"/>
      <c r="AD285" s="365"/>
      <c r="AE285" s="365"/>
      <c r="AF285" s="365"/>
      <c r="AG285" s="365"/>
      <c r="AH285" s="365">
        <v>0</v>
      </c>
      <c r="AI285" s="365"/>
      <c r="AJ285" s="365"/>
      <c r="AK285" s="365"/>
      <c r="AL285" s="366">
        <f t="shared" si="206"/>
        <v>0</v>
      </c>
      <c r="AM285" s="365">
        <f t="shared" si="230"/>
        <v>0</v>
      </c>
      <c r="AN285" s="365">
        <f t="shared" si="231"/>
        <v>0</v>
      </c>
      <c r="AO285" s="365">
        <f t="shared" si="232"/>
        <v>0</v>
      </c>
      <c r="AP285" s="365">
        <f t="shared" si="233"/>
        <v>0</v>
      </c>
      <c r="AQ285" s="365">
        <f t="shared" si="234"/>
        <v>0</v>
      </c>
      <c r="AR285" s="365">
        <f t="shared" si="235"/>
        <v>0</v>
      </c>
      <c r="AS285" s="365">
        <f t="shared" si="222"/>
        <v>0</v>
      </c>
      <c r="AT285" s="365">
        <f t="shared" si="236"/>
        <v>0</v>
      </c>
      <c r="AU285" s="365">
        <f t="shared" si="237"/>
        <v>0</v>
      </c>
      <c r="AV285" s="365">
        <f t="shared" si="238"/>
        <v>0</v>
      </c>
      <c r="AW285" s="365">
        <f t="shared" si="239"/>
        <v>0</v>
      </c>
      <c r="AX285" s="365">
        <f t="shared" si="240"/>
        <v>0</v>
      </c>
      <c r="AY285" s="365">
        <f t="shared" si="241"/>
        <v>0</v>
      </c>
      <c r="AZ285" s="365">
        <f t="shared" si="242"/>
        <v>0</v>
      </c>
      <c r="BA285" s="365">
        <f t="shared" si="243"/>
        <v>0</v>
      </c>
      <c r="BB285" s="365">
        <f t="shared" si="244"/>
        <v>0</v>
      </c>
      <c r="BC285" s="365">
        <f t="shared" si="245"/>
        <v>0</v>
      </c>
      <c r="BD285" s="363"/>
      <c r="BE285">
        <v>13.7374</v>
      </c>
    </row>
    <row r="286" ht="36" spans="1:57">
      <c r="A286" s="284" t="s">
        <v>540</v>
      </c>
      <c r="B286" s="284" t="s">
        <v>199</v>
      </c>
      <c r="C286" s="284" t="s">
        <v>555</v>
      </c>
      <c r="D286" s="284" t="s">
        <v>556</v>
      </c>
      <c r="E286" s="365">
        <f t="shared" si="226"/>
        <v>34.12</v>
      </c>
      <c r="F286" s="365">
        <f t="shared" si="227"/>
        <v>16.48</v>
      </c>
      <c r="G286" s="365">
        <v>12.08</v>
      </c>
      <c r="H286" s="365"/>
      <c r="I286" s="365">
        <v>4.4</v>
      </c>
      <c r="J286" s="365"/>
      <c r="K286" s="365"/>
      <c r="L286" s="365">
        <f t="shared" si="228"/>
        <v>17.64</v>
      </c>
      <c r="M286" s="365">
        <v>2.64</v>
      </c>
      <c r="N286" s="365"/>
      <c r="O286" s="365"/>
      <c r="P286" s="365"/>
      <c r="Q286" s="365"/>
      <c r="R286" s="365"/>
      <c r="S286" s="365">
        <v>15</v>
      </c>
      <c r="T286" s="366">
        <f t="shared" si="220"/>
        <v>-5.5224</v>
      </c>
      <c r="U286" s="366">
        <f t="shared" si="221"/>
        <v>1.5276</v>
      </c>
      <c r="V286" s="366">
        <v>1.5276</v>
      </c>
      <c r="W286" s="366"/>
      <c r="X286" s="366"/>
      <c r="Y286" s="366"/>
      <c r="Z286" s="366"/>
      <c r="AA286" s="365">
        <f t="shared" si="229"/>
        <v>-7.05</v>
      </c>
      <c r="AB286" s="365"/>
      <c r="AC286" s="365"/>
      <c r="AD286" s="365"/>
      <c r="AE286" s="365"/>
      <c r="AF286" s="365"/>
      <c r="AG286" s="365"/>
      <c r="AH286" s="365">
        <v>-15</v>
      </c>
      <c r="AI286" s="365">
        <v>3.45</v>
      </c>
      <c r="AJ286" s="365">
        <v>3</v>
      </c>
      <c r="AK286" s="365">
        <v>1.5</v>
      </c>
      <c r="AL286" s="366">
        <f t="shared" si="206"/>
        <v>28.5976</v>
      </c>
      <c r="AM286" s="365">
        <f t="shared" si="230"/>
        <v>18.0076</v>
      </c>
      <c r="AN286" s="365">
        <f t="shared" si="231"/>
        <v>13.6076</v>
      </c>
      <c r="AO286" s="365">
        <f t="shared" si="232"/>
        <v>0</v>
      </c>
      <c r="AP286" s="365">
        <f t="shared" si="233"/>
        <v>4.4</v>
      </c>
      <c r="AQ286" s="365">
        <f t="shared" si="234"/>
        <v>0</v>
      </c>
      <c r="AR286" s="365">
        <f t="shared" si="235"/>
        <v>0</v>
      </c>
      <c r="AS286" s="365">
        <f t="shared" si="222"/>
        <v>10.59</v>
      </c>
      <c r="AT286" s="365">
        <f t="shared" si="236"/>
        <v>2.64</v>
      </c>
      <c r="AU286" s="365">
        <f t="shared" si="237"/>
        <v>0</v>
      </c>
      <c r="AV286" s="365">
        <f t="shared" si="238"/>
        <v>0</v>
      </c>
      <c r="AW286" s="365">
        <f t="shared" si="239"/>
        <v>0</v>
      </c>
      <c r="AX286" s="365">
        <f t="shared" si="240"/>
        <v>0</v>
      </c>
      <c r="AY286" s="365">
        <f t="shared" si="241"/>
        <v>0</v>
      </c>
      <c r="AZ286" s="365">
        <f t="shared" si="242"/>
        <v>0</v>
      </c>
      <c r="BA286" s="365">
        <f t="shared" si="243"/>
        <v>3.45</v>
      </c>
      <c r="BB286" s="365">
        <f t="shared" si="244"/>
        <v>3</v>
      </c>
      <c r="BC286" s="365">
        <f t="shared" si="245"/>
        <v>1.5</v>
      </c>
      <c r="BD286" s="363"/>
      <c r="BE286">
        <v>1.5</v>
      </c>
    </row>
    <row r="287" ht="36" spans="1:57">
      <c r="A287" s="284" t="s">
        <v>540</v>
      </c>
      <c r="B287" s="284" t="s">
        <v>199</v>
      </c>
      <c r="C287" s="284" t="s">
        <v>557</v>
      </c>
      <c r="D287" s="284" t="s">
        <v>556</v>
      </c>
      <c r="E287" s="365">
        <f t="shared" si="226"/>
        <v>21.4</v>
      </c>
      <c r="F287" s="365">
        <f t="shared" si="227"/>
        <v>9.74</v>
      </c>
      <c r="G287" s="365">
        <v>6.97</v>
      </c>
      <c r="H287" s="365"/>
      <c r="I287" s="365">
        <v>2.77</v>
      </c>
      <c r="J287" s="365"/>
      <c r="K287" s="365"/>
      <c r="L287" s="365">
        <f t="shared" si="228"/>
        <v>11.66</v>
      </c>
      <c r="M287" s="365">
        <v>1.66</v>
      </c>
      <c r="N287" s="365"/>
      <c r="O287" s="365"/>
      <c r="P287" s="365"/>
      <c r="Q287" s="365"/>
      <c r="R287" s="365"/>
      <c r="S287" s="365">
        <v>10</v>
      </c>
      <c r="T287" s="366">
        <f t="shared" si="220"/>
        <v>-3.74026</v>
      </c>
      <c r="U287" s="366">
        <f t="shared" si="221"/>
        <v>1.0587</v>
      </c>
      <c r="V287" s="366">
        <v>0.9903</v>
      </c>
      <c r="W287" s="366">
        <v>0.0684</v>
      </c>
      <c r="X287" s="366"/>
      <c r="Y287" s="366"/>
      <c r="Z287" s="366"/>
      <c r="AA287" s="365">
        <f t="shared" si="229"/>
        <v>-4.79896</v>
      </c>
      <c r="AB287" s="365">
        <v>0.04104</v>
      </c>
      <c r="AC287" s="365"/>
      <c r="AD287" s="365"/>
      <c r="AE287" s="365"/>
      <c r="AF287" s="365"/>
      <c r="AG287" s="365"/>
      <c r="AH287" s="365">
        <v>-10</v>
      </c>
      <c r="AI287" s="365">
        <v>2.16</v>
      </c>
      <c r="AJ287" s="365">
        <v>2</v>
      </c>
      <c r="AK287" s="365">
        <v>1</v>
      </c>
      <c r="AL287" s="366">
        <f t="shared" si="206"/>
        <v>17.65974</v>
      </c>
      <c r="AM287" s="365">
        <f t="shared" si="230"/>
        <v>10.7987</v>
      </c>
      <c r="AN287" s="365">
        <f t="shared" si="231"/>
        <v>7.9603</v>
      </c>
      <c r="AO287" s="365">
        <f t="shared" si="232"/>
        <v>0.0684</v>
      </c>
      <c r="AP287" s="365">
        <f t="shared" si="233"/>
        <v>2.77</v>
      </c>
      <c r="AQ287" s="365">
        <f t="shared" si="234"/>
        <v>0</v>
      </c>
      <c r="AR287" s="365">
        <f t="shared" si="235"/>
        <v>0</v>
      </c>
      <c r="AS287" s="365">
        <f t="shared" si="222"/>
        <v>6.86104</v>
      </c>
      <c r="AT287" s="365">
        <f t="shared" si="236"/>
        <v>1.70104</v>
      </c>
      <c r="AU287" s="365">
        <f t="shared" si="237"/>
        <v>0</v>
      </c>
      <c r="AV287" s="365">
        <f t="shared" si="238"/>
        <v>0</v>
      </c>
      <c r="AW287" s="365">
        <f t="shared" si="239"/>
        <v>0</v>
      </c>
      <c r="AX287" s="365">
        <f t="shared" si="240"/>
        <v>0</v>
      </c>
      <c r="AY287" s="365">
        <f t="shared" si="241"/>
        <v>0</v>
      </c>
      <c r="AZ287" s="365">
        <f t="shared" si="242"/>
        <v>0</v>
      </c>
      <c r="BA287" s="365">
        <f t="shared" si="243"/>
        <v>2.16</v>
      </c>
      <c r="BB287" s="365">
        <f t="shared" si="244"/>
        <v>2</v>
      </c>
      <c r="BC287" s="365">
        <f t="shared" si="245"/>
        <v>1</v>
      </c>
      <c r="BD287" s="363"/>
      <c r="BE287">
        <v>1</v>
      </c>
    </row>
    <row r="288" ht="36" spans="1:57">
      <c r="A288" s="284" t="s">
        <v>540</v>
      </c>
      <c r="B288" s="284" t="s">
        <v>199</v>
      </c>
      <c r="C288" s="284" t="s">
        <v>558</v>
      </c>
      <c r="D288" s="284" t="s">
        <v>556</v>
      </c>
      <c r="E288" s="365">
        <f t="shared" si="226"/>
        <v>66.3</v>
      </c>
      <c r="F288" s="365">
        <f t="shared" si="227"/>
        <v>29.68</v>
      </c>
      <c r="G288" s="365">
        <v>21.31</v>
      </c>
      <c r="H288" s="365"/>
      <c r="I288" s="365">
        <v>8.37</v>
      </c>
      <c r="J288" s="365"/>
      <c r="K288" s="365"/>
      <c r="L288" s="365">
        <f t="shared" si="228"/>
        <v>36.62</v>
      </c>
      <c r="M288" s="365">
        <v>5.02</v>
      </c>
      <c r="N288" s="365"/>
      <c r="O288" s="365"/>
      <c r="P288" s="365"/>
      <c r="Q288" s="365"/>
      <c r="R288" s="371">
        <v>1.6</v>
      </c>
      <c r="S288" s="365">
        <v>30</v>
      </c>
      <c r="T288" s="366">
        <f t="shared" si="220"/>
        <v>-12.18034</v>
      </c>
      <c r="U288" s="366">
        <f t="shared" si="221"/>
        <v>3.1059</v>
      </c>
      <c r="V288" s="366">
        <v>3.0663</v>
      </c>
      <c r="W288" s="366">
        <v>0.0396</v>
      </c>
      <c r="X288" s="366"/>
      <c r="Y288" s="366"/>
      <c r="Z288" s="366"/>
      <c r="AA288" s="365">
        <f t="shared" si="229"/>
        <v>-15.28624</v>
      </c>
      <c r="AB288" s="365">
        <v>0.02376</v>
      </c>
      <c r="AC288" s="365"/>
      <c r="AD288" s="365"/>
      <c r="AE288" s="365"/>
      <c r="AF288" s="365"/>
      <c r="AG288" s="365"/>
      <c r="AH288" s="365">
        <v>-30</v>
      </c>
      <c r="AI288" s="365">
        <v>6.69</v>
      </c>
      <c r="AJ288" s="365">
        <v>5</v>
      </c>
      <c r="AK288" s="365">
        <v>3</v>
      </c>
      <c r="AL288" s="366">
        <f t="shared" si="206"/>
        <v>54.11966</v>
      </c>
      <c r="AM288" s="365">
        <f t="shared" si="230"/>
        <v>32.7859</v>
      </c>
      <c r="AN288" s="365">
        <f t="shared" si="231"/>
        <v>24.3763</v>
      </c>
      <c r="AO288" s="365">
        <f t="shared" si="232"/>
        <v>0.0396</v>
      </c>
      <c r="AP288" s="365">
        <f t="shared" si="233"/>
        <v>8.37</v>
      </c>
      <c r="AQ288" s="365">
        <f t="shared" si="234"/>
        <v>0</v>
      </c>
      <c r="AR288" s="365">
        <f t="shared" si="235"/>
        <v>0</v>
      </c>
      <c r="AS288" s="365">
        <f t="shared" si="222"/>
        <v>21.33376</v>
      </c>
      <c r="AT288" s="365">
        <f t="shared" si="236"/>
        <v>5.04376</v>
      </c>
      <c r="AU288" s="365">
        <f t="shared" si="237"/>
        <v>0</v>
      </c>
      <c r="AV288" s="365">
        <f t="shared" si="238"/>
        <v>0</v>
      </c>
      <c r="AW288" s="365">
        <f t="shared" si="239"/>
        <v>0</v>
      </c>
      <c r="AX288" s="365">
        <f t="shared" si="240"/>
        <v>0</v>
      </c>
      <c r="AY288" s="365">
        <f t="shared" si="241"/>
        <v>1.6</v>
      </c>
      <c r="AZ288" s="365">
        <f t="shared" si="242"/>
        <v>0</v>
      </c>
      <c r="BA288" s="365">
        <f t="shared" si="243"/>
        <v>6.69</v>
      </c>
      <c r="BB288" s="365">
        <f t="shared" si="244"/>
        <v>5</v>
      </c>
      <c r="BC288" s="365">
        <f t="shared" si="245"/>
        <v>3</v>
      </c>
      <c r="BD288" s="363"/>
      <c r="BE288">
        <v>3</v>
      </c>
    </row>
    <row r="289" ht="36" spans="1:57">
      <c r="A289" s="284" t="s">
        <v>540</v>
      </c>
      <c r="B289" s="284" t="s">
        <v>199</v>
      </c>
      <c r="C289" s="284" t="s">
        <v>559</v>
      </c>
      <c r="D289" s="284" t="s">
        <v>556</v>
      </c>
      <c r="E289" s="365">
        <f t="shared" si="226"/>
        <v>31.32</v>
      </c>
      <c r="F289" s="365">
        <f t="shared" si="227"/>
        <v>13.79</v>
      </c>
      <c r="G289" s="365">
        <v>9.57</v>
      </c>
      <c r="H289" s="365"/>
      <c r="I289" s="365">
        <v>4.22</v>
      </c>
      <c r="J289" s="365"/>
      <c r="K289" s="365"/>
      <c r="L289" s="365">
        <f t="shared" si="228"/>
        <v>17.53</v>
      </c>
      <c r="M289" s="365">
        <v>2.53</v>
      </c>
      <c r="N289" s="365"/>
      <c r="O289" s="365"/>
      <c r="P289" s="365"/>
      <c r="Q289" s="365"/>
      <c r="R289" s="365"/>
      <c r="S289" s="365">
        <v>15</v>
      </c>
      <c r="T289" s="366">
        <f t="shared" si="220"/>
        <v>-5.92482</v>
      </c>
      <c r="U289" s="366">
        <f t="shared" si="221"/>
        <v>1.353</v>
      </c>
      <c r="V289" s="366">
        <v>1.3827</v>
      </c>
      <c r="W289" s="366">
        <v>-0.0297</v>
      </c>
      <c r="X289" s="366"/>
      <c r="Y289" s="366"/>
      <c r="Z289" s="366"/>
      <c r="AA289" s="365">
        <f t="shared" si="229"/>
        <v>-7.27782</v>
      </c>
      <c r="AB289" s="365">
        <v>-0.01782</v>
      </c>
      <c r="AC289" s="365"/>
      <c r="AD289" s="365"/>
      <c r="AE289" s="365"/>
      <c r="AF289" s="365"/>
      <c r="AG289" s="365"/>
      <c r="AH289" s="365">
        <v>-15</v>
      </c>
      <c r="AI289" s="365">
        <v>3.24</v>
      </c>
      <c r="AJ289" s="365">
        <v>3</v>
      </c>
      <c r="AK289" s="365">
        <v>1.5</v>
      </c>
      <c r="AL289" s="366">
        <f t="shared" si="206"/>
        <v>25.39518</v>
      </c>
      <c r="AM289" s="365">
        <f t="shared" si="230"/>
        <v>15.143</v>
      </c>
      <c r="AN289" s="365">
        <f t="shared" si="231"/>
        <v>10.9527</v>
      </c>
      <c r="AO289" s="365">
        <f t="shared" si="232"/>
        <v>-0.0297</v>
      </c>
      <c r="AP289" s="365">
        <f t="shared" si="233"/>
        <v>4.22</v>
      </c>
      <c r="AQ289" s="365">
        <f t="shared" si="234"/>
        <v>0</v>
      </c>
      <c r="AR289" s="365">
        <f t="shared" si="235"/>
        <v>0</v>
      </c>
      <c r="AS289" s="365">
        <f t="shared" si="222"/>
        <v>10.25218</v>
      </c>
      <c r="AT289" s="365">
        <f t="shared" si="236"/>
        <v>2.51218</v>
      </c>
      <c r="AU289" s="365">
        <f t="shared" si="237"/>
        <v>0</v>
      </c>
      <c r="AV289" s="365">
        <f t="shared" si="238"/>
        <v>0</v>
      </c>
      <c r="AW289" s="365">
        <f t="shared" si="239"/>
        <v>0</v>
      </c>
      <c r="AX289" s="365">
        <f t="shared" si="240"/>
        <v>0</v>
      </c>
      <c r="AY289" s="365">
        <f t="shared" si="241"/>
        <v>0</v>
      </c>
      <c r="AZ289" s="365">
        <f t="shared" si="242"/>
        <v>0</v>
      </c>
      <c r="BA289" s="365">
        <f t="shared" si="243"/>
        <v>3.24</v>
      </c>
      <c r="BB289" s="365">
        <f t="shared" si="244"/>
        <v>3</v>
      </c>
      <c r="BC289" s="365">
        <f t="shared" si="245"/>
        <v>1.5</v>
      </c>
      <c r="BD289" s="363"/>
      <c r="BE289">
        <v>1.5</v>
      </c>
    </row>
    <row r="290" ht="36" spans="1:57">
      <c r="A290" s="284" t="s">
        <v>540</v>
      </c>
      <c r="B290" s="284" t="s">
        <v>199</v>
      </c>
      <c r="C290" s="284" t="s">
        <v>560</v>
      </c>
      <c r="D290" s="284" t="s">
        <v>556</v>
      </c>
      <c r="E290" s="365">
        <f t="shared" si="226"/>
        <v>31.53</v>
      </c>
      <c r="F290" s="365">
        <f t="shared" si="227"/>
        <v>14</v>
      </c>
      <c r="G290" s="365">
        <v>9.78</v>
      </c>
      <c r="H290" s="365"/>
      <c r="I290" s="365">
        <v>4.22</v>
      </c>
      <c r="J290" s="365"/>
      <c r="K290" s="365"/>
      <c r="L290" s="365">
        <f t="shared" si="228"/>
        <v>17.53</v>
      </c>
      <c r="M290" s="365">
        <v>2.53</v>
      </c>
      <c r="N290" s="365"/>
      <c r="O290" s="365"/>
      <c r="P290" s="365"/>
      <c r="Q290" s="365"/>
      <c r="R290" s="365"/>
      <c r="S290" s="365">
        <v>15</v>
      </c>
      <c r="T290" s="366">
        <f t="shared" si="220"/>
        <v>-5.9148</v>
      </c>
      <c r="U290" s="366">
        <f t="shared" si="221"/>
        <v>1.3452</v>
      </c>
      <c r="V290" s="366">
        <v>1.3452</v>
      </c>
      <c r="W290" s="366"/>
      <c r="X290" s="366"/>
      <c r="Y290" s="366"/>
      <c r="Z290" s="366"/>
      <c r="AA290" s="365">
        <f t="shared" si="229"/>
        <v>-7.26</v>
      </c>
      <c r="AB290" s="365"/>
      <c r="AC290" s="365"/>
      <c r="AD290" s="365"/>
      <c r="AE290" s="365"/>
      <c r="AF290" s="365"/>
      <c r="AG290" s="365"/>
      <c r="AH290" s="365">
        <v>-15</v>
      </c>
      <c r="AI290" s="365">
        <v>3.24</v>
      </c>
      <c r="AJ290" s="365">
        <v>3</v>
      </c>
      <c r="AK290" s="365">
        <v>1.5</v>
      </c>
      <c r="AL290" s="366">
        <f t="shared" si="206"/>
        <v>25.6152</v>
      </c>
      <c r="AM290" s="365">
        <f t="shared" si="230"/>
        <v>15.3452</v>
      </c>
      <c r="AN290" s="365">
        <f t="shared" si="231"/>
        <v>11.1252</v>
      </c>
      <c r="AO290" s="365">
        <f t="shared" si="232"/>
        <v>0</v>
      </c>
      <c r="AP290" s="365">
        <f t="shared" si="233"/>
        <v>4.22</v>
      </c>
      <c r="AQ290" s="365">
        <f t="shared" si="234"/>
        <v>0</v>
      </c>
      <c r="AR290" s="365">
        <f t="shared" si="235"/>
        <v>0</v>
      </c>
      <c r="AS290" s="365">
        <f t="shared" si="222"/>
        <v>10.27</v>
      </c>
      <c r="AT290" s="365">
        <f t="shared" si="236"/>
        <v>2.53</v>
      </c>
      <c r="AU290" s="365">
        <f t="shared" si="237"/>
        <v>0</v>
      </c>
      <c r="AV290" s="365">
        <f t="shared" si="238"/>
        <v>0</v>
      </c>
      <c r="AW290" s="365">
        <f t="shared" si="239"/>
        <v>0</v>
      </c>
      <c r="AX290" s="365">
        <f t="shared" si="240"/>
        <v>0</v>
      </c>
      <c r="AY290" s="365">
        <f t="shared" si="241"/>
        <v>0</v>
      </c>
      <c r="AZ290" s="365">
        <f t="shared" si="242"/>
        <v>0</v>
      </c>
      <c r="BA290" s="365">
        <f t="shared" si="243"/>
        <v>3.24</v>
      </c>
      <c r="BB290" s="365">
        <f t="shared" si="244"/>
        <v>3</v>
      </c>
      <c r="BC290" s="365">
        <f t="shared" si="245"/>
        <v>1.5</v>
      </c>
      <c r="BD290" s="363"/>
      <c r="BE290">
        <v>1.5</v>
      </c>
    </row>
    <row r="291" ht="24" spans="1:57">
      <c r="A291" s="284" t="s">
        <v>540</v>
      </c>
      <c r="B291" s="284" t="s">
        <v>199</v>
      </c>
      <c r="C291" s="284" t="s">
        <v>561</v>
      </c>
      <c r="D291" s="284" t="s">
        <v>562</v>
      </c>
      <c r="E291" s="365">
        <f t="shared" si="226"/>
        <v>22.98</v>
      </c>
      <c r="F291" s="365">
        <f t="shared" si="227"/>
        <v>9.35</v>
      </c>
      <c r="G291" s="365">
        <v>6.64</v>
      </c>
      <c r="H291" s="365"/>
      <c r="I291" s="365">
        <v>2.71</v>
      </c>
      <c r="J291" s="365"/>
      <c r="K291" s="365"/>
      <c r="L291" s="365">
        <f t="shared" si="228"/>
        <v>13.63</v>
      </c>
      <c r="M291" s="365">
        <v>1.63</v>
      </c>
      <c r="N291" s="365"/>
      <c r="O291" s="365"/>
      <c r="P291" s="365"/>
      <c r="Q291" s="365"/>
      <c r="R291" s="365"/>
      <c r="S291" s="365">
        <v>12</v>
      </c>
      <c r="T291" s="366">
        <f t="shared" si="220"/>
        <v>-4.22748</v>
      </c>
      <c r="U291" s="366">
        <f t="shared" si="221"/>
        <v>1.0485</v>
      </c>
      <c r="V291" s="366">
        <v>0.9918</v>
      </c>
      <c r="W291" s="366">
        <v>0.0567</v>
      </c>
      <c r="X291" s="366"/>
      <c r="Y291" s="366"/>
      <c r="Z291" s="366"/>
      <c r="AA291" s="365">
        <f t="shared" si="229"/>
        <v>-5.27598</v>
      </c>
      <c r="AB291" s="365">
        <v>0.03402</v>
      </c>
      <c r="AC291" s="365"/>
      <c r="AD291" s="365"/>
      <c r="AE291" s="365"/>
      <c r="AF291" s="365"/>
      <c r="AG291" s="365"/>
      <c r="AH291" s="365">
        <v>-12</v>
      </c>
      <c r="AI291" s="365">
        <v>2.16</v>
      </c>
      <c r="AJ291" s="365">
        <v>2</v>
      </c>
      <c r="AK291" s="365">
        <v>2.53</v>
      </c>
      <c r="AL291" s="366">
        <f t="shared" si="206"/>
        <v>18.75252</v>
      </c>
      <c r="AM291" s="365">
        <f t="shared" si="230"/>
        <v>10.3985</v>
      </c>
      <c r="AN291" s="365">
        <f t="shared" si="231"/>
        <v>7.6318</v>
      </c>
      <c r="AO291" s="365">
        <f t="shared" si="232"/>
        <v>0.0567</v>
      </c>
      <c r="AP291" s="365">
        <f t="shared" si="233"/>
        <v>2.71</v>
      </c>
      <c r="AQ291" s="365">
        <f t="shared" si="234"/>
        <v>0</v>
      </c>
      <c r="AR291" s="365">
        <f t="shared" si="235"/>
        <v>0</v>
      </c>
      <c r="AS291" s="365">
        <f t="shared" si="222"/>
        <v>8.35402</v>
      </c>
      <c r="AT291" s="365">
        <f t="shared" si="236"/>
        <v>1.66402</v>
      </c>
      <c r="AU291" s="365">
        <f t="shared" si="237"/>
        <v>0</v>
      </c>
      <c r="AV291" s="365">
        <f t="shared" si="238"/>
        <v>0</v>
      </c>
      <c r="AW291" s="365">
        <f t="shared" si="239"/>
        <v>0</v>
      </c>
      <c r="AX291" s="365">
        <f t="shared" si="240"/>
        <v>0</v>
      </c>
      <c r="AY291" s="365">
        <f t="shared" si="241"/>
        <v>0</v>
      </c>
      <c r="AZ291" s="365">
        <f t="shared" si="242"/>
        <v>0</v>
      </c>
      <c r="BA291" s="365">
        <f t="shared" si="243"/>
        <v>2.16</v>
      </c>
      <c r="BB291" s="365">
        <f t="shared" si="244"/>
        <v>2</v>
      </c>
      <c r="BC291" s="365">
        <f t="shared" si="245"/>
        <v>2.53</v>
      </c>
      <c r="BD291" s="363"/>
      <c r="BE291">
        <v>2.53</v>
      </c>
    </row>
    <row r="292" ht="36" spans="1:57">
      <c r="A292" s="284" t="s">
        <v>540</v>
      </c>
      <c r="B292" s="284" t="s">
        <v>199</v>
      </c>
      <c r="C292" s="284" t="s">
        <v>563</v>
      </c>
      <c r="D292" s="284" t="s">
        <v>564</v>
      </c>
      <c r="E292" s="365">
        <f t="shared" si="226"/>
        <v>10.78</v>
      </c>
      <c r="F292" s="365">
        <f t="shared" si="227"/>
        <v>4</v>
      </c>
      <c r="G292" s="365">
        <v>2.8</v>
      </c>
      <c r="H292" s="365"/>
      <c r="I292" s="365">
        <v>1.2</v>
      </c>
      <c r="J292" s="365"/>
      <c r="K292" s="365"/>
      <c r="L292" s="365">
        <f t="shared" si="228"/>
        <v>6.78</v>
      </c>
      <c r="M292" s="365">
        <v>0.72</v>
      </c>
      <c r="N292" s="365"/>
      <c r="O292" s="365"/>
      <c r="P292" s="365"/>
      <c r="Q292" s="365"/>
      <c r="R292" s="374">
        <v>0.06</v>
      </c>
      <c r="S292" s="365">
        <v>6</v>
      </c>
      <c r="T292" s="366">
        <f t="shared" si="220"/>
        <v>-2.5464</v>
      </c>
      <c r="U292" s="366">
        <f t="shared" si="221"/>
        <v>0.3636</v>
      </c>
      <c r="V292" s="366">
        <v>0.3636</v>
      </c>
      <c r="W292" s="366"/>
      <c r="X292" s="366"/>
      <c r="Y292" s="366"/>
      <c r="Z292" s="366"/>
      <c r="AA292" s="365">
        <f t="shared" si="229"/>
        <v>-2.91</v>
      </c>
      <c r="AB292" s="365"/>
      <c r="AC292" s="365"/>
      <c r="AD292" s="365"/>
      <c r="AE292" s="365"/>
      <c r="AF292" s="365"/>
      <c r="AG292" s="365"/>
      <c r="AH292" s="365">
        <v>-6</v>
      </c>
      <c r="AI292" s="365">
        <v>1.08</v>
      </c>
      <c r="AJ292" s="365">
        <v>1</v>
      </c>
      <c r="AK292" s="365">
        <v>1.01</v>
      </c>
      <c r="AL292" s="366">
        <f t="shared" si="206"/>
        <v>8.2336</v>
      </c>
      <c r="AM292" s="365">
        <f t="shared" si="230"/>
        <v>4.3636</v>
      </c>
      <c r="AN292" s="365">
        <f t="shared" si="231"/>
        <v>3.1636</v>
      </c>
      <c r="AO292" s="365">
        <f t="shared" si="232"/>
        <v>0</v>
      </c>
      <c r="AP292" s="365">
        <f t="shared" si="233"/>
        <v>1.2</v>
      </c>
      <c r="AQ292" s="365">
        <f t="shared" si="234"/>
        <v>0</v>
      </c>
      <c r="AR292" s="365">
        <f t="shared" si="235"/>
        <v>0</v>
      </c>
      <c r="AS292" s="365">
        <f t="shared" si="222"/>
        <v>3.87</v>
      </c>
      <c r="AT292" s="365">
        <f t="shared" si="236"/>
        <v>0.72</v>
      </c>
      <c r="AU292" s="365">
        <f t="shared" si="237"/>
        <v>0</v>
      </c>
      <c r="AV292" s="365">
        <f t="shared" si="238"/>
        <v>0</v>
      </c>
      <c r="AW292" s="365">
        <f t="shared" si="239"/>
        <v>0</v>
      </c>
      <c r="AX292" s="365">
        <f t="shared" si="240"/>
        <v>0</v>
      </c>
      <c r="AY292" s="365">
        <f t="shared" si="241"/>
        <v>0.06</v>
      </c>
      <c r="AZ292" s="365">
        <f t="shared" si="242"/>
        <v>0</v>
      </c>
      <c r="BA292" s="365">
        <f t="shared" si="243"/>
        <v>1.08</v>
      </c>
      <c r="BB292" s="365">
        <f t="shared" si="244"/>
        <v>1</v>
      </c>
      <c r="BC292" s="365">
        <f t="shared" si="245"/>
        <v>1.01</v>
      </c>
      <c r="BD292" s="363"/>
      <c r="BE292">
        <v>1.01</v>
      </c>
    </row>
    <row r="293" ht="36" spans="1:57">
      <c r="A293" s="284" t="s">
        <v>540</v>
      </c>
      <c r="B293" s="284" t="s">
        <v>199</v>
      </c>
      <c r="C293" s="284" t="s">
        <v>565</v>
      </c>
      <c r="D293" s="284" t="s">
        <v>566</v>
      </c>
      <c r="E293" s="365">
        <f t="shared" si="226"/>
        <v>64.5</v>
      </c>
      <c r="F293" s="365">
        <f t="shared" si="227"/>
        <v>29.24</v>
      </c>
      <c r="G293" s="365">
        <v>20.48</v>
      </c>
      <c r="H293" s="365"/>
      <c r="I293" s="365">
        <v>8.76</v>
      </c>
      <c r="J293" s="365"/>
      <c r="K293" s="365"/>
      <c r="L293" s="365">
        <f t="shared" si="228"/>
        <v>35.26</v>
      </c>
      <c r="M293" s="365">
        <v>5.26</v>
      </c>
      <c r="N293" s="365"/>
      <c r="O293" s="365"/>
      <c r="P293" s="365"/>
      <c r="Q293" s="365"/>
      <c r="R293" s="365"/>
      <c r="S293" s="365">
        <v>30</v>
      </c>
      <c r="T293" s="366">
        <f t="shared" si="220"/>
        <v>-14.29126</v>
      </c>
      <c r="U293" s="366">
        <f t="shared" si="221"/>
        <v>0.4691</v>
      </c>
      <c r="V293" s="366">
        <v>1.2197</v>
      </c>
      <c r="W293" s="366">
        <v>-0.7506</v>
      </c>
      <c r="X293" s="366"/>
      <c r="Y293" s="366"/>
      <c r="Z293" s="366"/>
      <c r="AA293" s="365">
        <f t="shared" si="229"/>
        <v>-14.76036</v>
      </c>
      <c r="AB293" s="365">
        <v>-0.45036</v>
      </c>
      <c r="AC293" s="365"/>
      <c r="AD293" s="365"/>
      <c r="AE293" s="365"/>
      <c r="AF293" s="365"/>
      <c r="AG293" s="365"/>
      <c r="AH293" s="365">
        <v>-30</v>
      </c>
      <c r="AI293" s="365">
        <v>6.18</v>
      </c>
      <c r="AJ293" s="365">
        <v>6</v>
      </c>
      <c r="AK293" s="365">
        <v>3.51</v>
      </c>
      <c r="AL293" s="366">
        <f t="shared" si="206"/>
        <v>50.20874</v>
      </c>
      <c r="AM293" s="365">
        <f t="shared" si="230"/>
        <v>29.7091</v>
      </c>
      <c r="AN293" s="365">
        <f t="shared" si="231"/>
        <v>21.6997</v>
      </c>
      <c r="AO293" s="365">
        <f t="shared" si="232"/>
        <v>-0.7506</v>
      </c>
      <c r="AP293" s="365">
        <f t="shared" si="233"/>
        <v>8.76</v>
      </c>
      <c r="AQ293" s="365">
        <f t="shared" si="234"/>
        <v>0</v>
      </c>
      <c r="AR293" s="365">
        <f t="shared" si="235"/>
        <v>0</v>
      </c>
      <c r="AS293" s="365">
        <f t="shared" si="222"/>
        <v>20.49964</v>
      </c>
      <c r="AT293" s="365">
        <f t="shared" si="236"/>
        <v>4.80964</v>
      </c>
      <c r="AU293" s="365">
        <f t="shared" si="237"/>
        <v>0</v>
      </c>
      <c r="AV293" s="365">
        <f t="shared" si="238"/>
        <v>0</v>
      </c>
      <c r="AW293" s="365">
        <f t="shared" si="239"/>
        <v>0</v>
      </c>
      <c r="AX293" s="365">
        <f t="shared" si="240"/>
        <v>0</v>
      </c>
      <c r="AY293" s="365">
        <f t="shared" si="241"/>
        <v>0</v>
      </c>
      <c r="AZ293" s="365">
        <f t="shared" si="242"/>
        <v>0</v>
      </c>
      <c r="BA293" s="365">
        <f t="shared" si="243"/>
        <v>6.18</v>
      </c>
      <c r="BB293" s="365">
        <f t="shared" si="244"/>
        <v>6</v>
      </c>
      <c r="BC293" s="365">
        <f t="shared" si="245"/>
        <v>3.51</v>
      </c>
      <c r="BD293" s="363"/>
      <c r="BE293">
        <v>3.51</v>
      </c>
    </row>
    <row r="294" ht="24" spans="1:57">
      <c r="A294" s="284" t="s">
        <v>540</v>
      </c>
      <c r="B294" s="284" t="s">
        <v>196</v>
      </c>
      <c r="C294" s="284" t="s">
        <v>567</v>
      </c>
      <c r="D294" s="284" t="s">
        <v>568</v>
      </c>
      <c r="E294" s="365">
        <f t="shared" si="226"/>
        <v>0</v>
      </c>
      <c r="F294" s="365">
        <f t="shared" si="227"/>
        <v>0</v>
      </c>
      <c r="G294" s="365"/>
      <c r="H294" s="365"/>
      <c r="I294" s="365"/>
      <c r="J294" s="365"/>
      <c r="K294" s="365"/>
      <c r="L294" s="365">
        <f t="shared" si="228"/>
        <v>0</v>
      </c>
      <c r="M294" s="365"/>
      <c r="N294" s="365"/>
      <c r="O294" s="365"/>
      <c r="P294" s="365"/>
      <c r="Q294" s="365"/>
      <c r="R294" s="365"/>
      <c r="S294" s="365"/>
      <c r="T294" s="366">
        <f t="shared" si="220"/>
        <v>0</v>
      </c>
      <c r="U294" s="366">
        <f t="shared" si="221"/>
        <v>0</v>
      </c>
      <c r="V294" s="366"/>
      <c r="W294" s="366"/>
      <c r="X294" s="366"/>
      <c r="Y294" s="366"/>
      <c r="Z294" s="366"/>
      <c r="AA294" s="365">
        <f t="shared" si="229"/>
        <v>0</v>
      </c>
      <c r="AB294" s="365"/>
      <c r="AC294" s="365"/>
      <c r="AD294" s="365"/>
      <c r="AE294" s="365"/>
      <c r="AF294" s="365"/>
      <c r="AG294" s="365"/>
      <c r="AH294" s="365">
        <v>0</v>
      </c>
      <c r="AI294" s="365"/>
      <c r="AJ294" s="365"/>
      <c r="AK294" s="365"/>
      <c r="AL294" s="366">
        <f t="shared" si="206"/>
        <v>0</v>
      </c>
      <c r="AM294" s="365">
        <f t="shared" si="230"/>
        <v>0</v>
      </c>
      <c r="AN294" s="365">
        <f t="shared" si="231"/>
        <v>0</v>
      </c>
      <c r="AO294" s="365">
        <f t="shared" si="232"/>
        <v>0</v>
      </c>
      <c r="AP294" s="365">
        <f t="shared" si="233"/>
        <v>0</v>
      </c>
      <c r="AQ294" s="365">
        <f t="shared" si="234"/>
        <v>0</v>
      </c>
      <c r="AR294" s="365">
        <f t="shared" si="235"/>
        <v>0</v>
      </c>
      <c r="AS294" s="365">
        <f t="shared" si="222"/>
        <v>0</v>
      </c>
      <c r="AT294" s="365">
        <f t="shared" si="236"/>
        <v>0</v>
      </c>
      <c r="AU294" s="365">
        <f t="shared" si="237"/>
        <v>0</v>
      </c>
      <c r="AV294" s="365">
        <f t="shared" si="238"/>
        <v>0</v>
      </c>
      <c r="AW294" s="365">
        <f t="shared" si="239"/>
        <v>0</v>
      </c>
      <c r="AX294" s="365">
        <f t="shared" si="240"/>
        <v>0</v>
      </c>
      <c r="AY294" s="365">
        <f t="shared" si="241"/>
        <v>0</v>
      </c>
      <c r="AZ294" s="365">
        <f t="shared" si="242"/>
        <v>0</v>
      </c>
      <c r="BA294" s="365">
        <f t="shared" si="243"/>
        <v>0</v>
      </c>
      <c r="BB294" s="365">
        <f t="shared" si="244"/>
        <v>0</v>
      </c>
      <c r="BC294" s="365">
        <f t="shared" si="245"/>
        <v>0</v>
      </c>
      <c r="BD294" s="363"/>
      <c r="BE294">
        <v>4.6208</v>
      </c>
    </row>
    <row r="295" ht="24" spans="1:57">
      <c r="A295" s="284" t="s">
        <v>540</v>
      </c>
      <c r="B295" s="284" t="s">
        <v>199</v>
      </c>
      <c r="C295" s="284" t="s">
        <v>569</v>
      </c>
      <c r="D295" s="284" t="s">
        <v>570</v>
      </c>
      <c r="E295" s="365">
        <f t="shared" si="226"/>
        <v>23.66</v>
      </c>
      <c r="F295" s="365">
        <f t="shared" si="227"/>
        <v>10.05</v>
      </c>
      <c r="G295" s="365">
        <v>7.36</v>
      </c>
      <c r="H295" s="365">
        <v>2.69</v>
      </c>
      <c r="I295" s="365"/>
      <c r="J295" s="365"/>
      <c r="K295" s="365"/>
      <c r="L295" s="365">
        <f t="shared" si="228"/>
        <v>13.61</v>
      </c>
      <c r="M295" s="365">
        <v>1.61</v>
      </c>
      <c r="N295" s="365"/>
      <c r="O295" s="365"/>
      <c r="P295" s="365"/>
      <c r="Q295" s="365"/>
      <c r="R295" s="365"/>
      <c r="S295" s="365">
        <v>12</v>
      </c>
      <c r="T295" s="366">
        <f t="shared" si="220"/>
        <v>-7.55584</v>
      </c>
      <c r="U295" s="366">
        <f t="shared" si="221"/>
        <v>0.1416</v>
      </c>
      <c r="V295" s="366">
        <v>0.354</v>
      </c>
      <c r="W295" s="366">
        <v>-0.2124</v>
      </c>
      <c r="X295" s="366"/>
      <c r="Y295" s="366"/>
      <c r="Z295" s="366"/>
      <c r="AA295" s="365">
        <f t="shared" si="229"/>
        <v>-7.69744</v>
      </c>
      <c r="AB295" s="365">
        <v>-0.12744</v>
      </c>
      <c r="AC295" s="365"/>
      <c r="AD295" s="365"/>
      <c r="AE295" s="365"/>
      <c r="AF295" s="365"/>
      <c r="AG295" s="365"/>
      <c r="AH295" s="365">
        <v>-12</v>
      </c>
      <c r="AI295" s="365">
        <v>2.76</v>
      </c>
      <c r="AJ295" s="365">
        <v>1</v>
      </c>
      <c r="AK295" s="365">
        <v>0.67</v>
      </c>
      <c r="AL295" s="366">
        <f t="shared" si="206"/>
        <v>16.10416</v>
      </c>
      <c r="AM295" s="365">
        <f t="shared" si="230"/>
        <v>10.1916</v>
      </c>
      <c r="AN295" s="365">
        <f t="shared" si="231"/>
        <v>7.714</v>
      </c>
      <c r="AO295" s="365">
        <f t="shared" si="232"/>
        <v>2.4776</v>
      </c>
      <c r="AP295" s="365">
        <f t="shared" si="233"/>
        <v>0</v>
      </c>
      <c r="AQ295" s="365">
        <f t="shared" si="234"/>
        <v>0</v>
      </c>
      <c r="AR295" s="365">
        <f t="shared" si="235"/>
        <v>0</v>
      </c>
      <c r="AS295" s="365">
        <f t="shared" si="222"/>
        <v>5.91256</v>
      </c>
      <c r="AT295" s="365">
        <f t="shared" si="236"/>
        <v>1.48256</v>
      </c>
      <c r="AU295" s="365">
        <f t="shared" si="237"/>
        <v>0</v>
      </c>
      <c r="AV295" s="365">
        <f t="shared" si="238"/>
        <v>0</v>
      </c>
      <c r="AW295" s="365">
        <f t="shared" si="239"/>
        <v>0</v>
      </c>
      <c r="AX295" s="365">
        <f t="shared" si="240"/>
        <v>0</v>
      </c>
      <c r="AY295" s="365">
        <f t="shared" si="241"/>
        <v>0</v>
      </c>
      <c r="AZ295" s="365">
        <f t="shared" si="242"/>
        <v>0</v>
      </c>
      <c r="BA295" s="365">
        <f t="shared" si="243"/>
        <v>2.76</v>
      </c>
      <c r="BB295" s="365">
        <f t="shared" si="244"/>
        <v>1</v>
      </c>
      <c r="BC295" s="365">
        <f t="shared" si="245"/>
        <v>0.67</v>
      </c>
      <c r="BD295" s="363"/>
      <c r="BE295">
        <v>0.67</v>
      </c>
    </row>
    <row r="296" ht="24" spans="1:57">
      <c r="A296" s="284" t="s">
        <v>540</v>
      </c>
      <c r="B296" s="284" t="s">
        <v>196</v>
      </c>
      <c r="C296" s="284" t="s">
        <v>571</v>
      </c>
      <c r="D296" s="284" t="s">
        <v>572</v>
      </c>
      <c r="E296" s="365">
        <f t="shared" si="226"/>
        <v>0</v>
      </c>
      <c r="F296" s="365">
        <f t="shared" si="227"/>
        <v>0</v>
      </c>
      <c r="G296" s="365"/>
      <c r="H296" s="365"/>
      <c r="I296" s="365"/>
      <c r="J296" s="365"/>
      <c r="K296" s="365"/>
      <c r="L296" s="365">
        <f t="shared" si="228"/>
        <v>0</v>
      </c>
      <c r="M296" s="365"/>
      <c r="N296" s="365"/>
      <c r="O296" s="365"/>
      <c r="P296" s="365"/>
      <c r="Q296" s="365"/>
      <c r="R296" s="365"/>
      <c r="S296" s="366"/>
      <c r="T296" s="366">
        <f t="shared" si="220"/>
        <v>0</v>
      </c>
      <c r="U296" s="366">
        <f t="shared" si="221"/>
        <v>0</v>
      </c>
      <c r="V296" s="366"/>
      <c r="W296" s="366"/>
      <c r="X296" s="366"/>
      <c r="Y296" s="366"/>
      <c r="Z296" s="366"/>
      <c r="AA296" s="365">
        <f t="shared" si="229"/>
        <v>0</v>
      </c>
      <c r="AB296" s="366"/>
      <c r="AC296" s="366"/>
      <c r="AD296" s="366"/>
      <c r="AE296" s="366"/>
      <c r="AF296" s="366"/>
      <c r="AG296" s="366"/>
      <c r="AH296" s="365">
        <v>0</v>
      </c>
      <c r="AI296" s="366"/>
      <c r="AJ296" s="366"/>
      <c r="AK296" s="366"/>
      <c r="AL296" s="366">
        <f t="shared" si="206"/>
        <v>0</v>
      </c>
      <c r="AM296" s="365">
        <f t="shared" si="230"/>
        <v>0</v>
      </c>
      <c r="AN296" s="365">
        <f t="shared" si="231"/>
        <v>0</v>
      </c>
      <c r="AO296" s="365">
        <f t="shared" si="232"/>
        <v>0</v>
      </c>
      <c r="AP296" s="365">
        <f t="shared" si="233"/>
        <v>0</v>
      </c>
      <c r="AQ296" s="365">
        <f t="shared" si="234"/>
        <v>0</v>
      </c>
      <c r="AR296" s="365">
        <f t="shared" si="235"/>
        <v>0</v>
      </c>
      <c r="AS296" s="365">
        <f t="shared" si="222"/>
        <v>0</v>
      </c>
      <c r="AT296" s="365">
        <f t="shared" si="236"/>
        <v>0</v>
      </c>
      <c r="AU296" s="365">
        <f t="shared" si="237"/>
        <v>0</v>
      </c>
      <c r="AV296" s="365">
        <f t="shared" si="238"/>
        <v>0</v>
      </c>
      <c r="AW296" s="365">
        <f t="shared" si="239"/>
        <v>0</v>
      </c>
      <c r="AX296" s="365">
        <f t="shared" si="240"/>
        <v>0</v>
      </c>
      <c r="AY296" s="365">
        <f t="shared" si="241"/>
        <v>0</v>
      </c>
      <c r="AZ296" s="365">
        <f t="shared" si="242"/>
        <v>0</v>
      </c>
      <c r="BA296" s="365">
        <f t="shared" si="243"/>
        <v>0</v>
      </c>
      <c r="BB296" s="365">
        <f t="shared" si="244"/>
        <v>0</v>
      </c>
      <c r="BC296" s="365">
        <f t="shared" si="245"/>
        <v>0</v>
      </c>
      <c r="BD296" s="363"/>
      <c r="BE296">
        <v>1.5848</v>
      </c>
    </row>
    <row r="297" ht="24" spans="1:57">
      <c r="A297" s="284" t="s">
        <v>540</v>
      </c>
      <c r="B297" s="284" t="s">
        <v>196</v>
      </c>
      <c r="C297" s="284" t="s">
        <v>573</v>
      </c>
      <c r="D297" s="284" t="s">
        <v>574</v>
      </c>
      <c r="E297" s="365">
        <f t="shared" si="226"/>
        <v>0</v>
      </c>
      <c r="F297" s="365">
        <f t="shared" si="227"/>
        <v>0</v>
      </c>
      <c r="G297" s="365"/>
      <c r="H297" s="365"/>
      <c r="I297" s="365"/>
      <c r="J297" s="365"/>
      <c r="K297" s="365"/>
      <c r="L297" s="365">
        <f t="shared" si="228"/>
        <v>0</v>
      </c>
      <c r="M297" s="365"/>
      <c r="N297" s="365"/>
      <c r="O297" s="365"/>
      <c r="P297" s="365"/>
      <c r="Q297" s="365"/>
      <c r="R297" s="365"/>
      <c r="S297" s="365"/>
      <c r="T297" s="366">
        <f t="shared" si="220"/>
        <v>0</v>
      </c>
      <c r="U297" s="366">
        <f t="shared" si="221"/>
        <v>0</v>
      </c>
      <c r="V297" s="366"/>
      <c r="W297" s="366"/>
      <c r="X297" s="366"/>
      <c r="Y297" s="366"/>
      <c r="Z297" s="366"/>
      <c r="AA297" s="365">
        <f t="shared" si="229"/>
        <v>0</v>
      </c>
      <c r="AB297" s="365"/>
      <c r="AC297" s="365"/>
      <c r="AD297" s="365"/>
      <c r="AE297" s="365"/>
      <c r="AF297" s="365"/>
      <c r="AG297" s="365"/>
      <c r="AH297" s="365">
        <v>0</v>
      </c>
      <c r="AI297" s="365"/>
      <c r="AJ297" s="365"/>
      <c r="AK297" s="365"/>
      <c r="AL297" s="366">
        <f t="shared" si="206"/>
        <v>0</v>
      </c>
      <c r="AM297" s="365">
        <f t="shared" si="230"/>
        <v>0</v>
      </c>
      <c r="AN297" s="365">
        <f t="shared" si="231"/>
        <v>0</v>
      </c>
      <c r="AO297" s="365">
        <f t="shared" si="232"/>
        <v>0</v>
      </c>
      <c r="AP297" s="365">
        <f t="shared" si="233"/>
        <v>0</v>
      </c>
      <c r="AQ297" s="365">
        <f t="shared" si="234"/>
        <v>0</v>
      </c>
      <c r="AR297" s="365">
        <f t="shared" si="235"/>
        <v>0</v>
      </c>
      <c r="AS297" s="365">
        <f t="shared" si="222"/>
        <v>0</v>
      </c>
      <c r="AT297" s="365">
        <f t="shared" si="236"/>
        <v>0</v>
      </c>
      <c r="AU297" s="365">
        <f t="shared" si="237"/>
        <v>0</v>
      </c>
      <c r="AV297" s="365">
        <f t="shared" si="238"/>
        <v>0</v>
      </c>
      <c r="AW297" s="365">
        <f t="shared" si="239"/>
        <v>0</v>
      </c>
      <c r="AX297" s="365">
        <f t="shared" si="240"/>
        <v>0</v>
      </c>
      <c r="AY297" s="365">
        <f t="shared" si="241"/>
        <v>0</v>
      </c>
      <c r="AZ297" s="365">
        <f t="shared" si="242"/>
        <v>0</v>
      </c>
      <c r="BA297" s="365">
        <f t="shared" si="243"/>
        <v>0</v>
      </c>
      <c r="BB297" s="365">
        <f t="shared" si="244"/>
        <v>0</v>
      </c>
      <c r="BC297" s="365">
        <f t="shared" si="245"/>
        <v>0</v>
      </c>
      <c r="BD297" s="363"/>
      <c r="BE297">
        <v>3.0642</v>
      </c>
    </row>
    <row r="298" ht="24" spans="1:57">
      <c r="A298" s="284" t="s">
        <v>540</v>
      </c>
      <c r="B298" s="284" t="s">
        <v>199</v>
      </c>
      <c r="C298" s="284" t="s">
        <v>575</v>
      </c>
      <c r="D298" s="284" t="s">
        <v>576</v>
      </c>
      <c r="E298" s="365">
        <f t="shared" si="226"/>
        <v>57.24</v>
      </c>
      <c r="F298" s="365">
        <f t="shared" si="227"/>
        <v>22.84</v>
      </c>
      <c r="G298" s="365">
        <v>15.85</v>
      </c>
      <c r="H298" s="365"/>
      <c r="I298" s="365">
        <v>6.99</v>
      </c>
      <c r="J298" s="365"/>
      <c r="K298" s="365"/>
      <c r="L298" s="365">
        <f t="shared" si="228"/>
        <v>34.4</v>
      </c>
      <c r="M298" s="365">
        <v>4.2</v>
      </c>
      <c r="N298" s="365"/>
      <c r="O298" s="365"/>
      <c r="P298" s="365"/>
      <c r="Q298" s="365"/>
      <c r="R298" s="374">
        <v>1.2</v>
      </c>
      <c r="S298" s="365">
        <v>29</v>
      </c>
      <c r="T298" s="366">
        <f t="shared" si="220"/>
        <v>-13.1407</v>
      </c>
      <c r="U298" s="366">
        <f t="shared" si="221"/>
        <v>2.2593</v>
      </c>
      <c r="V298" s="366">
        <v>2.2593</v>
      </c>
      <c r="W298" s="366">
        <v>0</v>
      </c>
      <c r="X298" s="366"/>
      <c r="Y298" s="366"/>
      <c r="Z298" s="366"/>
      <c r="AA298" s="365">
        <f t="shared" si="229"/>
        <v>-15.4</v>
      </c>
      <c r="AB298" s="365"/>
      <c r="AC298" s="365"/>
      <c r="AD298" s="365"/>
      <c r="AE298" s="365"/>
      <c r="AF298" s="365"/>
      <c r="AG298" s="365">
        <v>0.3</v>
      </c>
      <c r="AH298" s="365">
        <v>-29</v>
      </c>
      <c r="AI298" s="365">
        <v>7.8</v>
      </c>
      <c r="AJ298" s="365">
        <v>3</v>
      </c>
      <c r="AK298" s="365">
        <v>2.5</v>
      </c>
      <c r="AL298" s="366">
        <f t="shared" si="206"/>
        <v>44.0993</v>
      </c>
      <c r="AM298" s="365">
        <f t="shared" si="230"/>
        <v>25.0993</v>
      </c>
      <c r="AN298" s="365">
        <f t="shared" si="231"/>
        <v>18.1093</v>
      </c>
      <c r="AO298" s="365">
        <f t="shared" si="232"/>
        <v>0</v>
      </c>
      <c r="AP298" s="365">
        <f t="shared" si="233"/>
        <v>6.99</v>
      </c>
      <c r="AQ298" s="365">
        <f t="shared" si="234"/>
        <v>0</v>
      </c>
      <c r="AR298" s="365">
        <f t="shared" si="235"/>
        <v>0</v>
      </c>
      <c r="AS298" s="365">
        <f t="shared" si="222"/>
        <v>19</v>
      </c>
      <c r="AT298" s="365">
        <f t="shared" si="236"/>
        <v>4.2</v>
      </c>
      <c r="AU298" s="365">
        <f t="shared" si="237"/>
        <v>0</v>
      </c>
      <c r="AV298" s="365">
        <f t="shared" si="238"/>
        <v>0</v>
      </c>
      <c r="AW298" s="365">
        <f t="shared" si="239"/>
        <v>0</v>
      </c>
      <c r="AX298" s="365">
        <f t="shared" si="240"/>
        <v>0</v>
      </c>
      <c r="AY298" s="365">
        <f t="shared" si="241"/>
        <v>1.5</v>
      </c>
      <c r="AZ298" s="365">
        <f t="shared" si="242"/>
        <v>0</v>
      </c>
      <c r="BA298" s="365">
        <f t="shared" si="243"/>
        <v>7.8</v>
      </c>
      <c r="BB298" s="365">
        <f t="shared" si="244"/>
        <v>3</v>
      </c>
      <c r="BC298" s="365">
        <f t="shared" si="245"/>
        <v>2.5</v>
      </c>
      <c r="BD298" s="363"/>
      <c r="BE298">
        <v>2.5</v>
      </c>
    </row>
    <row r="299" s="311" customFormat="1" ht="21" customHeight="1" spans="1:57">
      <c r="A299" s="328"/>
      <c r="B299" s="329" t="s">
        <v>750</v>
      </c>
      <c r="C299" s="329" t="s">
        <v>138</v>
      </c>
      <c r="D299" s="329">
        <v>210</v>
      </c>
      <c r="E299" s="364">
        <f t="shared" ref="E299:S299" si="246">SUM(E300:E328)</f>
        <v>5175.968</v>
      </c>
      <c r="F299" s="364">
        <f t="shared" si="246"/>
        <v>2583.768</v>
      </c>
      <c r="G299" s="364">
        <f t="shared" si="246"/>
        <v>1720.27</v>
      </c>
      <c r="H299" s="364">
        <f t="shared" si="246"/>
        <v>38.45</v>
      </c>
      <c r="I299" s="364">
        <f t="shared" si="246"/>
        <v>693.298</v>
      </c>
      <c r="J299" s="364">
        <f t="shared" si="246"/>
        <v>109.32</v>
      </c>
      <c r="K299" s="364">
        <f t="shared" si="246"/>
        <v>22.43</v>
      </c>
      <c r="L299" s="364">
        <f t="shared" si="246"/>
        <v>2592.2</v>
      </c>
      <c r="M299" s="364">
        <f t="shared" si="246"/>
        <v>415.96</v>
      </c>
      <c r="N299" s="364">
        <f t="shared" si="246"/>
        <v>0</v>
      </c>
      <c r="O299" s="364">
        <f t="shared" si="246"/>
        <v>0</v>
      </c>
      <c r="P299" s="364">
        <f t="shared" si="246"/>
        <v>2.48</v>
      </c>
      <c r="Q299" s="364">
        <f t="shared" si="246"/>
        <v>0</v>
      </c>
      <c r="R299" s="364">
        <f t="shared" si="246"/>
        <v>1683.32</v>
      </c>
      <c r="S299" s="364">
        <f t="shared" si="246"/>
        <v>490.44</v>
      </c>
      <c r="T299" s="364">
        <f t="shared" si="220"/>
        <v>1133.05141</v>
      </c>
      <c r="U299" s="364">
        <f t="shared" ref="U299:AK299" si="247">SUM(U300:U328)</f>
        <v>336.81415</v>
      </c>
      <c r="V299" s="364">
        <f t="shared" si="247"/>
        <v>292.3637</v>
      </c>
      <c r="W299" s="364">
        <f t="shared" si="247"/>
        <v>34.9276</v>
      </c>
      <c r="X299" s="364">
        <f t="shared" si="247"/>
        <v>0</v>
      </c>
      <c r="Y299" s="364">
        <f t="shared" si="247"/>
        <v>5.92</v>
      </c>
      <c r="Z299" s="364">
        <f t="shared" si="247"/>
        <v>3.60285</v>
      </c>
      <c r="AA299" s="364">
        <f t="shared" si="247"/>
        <v>796.23726</v>
      </c>
      <c r="AB299" s="364">
        <f t="shared" si="247"/>
        <v>23.46656</v>
      </c>
      <c r="AC299" s="364">
        <f t="shared" si="247"/>
        <v>0</v>
      </c>
      <c r="AD299" s="364">
        <f t="shared" si="247"/>
        <v>0</v>
      </c>
      <c r="AE299" s="364">
        <f t="shared" si="247"/>
        <v>0</v>
      </c>
      <c r="AF299" s="364">
        <f t="shared" si="247"/>
        <v>0</v>
      </c>
      <c r="AG299" s="364">
        <f t="shared" si="247"/>
        <v>22.65</v>
      </c>
      <c r="AH299" s="364">
        <f t="shared" si="247"/>
        <v>-490.44</v>
      </c>
      <c r="AI299" s="364">
        <f t="shared" si="247"/>
        <v>770.075</v>
      </c>
      <c r="AJ299" s="364">
        <f t="shared" si="247"/>
        <v>94</v>
      </c>
      <c r="AK299" s="364">
        <f t="shared" si="247"/>
        <v>376.4857</v>
      </c>
      <c r="AL299" s="364">
        <f t="shared" si="206"/>
        <v>6309.01941</v>
      </c>
      <c r="AM299" s="364">
        <f t="shared" ref="AM299:BC299" si="248">SUM(AM300:AM328)</f>
        <v>2920.58215</v>
      </c>
      <c r="AN299" s="364">
        <f t="shared" si="248"/>
        <v>2012.6337</v>
      </c>
      <c r="AO299" s="364">
        <f t="shared" si="248"/>
        <v>73.3776</v>
      </c>
      <c r="AP299" s="364">
        <f t="shared" si="248"/>
        <v>693.298</v>
      </c>
      <c r="AQ299" s="364">
        <f t="shared" si="248"/>
        <v>115.24</v>
      </c>
      <c r="AR299" s="364">
        <f t="shared" si="248"/>
        <v>26.03285</v>
      </c>
      <c r="AS299" s="364">
        <f t="shared" si="248"/>
        <v>3388.43726</v>
      </c>
      <c r="AT299" s="364">
        <f t="shared" si="248"/>
        <v>439.42656</v>
      </c>
      <c r="AU299" s="364">
        <f t="shared" si="248"/>
        <v>0</v>
      </c>
      <c r="AV299" s="364">
        <f t="shared" si="248"/>
        <v>0</v>
      </c>
      <c r="AW299" s="364">
        <f t="shared" si="248"/>
        <v>2.48</v>
      </c>
      <c r="AX299" s="364">
        <f t="shared" si="248"/>
        <v>0</v>
      </c>
      <c r="AY299" s="364">
        <f t="shared" si="248"/>
        <v>1705.97</v>
      </c>
      <c r="AZ299" s="364">
        <f t="shared" si="248"/>
        <v>0</v>
      </c>
      <c r="BA299" s="364">
        <f t="shared" si="248"/>
        <v>770.075</v>
      </c>
      <c r="BB299" s="364">
        <f t="shared" si="248"/>
        <v>94</v>
      </c>
      <c r="BC299" s="364">
        <f t="shared" si="248"/>
        <v>376.4857</v>
      </c>
      <c r="BD299" s="372"/>
      <c r="BE299" s="373"/>
    </row>
    <row r="300" ht="24" spans="1:57">
      <c r="A300" s="284" t="s">
        <v>540</v>
      </c>
      <c r="B300" s="284" t="s">
        <v>196</v>
      </c>
      <c r="C300" s="284" t="s">
        <v>577</v>
      </c>
      <c r="D300" s="284" t="s">
        <v>578</v>
      </c>
      <c r="E300" s="365">
        <f t="shared" ref="E300:E328" si="249">F300+L300</f>
        <v>0</v>
      </c>
      <c r="F300" s="365">
        <f t="shared" ref="F300:F328" si="250">SUM(G300:K300)</f>
        <v>0</v>
      </c>
      <c r="G300" s="365"/>
      <c r="H300" s="365"/>
      <c r="I300" s="365"/>
      <c r="J300" s="365"/>
      <c r="K300" s="365"/>
      <c r="L300" s="365">
        <f t="shared" ref="L300:L328" si="251">SUM(M300:S300)</f>
        <v>0</v>
      </c>
      <c r="M300" s="365"/>
      <c r="N300" s="365"/>
      <c r="O300" s="365"/>
      <c r="P300" s="365"/>
      <c r="Q300" s="365"/>
      <c r="R300" s="365"/>
      <c r="S300" s="365"/>
      <c r="T300" s="366">
        <f t="shared" si="220"/>
        <v>0</v>
      </c>
      <c r="U300" s="366">
        <f t="shared" si="221"/>
        <v>0</v>
      </c>
      <c r="V300" s="366"/>
      <c r="W300" s="366"/>
      <c r="X300" s="366"/>
      <c r="Y300" s="366"/>
      <c r="Z300" s="366"/>
      <c r="AA300" s="365">
        <f t="shared" ref="AA300:AA328" si="252">SUM(AB300:AK300)</f>
        <v>0</v>
      </c>
      <c r="AB300" s="365"/>
      <c r="AC300" s="365"/>
      <c r="AD300" s="365"/>
      <c r="AE300" s="365"/>
      <c r="AF300" s="365"/>
      <c r="AG300" s="365"/>
      <c r="AH300" s="365">
        <v>0</v>
      </c>
      <c r="AI300" s="365"/>
      <c r="AJ300" s="365"/>
      <c r="AK300" s="365"/>
      <c r="AL300" s="366">
        <f t="shared" si="206"/>
        <v>0</v>
      </c>
      <c r="AM300" s="365">
        <f t="shared" ref="AM300:AM328" si="253">SUM(AN300:AR300)</f>
        <v>0</v>
      </c>
      <c r="AN300" s="365">
        <f t="shared" ref="AN300:AN328" si="254">G300+V300</f>
        <v>0</v>
      </c>
      <c r="AO300" s="365">
        <f t="shared" ref="AO300:AO328" si="255">H300+W300</f>
        <v>0</v>
      </c>
      <c r="AP300" s="365">
        <f t="shared" ref="AP300:AP328" si="256">I300+X300</f>
        <v>0</v>
      </c>
      <c r="AQ300" s="365">
        <f t="shared" ref="AQ300:AQ328" si="257">J300+Y300</f>
        <v>0</v>
      </c>
      <c r="AR300" s="365">
        <f t="shared" ref="AR300:AR328" si="258">K300+Z300</f>
        <v>0</v>
      </c>
      <c r="AS300" s="365">
        <f t="shared" si="222"/>
        <v>0</v>
      </c>
      <c r="AT300" s="365">
        <f t="shared" ref="AT300:AT328" si="259">M300+AB300</f>
        <v>0</v>
      </c>
      <c r="AU300" s="365">
        <f t="shared" ref="AU300:AU328" si="260">N300+AC300</f>
        <v>0</v>
      </c>
      <c r="AV300" s="365">
        <f t="shared" ref="AV300:AV328" si="261">O300+AD300</f>
        <v>0</v>
      </c>
      <c r="AW300" s="365">
        <f t="shared" ref="AW300:AW328" si="262">P300+AE300</f>
        <v>0</v>
      </c>
      <c r="AX300" s="365">
        <f t="shared" ref="AX300:AX328" si="263">Q300+AF300</f>
        <v>0</v>
      </c>
      <c r="AY300" s="365">
        <f t="shared" ref="AY300:AY328" si="264">R300+AG300</f>
        <v>0</v>
      </c>
      <c r="AZ300" s="365">
        <f t="shared" ref="AZ300:AZ328" si="265">S300+AH300</f>
        <v>0</v>
      </c>
      <c r="BA300" s="365">
        <f t="shared" ref="BA300:BA328" si="266">AI300</f>
        <v>0</v>
      </c>
      <c r="BB300" s="365">
        <f t="shared" ref="BB300:BB328" si="267">AJ300</f>
        <v>0</v>
      </c>
      <c r="BC300" s="365">
        <f t="shared" ref="BC300:BC328" si="268">AK300</f>
        <v>0</v>
      </c>
      <c r="BD300" s="363"/>
      <c r="BE300">
        <v>13.2424</v>
      </c>
    </row>
    <row r="301" ht="24" spans="1:57">
      <c r="A301" s="284" t="s">
        <v>540</v>
      </c>
      <c r="B301" s="284" t="s">
        <v>196</v>
      </c>
      <c r="C301" s="284" t="s">
        <v>579</v>
      </c>
      <c r="D301" s="284" t="s">
        <v>578</v>
      </c>
      <c r="E301" s="365">
        <f t="shared" si="249"/>
        <v>0</v>
      </c>
      <c r="F301" s="365">
        <f t="shared" si="250"/>
        <v>0</v>
      </c>
      <c r="G301" s="365"/>
      <c r="H301" s="365"/>
      <c r="I301" s="365"/>
      <c r="J301" s="365"/>
      <c r="K301" s="365"/>
      <c r="L301" s="365">
        <f t="shared" si="251"/>
        <v>0</v>
      </c>
      <c r="M301" s="365"/>
      <c r="N301" s="365"/>
      <c r="O301" s="365"/>
      <c r="P301" s="365"/>
      <c r="Q301" s="365"/>
      <c r="R301" s="365"/>
      <c r="S301" s="366"/>
      <c r="T301" s="366">
        <f t="shared" si="220"/>
        <v>0</v>
      </c>
      <c r="U301" s="366">
        <f t="shared" si="221"/>
        <v>0</v>
      </c>
      <c r="V301" s="366"/>
      <c r="W301" s="366"/>
      <c r="X301" s="366"/>
      <c r="Y301" s="366"/>
      <c r="Z301" s="366"/>
      <c r="AA301" s="365">
        <f t="shared" si="252"/>
        <v>0</v>
      </c>
      <c r="AB301" s="366"/>
      <c r="AC301" s="366"/>
      <c r="AD301" s="366"/>
      <c r="AE301" s="366"/>
      <c r="AF301" s="366"/>
      <c r="AG301" s="366"/>
      <c r="AH301" s="365">
        <v>0</v>
      </c>
      <c r="AI301" s="366"/>
      <c r="AJ301" s="366"/>
      <c r="AK301" s="366"/>
      <c r="AL301" s="366">
        <f t="shared" si="206"/>
        <v>0</v>
      </c>
      <c r="AM301" s="365">
        <f t="shared" si="253"/>
        <v>0</v>
      </c>
      <c r="AN301" s="365">
        <f t="shared" si="254"/>
        <v>0</v>
      </c>
      <c r="AO301" s="365">
        <f t="shared" si="255"/>
        <v>0</v>
      </c>
      <c r="AP301" s="365">
        <f t="shared" si="256"/>
        <v>0</v>
      </c>
      <c r="AQ301" s="365">
        <f t="shared" si="257"/>
        <v>0</v>
      </c>
      <c r="AR301" s="365">
        <f t="shared" si="258"/>
        <v>0</v>
      </c>
      <c r="AS301" s="365">
        <f t="shared" si="222"/>
        <v>0</v>
      </c>
      <c r="AT301" s="365">
        <f t="shared" si="259"/>
        <v>0</v>
      </c>
      <c r="AU301" s="365">
        <f t="shared" si="260"/>
        <v>0</v>
      </c>
      <c r="AV301" s="365">
        <f t="shared" si="261"/>
        <v>0</v>
      </c>
      <c r="AW301" s="365">
        <f t="shared" si="262"/>
        <v>0</v>
      </c>
      <c r="AX301" s="365">
        <f t="shared" si="263"/>
        <v>0</v>
      </c>
      <c r="AY301" s="365">
        <f t="shared" si="264"/>
        <v>0</v>
      </c>
      <c r="AZ301" s="365">
        <f t="shared" si="265"/>
        <v>0</v>
      </c>
      <c r="BA301" s="365">
        <f t="shared" si="266"/>
        <v>0</v>
      </c>
      <c r="BB301" s="365">
        <f t="shared" si="267"/>
        <v>0</v>
      </c>
      <c r="BC301" s="365">
        <f t="shared" si="268"/>
        <v>0</v>
      </c>
      <c r="BD301" s="363"/>
      <c r="BE301">
        <v>1.6308</v>
      </c>
    </row>
    <row r="302" ht="24" spans="1:57">
      <c r="A302" s="284" t="s">
        <v>540</v>
      </c>
      <c r="B302" s="284" t="s">
        <v>199</v>
      </c>
      <c r="C302" s="284" t="s">
        <v>580</v>
      </c>
      <c r="D302" s="284" t="s">
        <v>581</v>
      </c>
      <c r="E302" s="365">
        <f t="shared" si="249"/>
        <v>90.04</v>
      </c>
      <c r="F302" s="365">
        <f t="shared" si="250"/>
        <v>42.78</v>
      </c>
      <c r="G302" s="365">
        <v>30.69</v>
      </c>
      <c r="H302" s="365"/>
      <c r="I302" s="365">
        <v>12.09</v>
      </c>
      <c r="J302" s="365"/>
      <c r="K302" s="365"/>
      <c r="L302" s="365">
        <f t="shared" si="251"/>
        <v>47.26</v>
      </c>
      <c r="M302" s="365">
        <v>7.26</v>
      </c>
      <c r="N302" s="365"/>
      <c r="O302" s="365"/>
      <c r="P302" s="365"/>
      <c r="Q302" s="365"/>
      <c r="R302" s="365"/>
      <c r="S302" s="366">
        <v>40</v>
      </c>
      <c r="T302" s="366">
        <f t="shared" si="220"/>
        <v>-16.84082</v>
      </c>
      <c r="U302" s="366">
        <f t="shared" si="221"/>
        <v>3.2503</v>
      </c>
      <c r="V302" s="366">
        <v>3.4855</v>
      </c>
      <c r="W302" s="366">
        <v>-0.2352</v>
      </c>
      <c r="X302" s="366"/>
      <c r="Y302" s="366"/>
      <c r="Z302" s="366"/>
      <c r="AA302" s="365">
        <f t="shared" si="252"/>
        <v>-20.09112</v>
      </c>
      <c r="AB302" s="366">
        <v>-0.14112</v>
      </c>
      <c r="AC302" s="366"/>
      <c r="AD302" s="366"/>
      <c r="AE302" s="366"/>
      <c r="AF302" s="366"/>
      <c r="AG302" s="366"/>
      <c r="AH302" s="365">
        <v>-40</v>
      </c>
      <c r="AI302" s="366">
        <v>8.88</v>
      </c>
      <c r="AJ302" s="366">
        <v>7</v>
      </c>
      <c r="AK302" s="365">
        <v>4.17</v>
      </c>
      <c r="AL302" s="366">
        <f t="shared" si="206"/>
        <v>73.19918</v>
      </c>
      <c r="AM302" s="365">
        <f t="shared" si="253"/>
        <v>46.0303</v>
      </c>
      <c r="AN302" s="365">
        <f t="shared" si="254"/>
        <v>34.1755</v>
      </c>
      <c r="AO302" s="365">
        <f t="shared" si="255"/>
        <v>-0.2352</v>
      </c>
      <c r="AP302" s="365">
        <f t="shared" si="256"/>
        <v>12.09</v>
      </c>
      <c r="AQ302" s="365">
        <f t="shared" si="257"/>
        <v>0</v>
      </c>
      <c r="AR302" s="365">
        <f t="shared" si="258"/>
        <v>0</v>
      </c>
      <c r="AS302" s="365">
        <f t="shared" si="222"/>
        <v>27.16888</v>
      </c>
      <c r="AT302" s="365">
        <f t="shared" si="259"/>
        <v>7.11888</v>
      </c>
      <c r="AU302" s="365">
        <f t="shared" si="260"/>
        <v>0</v>
      </c>
      <c r="AV302" s="365">
        <f t="shared" si="261"/>
        <v>0</v>
      </c>
      <c r="AW302" s="365">
        <f t="shared" si="262"/>
        <v>0</v>
      </c>
      <c r="AX302" s="365">
        <f t="shared" si="263"/>
        <v>0</v>
      </c>
      <c r="AY302" s="365">
        <f t="shared" si="264"/>
        <v>0</v>
      </c>
      <c r="AZ302" s="365">
        <f t="shared" si="265"/>
        <v>0</v>
      </c>
      <c r="BA302" s="365">
        <f t="shared" si="266"/>
        <v>8.88</v>
      </c>
      <c r="BB302" s="365">
        <f t="shared" si="267"/>
        <v>7</v>
      </c>
      <c r="BC302" s="365">
        <f t="shared" si="268"/>
        <v>4.17</v>
      </c>
      <c r="BD302" s="363"/>
      <c r="BE302">
        <v>4.17</v>
      </c>
    </row>
    <row r="303" ht="24" spans="1:57">
      <c r="A303" s="284" t="s">
        <v>540</v>
      </c>
      <c r="B303" s="284" t="s">
        <v>199</v>
      </c>
      <c r="C303" s="284" t="s">
        <v>582</v>
      </c>
      <c r="D303" s="284" t="s">
        <v>581</v>
      </c>
      <c r="E303" s="365">
        <f t="shared" si="249"/>
        <v>75.15</v>
      </c>
      <c r="F303" s="365">
        <f t="shared" si="250"/>
        <v>39.12</v>
      </c>
      <c r="G303" s="365">
        <v>29.06</v>
      </c>
      <c r="H303" s="365"/>
      <c r="I303" s="365">
        <v>10.06</v>
      </c>
      <c r="J303" s="365"/>
      <c r="K303" s="365"/>
      <c r="L303" s="365">
        <f t="shared" si="251"/>
        <v>36.03</v>
      </c>
      <c r="M303" s="365">
        <v>6.03</v>
      </c>
      <c r="N303" s="365"/>
      <c r="O303" s="365"/>
      <c r="P303" s="365"/>
      <c r="Q303" s="365"/>
      <c r="R303" s="365"/>
      <c r="S303" s="366">
        <v>30</v>
      </c>
      <c r="T303" s="366">
        <f t="shared" si="220"/>
        <v>-15.49276</v>
      </c>
      <c r="U303" s="366">
        <f t="shared" si="221"/>
        <v>-0.4968</v>
      </c>
      <c r="V303" s="366">
        <v>0.3798</v>
      </c>
      <c r="W303" s="366">
        <v>-0.8766</v>
      </c>
      <c r="X303" s="366"/>
      <c r="Y303" s="366"/>
      <c r="Z303" s="366"/>
      <c r="AA303" s="365">
        <f t="shared" si="252"/>
        <v>-14.99596</v>
      </c>
      <c r="AB303" s="366">
        <v>-0.52596</v>
      </c>
      <c r="AC303" s="366"/>
      <c r="AD303" s="366"/>
      <c r="AE303" s="366"/>
      <c r="AF303" s="366"/>
      <c r="AG303" s="366"/>
      <c r="AH303" s="365">
        <v>-30</v>
      </c>
      <c r="AI303" s="366">
        <v>7.53</v>
      </c>
      <c r="AJ303" s="366">
        <v>5</v>
      </c>
      <c r="AK303" s="365">
        <v>3</v>
      </c>
      <c r="AL303" s="366">
        <f t="shared" si="206"/>
        <v>59.65724</v>
      </c>
      <c r="AM303" s="365">
        <f t="shared" si="253"/>
        <v>38.6232</v>
      </c>
      <c r="AN303" s="365">
        <f t="shared" si="254"/>
        <v>29.4398</v>
      </c>
      <c r="AO303" s="365">
        <f t="shared" si="255"/>
        <v>-0.8766</v>
      </c>
      <c r="AP303" s="365">
        <f t="shared" si="256"/>
        <v>10.06</v>
      </c>
      <c r="AQ303" s="365">
        <f t="shared" si="257"/>
        <v>0</v>
      </c>
      <c r="AR303" s="365">
        <f t="shared" si="258"/>
        <v>0</v>
      </c>
      <c r="AS303" s="365">
        <f t="shared" si="222"/>
        <v>21.03404</v>
      </c>
      <c r="AT303" s="365">
        <f t="shared" si="259"/>
        <v>5.50404</v>
      </c>
      <c r="AU303" s="365">
        <f t="shared" si="260"/>
        <v>0</v>
      </c>
      <c r="AV303" s="365">
        <f t="shared" si="261"/>
        <v>0</v>
      </c>
      <c r="AW303" s="365">
        <f t="shared" si="262"/>
        <v>0</v>
      </c>
      <c r="AX303" s="365">
        <f t="shared" si="263"/>
        <v>0</v>
      </c>
      <c r="AY303" s="365">
        <f t="shared" si="264"/>
        <v>0</v>
      </c>
      <c r="AZ303" s="365">
        <f t="shared" si="265"/>
        <v>0</v>
      </c>
      <c r="BA303" s="365">
        <f t="shared" si="266"/>
        <v>7.53</v>
      </c>
      <c r="BB303" s="365">
        <f t="shared" si="267"/>
        <v>5</v>
      </c>
      <c r="BC303" s="365">
        <f t="shared" si="268"/>
        <v>3</v>
      </c>
      <c r="BD303" s="363"/>
      <c r="BE303">
        <v>3</v>
      </c>
    </row>
    <row r="304" ht="24" spans="1:57">
      <c r="A304" s="284" t="s">
        <v>540</v>
      </c>
      <c r="B304" s="284" t="s">
        <v>199</v>
      </c>
      <c r="C304" s="284" t="s">
        <v>583</v>
      </c>
      <c r="D304" s="284" t="s">
        <v>581</v>
      </c>
      <c r="E304" s="365">
        <f t="shared" si="249"/>
        <v>55.61</v>
      </c>
      <c r="F304" s="365">
        <f t="shared" si="250"/>
        <v>26.17</v>
      </c>
      <c r="G304" s="365">
        <v>18.78</v>
      </c>
      <c r="H304" s="365"/>
      <c r="I304" s="365">
        <v>7.39</v>
      </c>
      <c r="J304" s="365"/>
      <c r="K304" s="365"/>
      <c r="L304" s="365">
        <f t="shared" si="251"/>
        <v>29.44</v>
      </c>
      <c r="M304" s="365">
        <v>4.44</v>
      </c>
      <c r="N304" s="365"/>
      <c r="O304" s="365"/>
      <c r="P304" s="365"/>
      <c r="Q304" s="365"/>
      <c r="R304" s="365"/>
      <c r="S304" s="366">
        <v>25</v>
      </c>
      <c r="T304" s="366">
        <f t="shared" si="220"/>
        <v>-9.4659</v>
      </c>
      <c r="U304" s="366">
        <f t="shared" si="221"/>
        <v>2.8577</v>
      </c>
      <c r="V304" s="366">
        <v>2.7637</v>
      </c>
      <c r="W304" s="366">
        <v>0.094</v>
      </c>
      <c r="X304" s="366"/>
      <c r="Y304" s="366"/>
      <c r="Z304" s="366"/>
      <c r="AA304" s="365">
        <f t="shared" si="252"/>
        <v>-12.3236</v>
      </c>
      <c r="AB304" s="366">
        <v>0.0564</v>
      </c>
      <c r="AC304" s="366"/>
      <c r="AD304" s="366"/>
      <c r="AE304" s="366"/>
      <c r="AF304" s="366"/>
      <c r="AG304" s="366"/>
      <c r="AH304" s="365">
        <v>-25</v>
      </c>
      <c r="AI304" s="366">
        <v>6.12</v>
      </c>
      <c r="AJ304" s="366">
        <v>4</v>
      </c>
      <c r="AK304" s="365">
        <v>2.5</v>
      </c>
      <c r="AL304" s="366">
        <f t="shared" si="206"/>
        <v>46.1441</v>
      </c>
      <c r="AM304" s="365">
        <f t="shared" si="253"/>
        <v>29.0277</v>
      </c>
      <c r="AN304" s="365">
        <f t="shared" si="254"/>
        <v>21.5437</v>
      </c>
      <c r="AO304" s="365">
        <f t="shared" si="255"/>
        <v>0.094</v>
      </c>
      <c r="AP304" s="365">
        <f t="shared" si="256"/>
        <v>7.39</v>
      </c>
      <c r="AQ304" s="365">
        <f t="shared" si="257"/>
        <v>0</v>
      </c>
      <c r="AR304" s="365">
        <f t="shared" si="258"/>
        <v>0</v>
      </c>
      <c r="AS304" s="365">
        <f t="shared" si="222"/>
        <v>17.1164</v>
      </c>
      <c r="AT304" s="365">
        <f t="shared" si="259"/>
        <v>4.4964</v>
      </c>
      <c r="AU304" s="365">
        <f t="shared" si="260"/>
        <v>0</v>
      </c>
      <c r="AV304" s="365">
        <f t="shared" si="261"/>
        <v>0</v>
      </c>
      <c r="AW304" s="365">
        <f t="shared" si="262"/>
        <v>0</v>
      </c>
      <c r="AX304" s="365">
        <f t="shared" si="263"/>
        <v>0</v>
      </c>
      <c r="AY304" s="365">
        <f t="shared" si="264"/>
        <v>0</v>
      </c>
      <c r="AZ304" s="365">
        <f t="shared" si="265"/>
        <v>0</v>
      </c>
      <c r="BA304" s="365">
        <f t="shared" si="266"/>
        <v>6.12</v>
      </c>
      <c r="BB304" s="365">
        <f t="shared" si="267"/>
        <v>4</v>
      </c>
      <c r="BC304" s="365">
        <f t="shared" si="268"/>
        <v>2.5</v>
      </c>
      <c r="BD304" s="363"/>
      <c r="BE304">
        <v>2.5</v>
      </c>
    </row>
    <row r="305" ht="24" spans="1:57">
      <c r="A305" s="284" t="s">
        <v>540</v>
      </c>
      <c r="B305" s="284" t="s">
        <v>199</v>
      </c>
      <c r="C305" s="284" t="s">
        <v>584</v>
      </c>
      <c r="D305" s="284" t="s">
        <v>581</v>
      </c>
      <c r="E305" s="365">
        <f t="shared" si="249"/>
        <v>68.16</v>
      </c>
      <c r="F305" s="365">
        <f t="shared" si="250"/>
        <v>31.99</v>
      </c>
      <c r="G305" s="365">
        <v>22.95</v>
      </c>
      <c r="H305" s="365"/>
      <c r="I305" s="365">
        <v>9.03</v>
      </c>
      <c r="J305" s="365"/>
      <c r="K305" s="365">
        <v>0.01</v>
      </c>
      <c r="L305" s="365">
        <f t="shared" si="251"/>
        <v>36.17</v>
      </c>
      <c r="M305" s="365">
        <v>5.42</v>
      </c>
      <c r="N305" s="365"/>
      <c r="O305" s="365"/>
      <c r="P305" s="365"/>
      <c r="Q305" s="365"/>
      <c r="R305" s="374">
        <v>0.75</v>
      </c>
      <c r="S305" s="366">
        <v>30</v>
      </c>
      <c r="T305" s="366">
        <f t="shared" si="220"/>
        <v>-10.674</v>
      </c>
      <c r="U305" s="366">
        <f t="shared" si="221"/>
        <v>3.216</v>
      </c>
      <c r="V305" s="366">
        <v>3.216</v>
      </c>
      <c r="W305" s="366"/>
      <c r="X305" s="366"/>
      <c r="Y305" s="366"/>
      <c r="Z305" s="366"/>
      <c r="AA305" s="365">
        <f t="shared" si="252"/>
        <v>-13.89</v>
      </c>
      <c r="AB305" s="366"/>
      <c r="AC305" s="366"/>
      <c r="AD305" s="366"/>
      <c r="AE305" s="366"/>
      <c r="AF305" s="366"/>
      <c r="AG305" s="366">
        <v>0.75</v>
      </c>
      <c r="AH305" s="365">
        <v>-30</v>
      </c>
      <c r="AI305" s="366">
        <v>7.02</v>
      </c>
      <c r="AJ305" s="366">
        <v>5</v>
      </c>
      <c r="AK305" s="365">
        <v>3.34</v>
      </c>
      <c r="AL305" s="366">
        <f t="shared" si="206"/>
        <v>57.486</v>
      </c>
      <c r="AM305" s="365">
        <f t="shared" si="253"/>
        <v>35.206</v>
      </c>
      <c r="AN305" s="365">
        <f t="shared" si="254"/>
        <v>26.166</v>
      </c>
      <c r="AO305" s="365">
        <f t="shared" si="255"/>
        <v>0</v>
      </c>
      <c r="AP305" s="365">
        <f t="shared" si="256"/>
        <v>9.03</v>
      </c>
      <c r="AQ305" s="365">
        <f t="shared" si="257"/>
        <v>0</v>
      </c>
      <c r="AR305" s="365">
        <f t="shared" si="258"/>
        <v>0.01</v>
      </c>
      <c r="AS305" s="365">
        <f t="shared" si="222"/>
        <v>22.28</v>
      </c>
      <c r="AT305" s="365">
        <f t="shared" si="259"/>
        <v>5.42</v>
      </c>
      <c r="AU305" s="365">
        <f t="shared" si="260"/>
        <v>0</v>
      </c>
      <c r="AV305" s="365">
        <f t="shared" si="261"/>
        <v>0</v>
      </c>
      <c r="AW305" s="365">
        <f t="shared" si="262"/>
        <v>0</v>
      </c>
      <c r="AX305" s="365">
        <f t="shared" si="263"/>
        <v>0</v>
      </c>
      <c r="AY305" s="365">
        <f t="shared" si="264"/>
        <v>1.5</v>
      </c>
      <c r="AZ305" s="365">
        <f t="shared" si="265"/>
        <v>0</v>
      </c>
      <c r="BA305" s="365">
        <f t="shared" si="266"/>
        <v>7.02</v>
      </c>
      <c r="BB305" s="365">
        <f t="shared" si="267"/>
        <v>5</v>
      </c>
      <c r="BC305" s="365">
        <f t="shared" si="268"/>
        <v>3.34</v>
      </c>
      <c r="BD305" s="363"/>
      <c r="BE305">
        <v>3.34</v>
      </c>
    </row>
    <row r="306" ht="24" spans="1:57">
      <c r="A306" s="284" t="s">
        <v>540</v>
      </c>
      <c r="B306" s="284" t="s">
        <v>518</v>
      </c>
      <c r="C306" s="284" t="s">
        <v>585</v>
      </c>
      <c r="D306" s="284" t="s">
        <v>586</v>
      </c>
      <c r="E306" s="365">
        <f t="shared" si="249"/>
        <v>1656.36</v>
      </c>
      <c r="F306" s="365">
        <f t="shared" si="250"/>
        <v>0</v>
      </c>
      <c r="G306" s="365"/>
      <c r="H306" s="365"/>
      <c r="I306" s="365"/>
      <c r="J306" s="365"/>
      <c r="K306" s="365"/>
      <c r="L306" s="365">
        <f t="shared" si="251"/>
        <v>1656.36</v>
      </c>
      <c r="M306" s="365"/>
      <c r="N306" s="365"/>
      <c r="O306" s="365"/>
      <c r="P306" s="365"/>
      <c r="Q306" s="365"/>
      <c r="R306" s="365">
        <v>1656.36</v>
      </c>
      <c r="S306" s="365"/>
      <c r="T306" s="366">
        <f t="shared" si="220"/>
        <v>79.717</v>
      </c>
      <c r="U306" s="366">
        <f t="shared" si="221"/>
        <v>0</v>
      </c>
      <c r="V306" s="366"/>
      <c r="W306" s="366"/>
      <c r="X306" s="366"/>
      <c r="Y306" s="366"/>
      <c r="Z306" s="366"/>
      <c r="AA306" s="365">
        <f t="shared" si="252"/>
        <v>79.717</v>
      </c>
      <c r="AB306" s="365"/>
      <c r="AC306" s="365"/>
      <c r="AD306" s="365"/>
      <c r="AE306" s="365"/>
      <c r="AF306" s="365"/>
      <c r="AG306" s="365"/>
      <c r="AH306" s="365">
        <v>0</v>
      </c>
      <c r="AI306" s="365"/>
      <c r="AJ306" s="365"/>
      <c r="AK306" s="365">
        <v>79.717</v>
      </c>
      <c r="AL306" s="366">
        <f t="shared" si="206"/>
        <v>1736.077</v>
      </c>
      <c r="AM306" s="365">
        <f t="shared" si="253"/>
        <v>0</v>
      </c>
      <c r="AN306" s="365">
        <f t="shared" si="254"/>
        <v>0</v>
      </c>
      <c r="AO306" s="365">
        <f t="shared" si="255"/>
        <v>0</v>
      </c>
      <c r="AP306" s="365">
        <f t="shared" si="256"/>
        <v>0</v>
      </c>
      <c r="AQ306" s="365">
        <f t="shared" si="257"/>
        <v>0</v>
      </c>
      <c r="AR306" s="365">
        <f t="shared" si="258"/>
        <v>0</v>
      </c>
      <c r="AS306" s="365">
        <f t="shared" si="222"/>
        <v>1736.077</v>
      </c>
      <c r="AT306" s="365">
        <f t="shared" si="259"/>
        <v>0</v>
      </c>
      <c r="AU306" s="365">
        <f t="shared" si="260"/>
        <v>0</v>
      </c>
      <c r="AV306" s="365">
        <f t="shared" si="261"/>
        <v>0</v>
      </c>
      <c r="AW306" s="365">
        <f t="shared" si="262"/>
        <v>0</v>
      </c>
      <c r="AX306" s="365">
        <f t="shared" si="263"/>
        <v>0</v>
      </c>
      <c r="AY306" s="365">
        <f t="shared" si="264"/>
        <v>1656.36</v>
      </c>
      <c r="AZ306" s="365">
        <f t="shared" si="265"/>
        <v>0</v>
      </c>
      <c r="BA306" s="365">
        <f t="shared" si="266"/>
        <v>0</v>
      </c>
      <c r="BB306" s="365">
        <f t="shared" si="267"/>
        <v>0</v>
      </c>
      <c r="BC306" s="365">
        <f t="shared" si="268"/>
        <v>79.717</v>
      </c>
      <c r="BD306" s="363"/>
      <c r="BE306">
        <v>79.717</v>
      </c>
    </row>
    <row r="307" ht="36" spans="1:57">
      <c r="A307" s="284" t="s">
        <v>540</v>
      </c>
      <c r="B307" s="284" t="s">
        <v>518</v>
      </c>
      <c r="C307" s="284" t="s">
        <v>587</v>
      </c>
      <c r="D307" s="284" t="s">
        <v>588</v>
      </c>
      <c r="E307" s="365">
        <f t="shared" si="249"/>
        <v>0</v>
      </c>
      <c r="F307" s="365">
        <f t="shared" si="250"/>
        <v>0</v>
      </c>
      <c r="G307" s="365"/>
      <c r="H307" s="365"/>
      <c r="I307" s="365"/>
      <c r="J307" s="365"/>
      <c r="K307" s="365"/>
      <c r="L307" s="365">
        <f t="shared" si="251"/>
        <v>0</v>
      </c>
      <c r="M307" s="365"/>
      <c r="N307" s="365"/>
      <c r="O307" s="365"/>
      <c r="P307" s="365"/>
      <c r="Q307" s="365"/>
      <c r="R307" s="365"/>
      <c r="S307" s="365"/>
      <c r="T307" s="366">
        <f t="shared" si="220"/>
        <v>41.2221</v>
      </c>
      <c r="U307" s="366">
        <f t="shared" si="221"/>
        <v>0</v>
      </c>
      <c r="V307" s="366"/>
      <c r="W307" s="366"/>
      <c r="X307" s="366"/>
      <c r="Y307" s="366"/>
      <c r="Z307" s="366"/>
      <c r="AA307" s="365">
        <f t="shared" si="252"/>
        <v>41.2221</v>
      </c>
      <c r="AB307" s="365"/>
      <c r="AC307" s="365"/>
      <c r="AD307" s="365"/>
      <c r="AE307" s="365"/>
      <c r="AF307" s="365"/>
      <c r="AG307" s="365"/>
      <c r="AH307" s="365">
        <v>0</v>
      </c>
      <c r="AI307" s="365"/>
      <c r="AJ307" s="365"/>
      <c r="AK307" s="365">
        <v>41.2221</v>
      </c>
      <c r="AL307" s="366">
        <f t="shared" si="206"/>
        <v>41.2221</v>
      </c>
      <c r="AM307" s="365">
        <f t="shared" si="253"/>
        <v>0</v>
      </c>
      <c r="AN307" s="365">
        <f t="shared" si="254"/>
        <v>0</v>
      </c>
      <c r="AO307" s="365">
        <f t="shared" si="255"/>
        <v>0</v>
      </c>
      <c r="AP307" s="365">
        <f t="shared" si="256"/>
        <v>0</v>
      </c>
      <c r="AQ307" s="365">
        <f t="shared" si="257"/>
        <v>0</v>
      </c>
      <c r="AR307" s="365">
        <f t="shared" si="258"/>
        <v>0</v>
      </c>
      <c r="AS307" s="365">
        <f t="shared" si="222"/>
        <v>41.2221</v>
      </c>
      <c r="AT307" s="365">
        <f t="shared" si="259"/>
        <v>0</v>
      </c>
      <c r="AU307" s="365">
        <f t="shared" si="260"/>
        <v>0</v>
      </c>
      <c r="AV307" s="365">
        <f t="shared" si="261"/>
        <v>0</v>
      </c>
      <c r="AW307" s="365">
        <f t="shared" si="262"/>
        <v>0</v>
      </c>
      <c r="AX307" s="365">
        <f t="shared" si="263"/>
        <v>0</v>
      </c>
      <c r="AY307" s="365">
        <f t="shared" si="264"/>
        <v>0</v>
      </c>
      <c r="AZ307" s="365">
        <f t="shared" si="265"/>
        <v>0</v>
      </c>
      <c r="BA307" s="365">
        <f t="shared" si="266"/>
        <v>0</v>
      </c>
      <c r="BB307" s="365">
        <f t="shared" si="267"/>
        <v>0</v>
      </c>
      <c r="BC307" s="365">
        <f t="shared" si="268"/>
        <v>41.2221</v>
      </c>
      <c r="BD307" s="363"/>
      <c r="BE307">
        <v>41.2221</v>
      </c>
    </row>
    <row r="308" ht="36" spans="1:57">
      <c r="A308" s="284" t="s">
        <v>540</v>
      </c>
      <c r="B308" s="284" t="s">
        <v>196</v>
      </c>
      <c r="C308" s="284" t="s">
        <v>589</v>
      </c>
      <c r="D308" s="284" t="s">
        <v>590</v>
      </c>
      <c r="E308" s="365">
        <f t="shared" si="249"/>
        <v>160.44</v>
      </c>
      <c r="F308" s="365">
        <f t="shared" si="250"/>
        <v>0</v>
      </c>
      <c r="G308" s="365"/>
      <c r="H308" s="365"/>
      <c r="I308" s="365"/>
      <c r="J308" s="365"/>
      <c r="K308" s="365"/>
      <c r="L308" s="365">
        <f t="shared" si="251"/>
        <v>160.44</v>
      </c>
      <c r="M308" s="365"/>
      <c r="N308" s="365"/>
      <c r="O308" s="365"/>
      <c r="P308" s="365"/>
      <c r="Q308" s="365"/>
      <c r="R308" s="366"/>
      <c r="S308" s="371">
        <v>160.44</v>
      </c>
      <c r="T308" s="366">
        <f t="shared" si="220"/>
        <v>-160.44</v>
      </c>
      <c r="U308" s="366">
        <f t="shared" si="221"/>
        <v>0</v>
      </c>
      <c r="V308" s="366"/>
      <c r="W308" s="366"/>
      <c r="X308" s="366"/>
      <c r="Y308" s="366"/>
      <c r="Z308" s="366"/>
      <c r="AA308" s="365">
        <f t="shared" si="252"/>
        <v>-160.44</v>
      </c>
      <c r="AB308" s="371"/>
      <c r="AC308" s="371"/>
      <c r="AD308" s="371"/>
      <c r="AE308" s="371"/>
      <c r="AF308" s="371"/>
      <c r="AG308" s="371"/>
      <c r="AH308" s="365">
        <v>-160.44</v>
      </c>
      <c r="AI308" s="370"/>
      <c r="AJ308" s="370"/>
      <c r="AK308" s="371"/>
      <c r="AL308" s="366">
        <f t="shared" si="206"/>
        <v>0</v>
      </c>
      <c r="AM308" s="365">
        <f t="shared" si="253"/>
        <v>0</v>
      </c>
      <c r="AN308" s="365">
        <f t="shared" si="254"/>
        <v>0</v>
      </c>
      <c r="AO308" s="365">
        <f t="shared" si="255"/>
        <v>0</v>
      </c>
      <c r="AP308" s="365">
        <f t="shared" si="256"/>
        <v>0</v>
      </c>
      <c r="AQ308" s="365">
        <f t="shared" si="257"/>
        <v>0</v>
      </c>
      <c r="AR308" s="365">
        <f t="shared" si="258"/>
        <v>0</v>
      </c>
      <c r="AS308" s="365">
        <f t="shared" si="222"/>
        <v>0</v>
      </c>
      <c r="AT308" s="365">
        <f t="shared" si="259"/>
        <v>0</v>
      </c>
      <c r="AU308" s="365">
        <f t="shared" si="260"/>
        <v>0</v>
      </c>
      <c r="AV308" s="365">
        <f t="shared" si="261"/>
        <v>0</v>
      </c>
      <c r="AW308" s="365">
        <f t="shared" si="262"/>
        <v>0</v>
      </c>
      <c r="AX308" s="365">
        <f t="shared" si="263"/>
        <v>0</v>
      </c>
      <c r="AY308" s="365">
        <f t="shared" si="264"/>
        <v>0</v>
      </c>
      <c r="AZ308" s="365">
        <f t="shared" si="265"/>
        <v>0</v>
      </c>
      <c r="BA308" s="365">
        <f t="shared" si="266"/>
        <v>0</v>
      </c>
      <c r="BB308" s="365">
        <f t="shared" si="267"/>
        <v>0</v>
      </c>
      <c r="BC308" s="365">
        <f t="shared" si="268"/>
        <v>0</v>
      </c>
      <c r="BD308" s="363"/>
      <c r="BE308">
        <v>199.2204</v>
      </c>
    </row>
    <row r="309" ht="36" spans="1:56">
      <c r="A309" s="284" t="s">
        <v>540</v>
      </c>
      <c r="B309" s="284" t="s">
        <v>199</v>
      </c>
      <c r="C309" s="284" t="s">
        <v>591</v>
      </c>
      <c r="D309" s="284" t="s">
        <v>592</v>
      </c>
      <c r="E309" s="365">
        <f t="shared" si="249"/>
        <v>317.8</v>
      </c>
      <c r="F309" s="365">
        <f t="shared" si="250"/>
        <v>253.42</v>
      </c>
      <c r="G309" s="365">
        <v>173.43</v>
      </c>
      <c r="H309" s="365">
        <v>3.3</v>
      </c>
      <c r="I309" s="365">
        <v>66.37</v>
      </c>
      <c r="J309" s="365">
        <v>10.32</v>
      </c>
      <c r="K309" s="365"/>
      <c r="L309" s="365">
        <f t="shared" si="251"/>
        <v>64.38</v>
      </c>
      <c r="M309" s="365">
        <v>39.82</v>
      </c>
      <c r="N309" s="365"/>
      <c r="O309" s="365"/>
      <c r="P309" s="365"/>
      <c r="Q309" s="365"/>
      <c r="R309" s="371">
        <f>60.57-36.01</f>
        <v>24.56</v>
      </c>
      <c r="S309" s="366"/>
      <c r="T309" s="366">
        <f t="shared" si="220"/>
        <v>96.34858</v>
      </c>
      <c r="U309" s="366">
        <f t="shared" si="221"/>
        <v>7.457</v>
      </c>
      <c r="V309" s="366">
        <v>11.4311</v>
      </c>
      <c r="W309" s="366">
        <v>-3.2407</v>
      </c>
      <c r="X309" s="366">
        <v>0</v>
      </c>
      <c r="Y309" s="366">
        <v>-0.58</v>
      </c>
      <c r="Z309" s="366">
        <v>-0.1534</v>
      </c>
      <c r="AA309" s="365">
        <f t="shared" si="252"/>
        <v>88.89158</v>
      </c>
      <c r="AB309" s="366">
        <v>-1.94442</v>
      </c>
      <c r="AC309" s="366"/>
      <c r="AD309" s="366"/>
      <c r="AE309" s="366"/>
      <c r="AF309" s="366"/>
      <c r="AG309" s="366">
        <v>0.9</v>
      </c>
      <c r="AH309" s="365">
        <v>0</v>
      </c>
      <c r="AI309" s="366">
        <v>64.14</v>
      </c>
      <c r="AJ309" s="366"/>
      <c r="AK309" s="365">
        <v>25.796</v>
      </c>
      <c r="AL309" s="366">
        <f t="shared" si="206"/>
        <v>414.14858</v>
      </c>
      <c r="AM309" s="365">
        <f t="shared" si="253"/>
        <v>260.877</v>
      </c>
      <c r="AN309" s="365">
        <f t="shared" si="254"/>
        <v>184.8611</v>
      </c>
      <c r="AO309" s="365">
        <f t="shared" si="255"/>
        <v>0.0592999999999999</v>
      </c>
      <c r="AP309" s="365">
        <f t="shared" si="256"/>
        <v>66.37</v>
      </c>
      <c r="AQ309" s="365">
        <f t="shared" si="257"/>
        <v>9.74</v>
      </c>
      <c r="AR309" s="365">
        <f t="shared" si="258"/>
        <v>-0.1534</v>
      </c>
      <c r="AS309" s="365">
        <f t="shared" si="222"/>
        <v>153.27158</v>
      </c>
      <c r="AT309" s="365">
        <f t="shared" si="259"/>
        <v>37.87558</v>
      </c>
      <c r="AU309" s="365">
        <f t="shared" si="260"/>
        <v>0</v>
      </c>
      <c r="AV309" s="365">
        <f t="shared" si="261"/>
        <v>0</v>
      </c>
      <c r="AW309" s="365">
        <f t="shared" si="262"/>
        <v>0</v>
      </c>
      <c r="AX309" s="365">
        <f t="shared" si="263"/>
        <v>0</v>
      </c>
      <c r="AY309" s="365">
        <f t="shared" si="264"/>
        <v>25.46</v>
      </c>
      <c r="AZ309" s="365">
        <f t="shared" si="265"/>
        <v>0</v>
      </c>
      <c r="BA309" s="365">
        <f t="shared" si="266"/>
        <v>64.14</v>
      </c>
      <c r="BB309" s="365">
        <f t="shared" si="267"/>
        <v>0</v>
      </c>
      <c r="BC309" s="365">
        <f t="shared" si="268"/>
        <v>25.796</v>
      </c>
      <c r="BD309" s="363"/>
    </row>
    <row r="310" ht="24" spans="1:56">
      <c r="A310" s="284" t="s">
        <v>540</v>
      </c>
      <c r="B310" s="284" t="s">
        <v>199</v>
      </c>
      <c r="C310" s="369" t="s">
        <v>593</v>
      </c>
      <c r="D310" s="284" t="s">
        <v>594</v>
      </c>
      <c r="E310" s="365">
        <f t="shared" si="249"/>
        <v>103.96</v>
      </c>
      <c r="F310" s="365">
        <f t="shared" si="250"/>
        <v>89.25</v>
      </c>
      <c r="G310" s="365">
        <v>56.41</v>
      </c>
      <c r="H310" s="365">
        <v>1.48</v>
      </c>
      <c r="I310" s="365">
        <v>24.52</v>
      </c>
      <c r="J310" s="365">
        <v>6.84</v>
      </c>
      <c r="K310" s="374"/>
      <c r="L310" s="365">
        <f t="shared" si="251"/>
        <v>14.71</v>
      </c>
      <c r="M310" s="365">
        <v>14.71</v>
      </c>
      <c r="N310" s="365"/>
      <c r="O310" s="365"/>
      <c r="P310" s="365"/>
      <c r="Q310" s="365"/>
      <c r="R310" s="365"/>
      <c r="S310" s="365"/>
      <c r="T310" s="366">
        <f t="shared" si="220"/>
        <v>93.55792</v>
      </c>
      <c r="U310" s="366">
        <f t="shared" si="221"/>
        <v>22.77785</v>
      </c>
      <c r="V310" s="366">
        <v>16.8454</v>
      </c>
      <c r="W310" s="366">
        <v>4.29445</v>
      </c>
      <c r="X310" s="366"/>
      <c r="Y310" s="366">
        <v>1.365</v>
      </c>
      <c r="Z310" s="366">
        <v>0.273</v>
      </c>
      <c r="AA310" s="365">
        <f t="shared" si="252"/>
        <v>70.78007</v>
      </c>
      <c r="AB310" s="365">
        <v>2.57667</v>
      </c>
      <c r="AC310" s="365"/>
      <c r="AD310" s="365"/>
      <c r="AE310" s="365"/>
      <c r="AF310" s="365"/>
      <c r="AG310" s="365">
        <v>1.05</v>
      </c>
      <c r="AH310" s="365">
        <v>0</v>
      </c>
      <c r="AI310" s="365">
        <v>43.38</v>
      </c>
      <c r="AJ310" s="365">
        <v>13</v>
      </c>
      <c r="AK310" s="365">
        <v>10.7734</v>
      </c>
      <c r="AL310" s="366">
        <f t="shared" si="206"/>
        <v>197.51792</v>
      </c>
      <c r="AM310" s="365">
        <f t="shared" si="253"/>
        <v>112.02785</v>
      </c>
      <c r="AN310" s="365">
        <f t="shared" si="254"/>
        <v>73.2554</v>
      </c>
      <c r="AO310" s="365">
        <f t="shared" si="255"/>
        <v>5.77445</v>
      </c>
      <c r="AP310" s="365">
        <f t="shared" si="256"/>
        <v>24.52</v>
      </c>
      <c r="AQ310" s="365">
        <f t="shared" si="257"/>
        <v>8.205</v>
      </c>
      <c r="AR310" s="365">
        <f t="shared" si="258"/>
        <v>0.273</v>
      </c>
      <c r="AS310" s="365">
        <f t="shared" si="222"/>
        <v>85.49007</v>
      </c>
      <c r="AT310" s="365">
        <f t="shared" si="259"/>
        <v>17.28667</v>
      </c>
      <c r="AU310" s="365">
        <f t="shared" si="260"/>
        <v>0</v>
      </c>
      <c r="AV310" s="365">
        <f t="shared" si="261"/>
        <v>0</v>
      </c>
      <c r="AW310" s="365">
        <f t="shared" si="262"/>
        <v>0</v>
      </c>
      <c r="AX310" s="365">
        <f t="shared" si="263"/>
        <v>0</v>
      </c>
      <c r="AY310" s="365">
        <f t="shared" si="264"/>
        <v>1.05</v>
      </c>
      <c r="AZ310" s="365">
        <f t="shared" si="265"/>
        <v>0</v>
      </c>
      <c r="BA310" s="365">
        <f t="shared" si="266"/>
        <v>43.38</v>
      </c>
      <c r="BB310" s="365">
        <f t="shared" si="267"/>
        <v>13</v>
      </c>
      <c r="BC310" s="365">
        <f t="shared" si="268"/>
        <v>10.7734</v>
      </c>
      <c r="BD310" s="363"/>
    </row>
    <row r="311" ht="24" spans="1:56">
      <c r="A311" s="284" t="s">
        <v>540</v>
      </c>
      <c r="B311" s="284" t="s">
        <v>199</v>
      </c>
      <c r="C311" s="284" t="s">
        <v>595</v>
      </c>
      <c r="D311" s="284" t="s">
        <v>594</v>
      </c>
      <c r="E311" s="365">
        <f t="shared" si="249"/>
        <v>120.65</v>
      </c>
      <c r="F311" s="365">
        <f t="shared" si="250"/>
        <v>103.53</v>
      </c>
      <c r="G311" s="365">
        <v>66.97</v>
      </c>
      <c r="H311" s="365">
        <v>1.54</v>
      </c>
      <c r="I311" s="365">
        <v>28.54</v>
      </c>
      <c r="J311" s="365">
        <v>6.48</v>
      </c>
      <c r="K311" s="374"/>
      <c r="L311" s="365">
        <f t="shared" si="251"/>
        <v>17.12</v>
      </c>
      <c r="M311" s="365">
        <v>17.12</v>
      </c>
      <c r="N311" s="365"/>
      <c r="O311" s="365"/>
      <c r="P311" s="365"/>
      <c r="Q311" s="365"/>
      <c r="R311" s="365"/>
      <c r="S311" s="365"/>
      <c r="T311" s="366">
        <f t="shared" si="220"/>
        <v>59.5928</v>
      </c>
      <c r="U311" s="366">
        <f t="shared" si="221"/>
        <v>14.6752</v>
      </c>
      <c r="V311" s="366">
        <v>12.5554</v>
      </c>
      <c r="W311" s="366">
        <v>1.746</v>
      </c>
      <c r="X311" s="366"/>
      <c r="Y311" s="366">
        <v>0.3</v>
      </c>
      <c r="Z311" s="366">
        <v>0.0738</v>
      </c>
      <c r="AA311" s="365">
        <f t="shared" si="252"/>
        <v>44.9176</v>
      </c>
      <c r="AB311" s="365">
        <v>1.0476</v>
      </c>
      <c r="AC311" s="365"/>
      <c r="AD311" s="365"/>
      <c r="AE311" s="365"/>
      <c r="AF311" s="365"/>
      <c r="AG311" s="365">
        <v>1.2</v>
      </c>
      <c r="AH311" s="365">
        <v>0</v>
      </c>
      <c r="AI311" s="365">
        <v>31.14</v>
      </c>
      <c r="AJ311" s="365"/>
      <c r="AK311" s="365">
        <v>11.53</v>
      </c>
      <c r="AL311" s="366">
        <f t="shared" si="206"/>
        <v>180.2428</v>
      </c>
      <c r="AM311" s="365">
        <f t="shared" si="253"/>
        <v>118.2052</v>
      </c>
      <c r="AN311" s="365">
        <f t="shared" si="254"/>
        <v>79.5254</v>
      </c>
      <c r="AO311" s="365">
        <f t="shared" si="255"/>
        <v>3.286</v>
      </c>
      <c r="AP311" s="365">
        <f t="shared" si="256"/>
        <v>28.54</v>
      </c>
      <c r="AQ311" s="365">
        <f t="shared" si="257"/>
        <v>6.78</v>
      </c>
      <c r="AR311" s="365">
        <f t="shared" si="258"/>
        <v>0.0738</v>
      </c>
      <c r="AS311" s="365">
        <f t="shared" si="222"/>
        <v>62.0376</v>
      </c>
      <c r="AT311" s="365">
        <f t="shared" si="259"/>
        <v>18.1676</v>
      </c>
      <c r="AU311" s="365">
        <f t="shared" si="260"/>
        <v>0</v>
      </c>
      <c r="AV311" s="365">
        <f t="shared" si="261"/>
        <v>0</v>
      </c>
      <c r="AW311" s="365">
        <f t="shared" si="262"/>
        <v>0</v>
      </c>
      <c r="AX311" s="365">
        <f t="shared" si="263"/>
        <v>0</v>
      </c>
      <c r="AY311" s="365">
        <f t="shared" si="264"/>
        <v>1.2</v>
      </c>
      <c r="AZ311" s="365">
        <f t="shared" si="265"/>
        <v>0</v>
      </c>
      <c r="BA311" s="365">
        <f t="shared" si="266"/>
        <v>31.14</v>
      </c>
      <c r="BB311" s="365">
        <f t="shared" si="267"/>
        <v>0</v>
      </c>
      <c r="BC311" s="365">
        <f t="shared" si="268"/>
        <v>11.53</v>
      </c>
      <c r="BD311" s="363"/>
    </row>
    <row r="312" ht="24" spans="1:56">
      <c r="A312" s="284" t="s">
        <v>540</v>
      </c>
      <c r="B312" s="284" t="s">
        <v>199</v>
      </c>
      <c r="C312" s="284" t="s">
        <v>596</v>
      </c>
      <c r="D312" s="284" t="s">
        <v>594</v>
      </c>
      <c r="E312" s="365">
        <f t="shared" si="249"/>
        <v>77.64</v>
      </c>
      <c r="F312" s="365">
        <f t="shared" si="250"/>
        <v>66.32</v>
      </c>
      <c r="G312" s="365">
        <v>41.36</v>
      </c>
      <c r="H312" s="365">
        <v>1.05</v>
      </c>
      <c r="I312" s="365">
        <v>18.87</v>
      </c>
      <c r="J312" s="365">
        <v>5.04</v>
      </c>
      <c r="K312" s="374"/>
      <c r="L312" s="365">
        <f t="shared" si="251"/>
        <v>11.32</v>
      </c>
      <c r="M312" s="365">
        <v>11.32</v>
      </c>
      <c r="N312" s="365"/>
      <c r="O312" s="365"/>
      <c r="P312" s="365"/>
      <c r="Q312" s="365"/>
      <c r="R312" s="365"/>
      <c r="S312" s="365"/>
      <c r="T312" s="366">
        <f t="shared" si="220"/>
        <v>29.50146</v>
      </c>
      <c r="U312" s="366">
        <f t="shared" si="221"/>
        <v>0.53565</v>
      </c>
      <c r="V312" s="366">
        <v>1.9553</v>
      </c>
      <c r="W312" s="366">
        <v>-1.24865</v>
      </c>
      <c r="X312" s="366"/>
      <c r="Y312" s="366">
        <v>-0.105</v>
      </c>
      <c r="Z312" s="366">
        <v>-0.066</v>
      </c>
      <c r="AA312" s="365">
        <f t="shared" si="252"/>
        <v>28.96581</v>
      </c>
      <c r="AB312" s="365">
        <v>-0.74919</v>
      </c>
      <c r="AC312" s="365"/>
      <c r="AD312" s="365"/>
      <c r="AE312" s="365"/>
      <c r="AF312" s="365"/>
      <c r="AG312" s="365">
        <v>0.9</v>
      </c>
      <c r="AH312" s="365">
        <v>0</v>
      </c>
      <c r="AI312" s="365">
        <v>20.265</v>
      </c>
      <c r="AJ312" s="365"/>
      <c r="AK312" s="365">
        <v>8.55</v>
      </c>
      <c r="AL312" s="366">
        <f t="shared" si="206"/>
        <v>107.14146</v>
      </c>
      <c r="AM312" s="365">
        <f t="shared" si="253"/>
        <v>66.85565</v>
      </c>
      <c r="AN312" s="365">
        <f t="shared" si="254"/>
        <v>43.3153</v>
      </c>
      <c r="AO312" s="365">
        <f t="shared" si="255"/>
        <v>-0.19865</v>
      </c>
      <c r="AP312" s="365">
        <f t="shared" si="256"/>
        <v>18.87</v>
      </c>
      <c r="AQ312" s="365">
        <f t="shared" si="257"/>
        <v>4.935</v>
      </c>
      <c r="AR312" s="365">
        <f t="shared" si="258"/>
        <v>-0.066</v>
      </c>
      <c r="AS312" s="365">
        <f t="shared" si="222"/>
        <v>40.28581</v>
      </c>
      <c r="AT312" s="365">
        <f t="shared" si="259"/>
        <v>10.57081</v>
      </c>
      <c r="AU312" s="365">
        <f t="shared" si="260"/>
        <v>0</v>
      </c>
      <c r="AV312" s="365">
        <f t="shared" si="261"/>
        <v>0</v>
      </c>
      <c r="AW312" s="365">
        <f t="shared" si="262"/>
        <v>0</v>
      </c>
      <c r="AX312" s="365">
        <f t="shared" si="263"/>
        <v>0</v>
      </c>
      <c r="AY312" s="365">
        <f t="shared" si="264"/>
        <v>0.9</v>
      </c>
      <c r="AZ312" s="365">
        <f t="shared" si="265"/>
        <v>0</v>
      </c>
      <c r="BA312" s="365">
        <f t="shared" si="266"/>
        <v>20.265</v>
      </c>
      <c r="BB312" s="365">
        <f t="shared" si="267"/>
        <v>0</v>
      </c>
      <c r="BC312" s="365">
        <f t="shared" si="268"/>
        <v>8.55</v>
      </c>
      <c r="BD312" s="363"/>
    </row>
    <row r="313" ht="24" spans="1:56">
      <c r="A313" s="284" t="s">
        <v>540</v>
      </c>
      <c r="B313" s="284" t="s">
        <v>199</v>
      </c>
      <c r="C313" s="284" t="s">
        <v>597</v>
      </c>
      <c r="D313" s="284" t="s">
        <v>594</v>
      </c>
      <c r="E313" s="365">
        <f t="shared" si="249"/>
        <v>99.38</v>
      </c>
      <c r="F313" s="365">
        <f t="shared" si="250"/>
        <v>86.5</v>
      </c>
      <c r="G313" s="365">
        <v>60.53</v>
      </c>
      <c r="H313" s="365">
        <v>1.14</v>
      </c>
      <c r="I313" s="365">
        <v>21.47</v>
      </c>
      <c r="J313" s="365">
        <v>3.36</v>
      </c>
      <c r="K313" s="374"/>
      <c r="L313" s="365">
        <f t="shared" si="251"/>
        <v>12.88</v>
      </c>
      <c r="M313" s="365">
        <v>12.88</v>
      </c>
      <c r="N313" s="365"/>
      <c r="O313" s="365"/>
      <c r="P313" s="365"/>
      <c r="Q313" s="365"/>
      <c r="R313" s="365"/>
      <c r="S313" s="365"/>
      <c r="T313" s="366">
        <f t="shared" si="220"/>
        <v>39.51328</v>
      </c>
      <c r="U313" s="366">
        <f t="shared" si="221"/>
        <v>8.0764</v>
      </c>
      <c r="V313" s="366">
        <v>7.4041</v>
      </c>
      <c r="W313" s="366">
        <v>0.6698</v>
      </c>
      <c r="X313" s="366"/>
      <c r="Y313" s="366">
        <v>0</v>
      </c>
      <c r="Z313" s="366">
        <v>0.0025</v>
      </c>
      <c r="AA313" s="365">
        <f t="shared" si="252"/>
        <v>31.43688</v>
      </c>
      <c r="AB313" s="365">
        <v>0.40188</v>
      </c>
      <c r="AC313" s="365"/>
      <c r="AD313" s="365"/>
      <c r="AE313" s="365"/>
      <c r="AF313" s="365"/>
      <c r="AG313" s="365">
        <v>0.9</v>
      </c>
      <c r="AH313" s="365">
        <v>0</v>
      </c>
      <c r="AI313" s="365">
        <v>21.945</v>
      </c>
      <c r="AJ313" s="365"/>
      <c r="AK313" s="365">
        <v>8.19</v>
      </c>
      <c r="AL313" s="366">
        <f t="shared" si="206"/>
        <v>138.89328</v>
      </c>
      <c r="AM313" s="365">
        <f t="shared" si="253"/>
        <v>94.5764</v>
      </c>
      <c r="AN313" s="365">
        <f t="shared" si="254"/>
        <v>67.9341</v>
      </c>
      <c r="AO313" s="365">
        <f t="shared" si="255"/>
        <v>1.8098</v>
      </c>
      <c r="AP313" s="365">
        <f t="shared" si="256"/>
        <v>21.47</v>
      </c>
      <c r="AQ313" s="365">
        <f t="shared" si="257"/>
        <v>3.36</v>
      </c>
      <c r="AR313" s="365">
        <f t="shared" si="258"/>
        <v>0.0025</v>
      </c>
      <c r="AS313" s="365">
        <f t="shared" si="222"/>
        <v>44.31688</v>
      </c>
      <c r="AT313" s="365">
        <f t="shared" si="259"/>
        <v>13.28188</v>
      </c>
      <c r="AU313" s="365">
        <f t="shared" si="260"/>
        <v>0</v>
      </c>
      <c r="AV313" s="365">
        <f t="shared" si="261"/>
        <v>0</v>
      </c>
      <c r="AW313" s="365">
        <f t="shared" si="262"/>
        <v>0</v>
      </c>
      <c r="AX313" s="365">
        <f t="shared" si="263"/>
        <v>0</v>
      </c>
      <c r="AY313" s="365">
        <f t="shared" si="264"/>
        <v>0.9</v>
      </c>
      <c r="AZ313" s="365">
        <f t="shared" si="265"/>
        <v>0</v>
      </c>
      <c r="BA313" s="365">
        <f t="shared" si="266"/>
        <v>21.945</v>
      </c>
      <c r="BB313" s="365">
        <f t="shared" si="267"/>
        <v>0</v>
      </c>
      <c r="BC313" s="365">
        <f t="shared" si="268"/>
        <v>8.19</v>
      </c>
      <c r="BD313" s="363"/>
    </row>
    <row r="314" ht="24" spans="1:56">
      <c r="A314" s="284" t="s">
        <v>540</v>
      </c>
      <c r="B314" s="284" t="s">
        <v>199</v>
      </c>
      <c r="C314" s="284" t="s">
        <v>598</v>
      </c>
      <c r="D314" s="284" t="s">
        <v>594</v>
      </c>
      <c r="E314" s="365">
        <f t="shared" si="249"/>
        <v>68.75</v>
      </c>
      <c r="F314" s="365">
        <f t="shared" si="250"/>
        <v>58.77</v>
      </c>
      <c r="G314" s="365">
        <v>34.9</v>
      </c>
      <c r="H314" s="365">
        <v>0.99</v>
      </c>
      <c r="I314" s="365">
        <v>16.64</v>
      </c>
      <c r="J314" s="365">
        <v>6.24</v>
      </c>
      <c r="K314" s="374"/>
      <c r="L314" s="365">
        <f t="shared" si="251"/>
        <v>9.98</v>
      </c>
      <c r="M314" s="365">
        <v>9.98</v>
      </c>
      <c r="N314" s="365"/>
      <c r="O314" s="365"/>
      <c r="P314" s="365"/>
      <c r="Q314" s="365"/>
      <c r="R314" s="365"/>
      <c r="S314" s="365"/>
      <c r="T314" s="366">
        <f t="shared" si="220"/>
        <v>39.23524</v>
      </c>
      <c r="U314" s="366">
        <f t="shared" si="221"/>
        <v>10.45115</v>
      </c>
      <c r="V314" s="366">
        <v>8.3336</v>
      </c>
      <c r="W314" s="366">
        <v>1.54015</v>
      </c>
      <c r="X314" s="366"/>
      <c r="Y314" s="366">
        <v>0.5</v>
      </c>
      <c r="Z314" s="366">
        <v>0.0774</v>
      </c>
      <c r="AA314" s="365">
        <f t="shared" si="252"/>
        <v>28.78409</v>
      </c>
      <c r="AB314" s="365">
        <v>0.92409</v>
      </c>
      <c r="AC314" s="365"/>
      <c r="AD314" s="365"/>
      <c r="AE314" s="365"/>
      <c r="AF314" s="365"/>
      <c r="AG314" s="365">
        <v>0.6</v>
      </c>
      <c r="AH314" s="365">
        <v>0</v>
      </c>
      <c r="AI314" s="365">
        <v>19.74</v>
      </c>
      <c r="AJ314" s="365"/>
      <c r="AK314" s="365">
        <v>7.52</v>
      </c>
      <c r="AL314" s="366">
        <f t="shared" si="206"/>
        <v>107.98524</v>
      </c>
      <c r="AM314" s="365">
        <f t="shared" si="253"/>
        <v>69.22115</v>
      </c>
      <c r="AN314" s="365">
        <f t="shared" si="254"/>
        <v>43.2336</v>
      </c>
      <c r="AO314" s="365">
        <f t="shared" si="255"/>
        <v>2.53015</v>
      </c>
      <c r="AP314" s="365">
        <f t="shared" si="256"/>
        <v>16.64</v>
      </c>
      <c r="AQ314" s="365">
        <f t="shared" si="257"/>
        <v>6.74</v>
      </c>
      <c r="AR314" s="365">
        <f t="shared" si="258"/>
        <v>0.0774</v>
      </c>
      <c r="AS314" s="365">
        <f t="shared" si="222"/>
        <v>38.76409</v>
      </c>
      <c r="AT314" s="365">
        <f t="shared" si="259"/>
        <v>10.90409</v>
      </c>
      <c r="AU314" s="365">
        <f t="shared" si="260"/>
        <v>0</v>
      </c>
      <c r="AV314" s="365">
        <f t="shared" si="261"/>
        <v>0</v>
      </c>
      <c r="AW314" s="365">
        <f t="shared" si="262"/>
        <v>0</v>
      </c>
      <c r="AX314" s="365">
        <f t="shared" si="263"/>
        <v>0</v>
      </c>
      <c r="AY314" s="365">
        <f t="shared" si="264"/>
        <v>0.6</v>
      </c>
      <c r="AZ314" s="365">
        <f t="shared" si="265"/>
        <v>0</v>
      </c>
      <c r="BA314" s="365">
        <f t="shared" si="266"/>
        <v>19.74</v>
      </c>
      <c r="BB314" s="365">
        <f t="shared" si="267"/>
        <v>0</v>
      </c>
      <c r="BC314" s="365">
        <f t="shared" si="268"/>
        <v>7.52</v>
      </c>
      <c r="BD314" s="363"/>
    </row>
    <row r="315" ht="24" spans="1:56">
      <c r="A315" s="284" t="s">
        <v>540</v>
      </c>
      <c r="B315" s="284" t="s">
        <v>199</v>
      </c>
      <c r="C315" s="284" t="s">
        <v>599</v>
      </c>
      <c r="D315" s="284" t="s">
        <v>594</v>
      </c>
      <c r="E315" s="365">
        <f t="shared" si="249"/>
        <v>63.33</v>
      </c>
      <c r="F315" s="365">
        <f t="shared" si="250"/>
        <v>53.95</v>
      </c>
      <c r="G315" s="365">
        <v>32.61</v>
      </c>
      <c r="H315" s="365">
        <v>0.91</v>
      </c>
      <c r="I315" s="365">
        <v>15.63</v>
      </c>
      <c r="J315" s="365">
        <v>4.8</v>
      </c>
      <c r="K315" s="374"/>
      <c r="L315" s="365">
        <f t="shared" si="251"/>
        <v>9.38</v>
      </c>
      <c r="M315" s="365">
        <v>9.38</v>
      </c>
      <c r="N315" s="365"/>
      <c r="O315" s="365"/>
      <c r="P315" s="365"/>
      <c r="Q315" s="365"/>
      <c r="R315" s="365"/>
      <c r="S315" s="365"/>
      <c r="T315" s="366">
        <f t="shared" si="220"/>
        <v>37.39398</v>
      </c>
      <c r="U315" s="366">
        <f t="shared" si="221"/>
        <v>9.903</v>
      </c>
      <c r="V315" s="366">
        <v>7.9777</v>
      </c>
      <c r="W315" s="366">
        <v>1.2293</v>
      </c>
      <c r="X315" s="366"/>
      <c r="Y315" s="366">
        <v>0.6</v>
      </c>
      <c r="Z315" s="366">
        <v>0.096</v>
      </c>
      <c r="AA315" s="365">
        <f t="shared" si="252"/>
        <v>27.49098</v>
      </c>
      <c r="AB315" s="365">
        <v>0.73758</v>
      </c>
      <c r="AC315" s="365"/>
      <c r="AD315" s="365"/>
      <c r="AE315" s="365"/>
      <c r="AF315" s="365"/>
      <c r="AG315" s="365">
        <v>0.6</v>
      </c>
      <c r="AH315" s="365">
        <v>0</v>
      </c>
      <c r="AI315" s="365">
        <v>19.56</v>
      </c>
      <c r="AJ315" s="365"/>
      <c r="AK315" s="365">
        <v>6.5934</v>
      </c>
      <c r="AL315" s="366">
        <f t="shared" si="206"/>
        <v>100.72398</v>
      </c>
      <c r="AM315" s="365">
        <f t="shared" si="253"/>
        <v>63.853</v>
      </c>
      <c r="AN315" s="365">
        <f t="shared" si="254"/>
        <v>40.5877</v>
      </c>
      <c r="AO315" s="365">
        <f t="shared" si="255"/>
        <v>2.1393</v>
      </c>
      <c r="AP315" s="365">
        <f t="shared" si="256"/>
        <v>15.63</v>
      </c>
      <c r="AQ315" s="365">
        <f t="shared" si="257"/>
        <v>5.4</v>
      </c>
      <c r="AR315" s="365">
        <f t="shared" si="258"/>
        <v>0.096</v>
      </c>
      <c r="AS315" s="365">
        <f t="shared" si="222"/>
        <v>36.87098</v>
      </c>
      <c r="AT315" s="365">
        <f t="shared" si="259"/>
        <v>10.11758</v>
      </c>
      <c r="AU315" s="365">
        <f t="shared" si="260"/>
        <v>0</v>
      </c>
      <c r="AV315" s="365">
        <f t="shared" si="261"/>
        <v>0</v>
      </c>
      <c r="AW315" s="365">
        <f t="shared" si="262"/>
        <v>0</v>
      </c>
      <c r="AX315" s="365">
        <f t="shared" si="263"/>
        <v>0</v>
      </c>
      <c r="AY315" s="365">
        <f t="shared" si="264"/>
        <v>0.6</v>
      </c>
      <c r="AZ315" s="365">
        <f t="shared" si="265"/>
        <v>0</v>
      </c>
      <c r="BA315" s="365">
        <f t="shared" si="266"/>
        <v>19.56</v>
      </c>
      <c r="BB315" s="365">
        <f t="shared" si="267"/>
        <v>0</v>
      </c>
      <c r="BC315" s="365">
        <f t="shared" si="268"/>
        <v>6.5934</v>
      </c>
      <c r="BD315" s="363"/>
    </row>
    <row r="316" ht="24" spans="1:56">
      <c r="A316" s="284" t="s">
        <v>540</v>
      </c>
      <c r="B316" s="284" t="s">
        <v>199</v>
      </c>
      <c r="C316" s="284" t="s">
        <v>600</v>
      </c>
      <c r="D316" s="284" t="s">
        <v>594</v>
      </c>
      <c r="E316" s="365">
        <f t="shared" si="249"/>
        <v>69.45</v>
      </c>
      <c r="F316" s="365">
        <f t="shared" si="250"/>
        <v>59.85</v>
      </c>
      <c r="G316" s="365">
        <v>36.66</v>
      </c>
      <c r="H316" s="365">
        <v>0.94</v>
      </c>
      <c r="I316" s="365">
        <v>16.01</v>
      </c>
      <c r="J316" s="365">
        <v>6.24</v>
      </c>
      <c r="K316" s="374"/>
      <c r="L316" s="365">
        <f t="shared" si="251"/>
        <v>9.6</v>
      </c>
      <c r="M316" s="365">
        <v>9.6</v>
      </c>
      <c r="N316" s="365"/>
      <c r="O316" s="365"/>
      <c r="P316" s="365"/>
      <c r="Q316" s="365"/>
      <c r="R316" s="365"/>
      <c r="S316" s="365"/>
      <c r="T316" s="366">
        <f t="shared" si="220"/>
        <v>35.00456</v>
      </c>
      <c r="U316" s="366">
        <f t="shared" si="221"/>
        <v>6.60185</v>
      </c>
      <c r="V316" s="366">
        <v>5.849</v>
      </c>
      <c r="W316" s="366">
        <v>0.63785</v>
      </c>
      <c r="X316" s="366"/>
      <c r="Y316" s="366">
        <v>0.1</v>
      </c>
      <c r="Z316" s="366">
        <v>0.015</v>
      </c>
      <c r="AA316" s="365">
        <f t="shared" si="252"/>
        <v>28.40271</v>
      </c>
      <c r="AB316" s="365">
        <v>0.38271</v>
      </c>
      <c r="AC316" s="365"/>
      <c r="AD316" s="365"/>
      <c r="AE316" s="365"/>
      <c r="AF316" s="365"/>
      <c r="AG316" s="365">
        <v>0.6</v>
      </c>
      <c r="AH316" s="365">
        <v>0</v>
      </c>
      <c r="AI316" s="365">
        <v>20.07</v>
      </c>
      <c r="AJ316" s="365"/>
      <c r="AK316" s="365">
        <v>7.35</v>
      </c>
      <c r="AL316" s="366">
        <f t="shared" si="206"/>
        <v>104.45456</v>
      </c>
      <c r="AM316" s="365">
        <f t="shared" si="253"/>
        <v>66.45185</v>
      </c>
      <c r="AN316" s="365">
        <f t="shared" si="254"/>
        <v>42.509</v>
      </c>
      <c r="AO316" s="365">
        <f t="shared" si="255"/>
        <v>1.57785</v>
      </c>
      <c r="AP316" s="365">
        <f t="shared" si="256"/>
        <v>16.01</v>
      </c>
      <c r="AQ316" s="365">
        <f t="shared" si="257"/>
        <v>6.34</v>
      </c>
      <c r="AR316" s="365">
        <f t="shared" si="258"/>
        <v>0.015</v>
      </c>
      <c r="AS316" s="365">
        <f t="shared" si="222"/>
        <v>38.00271</v>
      </c>
      <c r="AT316" s="365">
        <f t="shared" si="259"/>
        <v>9.98271</v>
      </c>
      <c r="AU316" s="365">
        <f t="shared" si="260"/>
        <v>0</v>
      </c>
      <c r="AV316" s="365">
        <f t="shared" si="261"/>
        <v>0</v>
      </c>
      <c r="AW316" s="365">
        <f t="shared" si="262"/>
        <v>0</v>
      </c>
      <c r="AX316" s="365">
        <f t="shared" si="263"/>
        <v>0</v>
      </c>
      <c r="AY316" s="365">
        <f t="shared" si="264"/>
        <v>0.6</v>
      </c>
      <c r="AZ316" s="365">
        <f t="shared" si="265"/>
        <v>0</v>
      </c>
      <c r="BA316" s="365">
        <f t="shared" si="266"/>
        <v>20.07</v>
      </c>
      <c r="BB316" s="365">
        <f t="shared" si="267"/>
        <v>0</v>
      </c>
      <c r="BC316" s="365">
        <f t="shared" si="268"/>
        <v>7.35</v>
      </c>
      <c r="BD316" s="363"/>
    </row>
    <row r="317" ht="24" spans="1:56">
      <c r="A317" s="284" t="s">
        <v>540</v>
      </c>
      <c r="B317" s="284" t="s">
        <v>199</v>
      </c>
      <c r="C317" s="369" t="s">
        <v>601</v>
      </c>
      <c r="D317" s="284" t="s">
        <v>594</v>
      </c>
      <c r="E317" s="365">
        <f t="shared" si="249"/>
        <v>169.51</v>
      </c>
      <c r="F317" s="365">
        <f t="shared" si="250"/>
        <v>146.2</v>
      </c>
      <c r="G317" s="365">
        <v>99.42</v>
      </c>
      <c r="H317" s="365">
        <v>1.94</v>
      </c>
      <c r="I317" s="365">
        <v>38.84</v>
      </c>
      <c r="J317" s="365">
        <v>6</v>
      </c>
      <c r="K317" s="374"/>
      <c r="L317" s="365">
        <f t="shared" si="251"/>
        <v>23.31</v>
      </c>
      <c r="M317" s="365">
        <v>23.31</v>
      </c>
      <c r="N317" s="365"/>
      <c r="O317" s="365"/>
      <c r="P317" s="365"/>
      <c r="Q317" s="365"/>
      <c r="R317" s="365"/>
      <c r="S317" s="365"/>
      <c r="T317" s="366">
        <f t="shared" si="220"/>
        <v>94.42444</v>
      </c>
      <c r="U317" s="366">
        <f t="shared" si="221"/>
        <v>14.82</v>
      </c>
      <c r="V317" s="366">
        <v>14.5626</v>
      </c>
      <c r="W317" s="366">
        <v>0.2574</v>
      </c>
      <c r="X317" s="366"/>
      <c r="Y317" s="366"/>
      <c r="Z317" s="366"/>
      <c r="AA317" s="365">
        <f t="shared" si="252"/>
        <v>79.60444</v>
      </c>
      <c r="AB317" s="365">
        <v>0.15444</v>
      </c>
      <c r="AC317" s="365"/>
      <c r="AD317" s="365"/>
      <c r="AE317" s="365"/>
      <c r="AF317" s="365"/>
      <c r="AG317" s="365">
        <v>1.5</v>
      </c>
      <c r="AH317" s="365">
        <v>0</v>
      </c>
      <c r="AI317" s="365">
        <v>53.41</v>
      </c>
      <c r="AJ317" s="365">
        <v>10</v>
      </c>
      <c r="AK317" s="365">
        <v>14.54</v>
      </c>
      <c r="AL317" s="366">
        <f t="shared" si="206"/>
        <v>263.93444</v>
      </c>
      <c r="AM317" s="365">
        <f t="shared" si="253"/>
        <v>161.02</v>
      </c>
      <c r="AN317" s="365">
        <f t="shared" si="254"/>
        <v>113.9826</v>
      </c>
      <c r="AO317" s="365">
        <f t="shared" si="255"/>
        <v>2.1974</v>
      </c>
      <c r="AP317" s="365">
        <f t="shared" si="256"/>
        <v>38.84</v>
      </c>
      <c r="AQ317" s="365">
        <f t="shared" si="257"/>
        <v>6</v>
      </c>
      <c r="AR317" s="365">
        <f t="shared" si="258"/>
        <v>0</v>
      </c>
      <c r="AS317" s="365">
        <f t="shared" si="222"/>
        <v>102.91444</v>
      </c>
      <c r="AT317" s="365">
        <f t="shared" si="259"/>
        <v>23.46444</v>
      </c>
      <c r="AU317" s="365">
        <f t="shared" si="260"/>
        <v>0</v>
      </c>
      <c r="AV317" s="365">
        <f t="shared" si="261"/>
        <v>0</v>
      </c>
      <c r="AW317" s="365">
        <f t="shared" si="262"/>
        <v>0</v>
      </c>
      <c r="AX317" s="365">
        <f t="shared" si="263"/>
        <v>0</v>
      </c>
      <c r="AY317" s="365">
        <f t="shared" si="264"/>
        <v>1.5</v>
      </c>
      <c r="AZ317" s="365">
        <f t="shared" si="265"/>
        <v>0</v>
      </c>
      <c r="BA317" s="365">
        <f t="shared" si="266"/>
        <v>53.41</v>
      </c>
      <c r="BB317" s="365">
        <f t="shared" si="267"/>
        <v>10</v>
      </c>
      <c r="BC317" s="365">
        <f t="shared" si="268"/>
        <v>14.54</v>
      </c>
      <c r="BD317" s="363"/>
    </row>
    <row r="318" ht="24" spans="1:56">
      <c r="A318" s="284" t="s">
        <v>540</v>
      </c>
      <c r="B318" s="284" t="s">
        <v>199</v>
      </c>
      <c r="C318" s="284" t="s">
        <v>602</v>
      </c>
      <c r="D318" s="284" t="s">
        <v>594</v>
      </c>
      <c r="E318" s="365">
        <f t="shared" si="249"/>
        <v>99.96</v>
      </c>
      <c r="F318" s="365">
        <f t="shared" si="250"/>
        <v>86.12</v>
      </c>
      <c r="G318" s="365">
        <v>55.63</v>
      </c>
      <c r="H318" s="365">
        <v>1.3</v>
      </c>
      <c r="I318" s="365">
        <v>23.07</v>
      </c>
      <c r="J318" s="365">
        <v>6.12</v>
      </c>
      <c r="K318" s="374"/>
      <c r="L318" s="365">
        <f t="shared" si="251"/>
        <v>13.84</v>
      </c>
      <c r="M318" s="365">
        <v>13.84</v>
      </c>
      <c r="N318" s="365"/>
      <c r="O318" s="365"/>
      <c r="P318" s="365"/>
      <c r="Q318" s="365"/>
      <c r="R318" s="365"/>
      <c r="S318" s="365"/>
      <c r="T318" s="366">
        <f t="shared" si="220"/>
        <v>53.73128</v>
      </c>
      <c r="U318" s="366">
        <f t="shared" si="221"/>
        <v>15.116</v>
      </c>
      <c r="V318" s="366">
        <v>12.5164</v>
      </c>
      <c r="W318" s="366">
        <v>2.4088</v>
      </c>
      <c r="X318" s="366"/>
      <c r="Y318" s="366">
        <v>0.15</v>
      </c>
      <c r="Z318" s="366">
        <v>0.0408</v>
      </c>
      <c r="AA318" s="365">
        <f t="shared" si="252"/>
        <v>38.61528</v>
      </c>
      <c r="AB318" s="365">
        <v>1.44528</v>
      </c>
      <c r="AC318" s="365"/>
      <c r="AD318" s="365"/>
      <c r="AE318" s="365"/>
      <c r="AF318" s="365"/>
      <c r="AG318" s="365">
        <v>1.05</v>
      </c>
      <c r="AH318" s="365">
        <v>0</v>
      </c>
      <c r="AI318" s="365">
        <v>26.61</v>
      </c>
      <c r="AJ318" s="365"/>
      <c r="AK318" s="365">
        <v>9.51</v>
      </c>
      <c r="AL318" s="366">
        <f t="shared" si="206"/>
        <v>153.69128</v>
      </c>
      <c r="AM318" s="365">
        <f t="shared" si="253"/>
        <v>101.236</v>
      </c>
      <c r="AN318" s="365">
        <f t="shared" si="254"/>
        <v>68.1464</v>
      </c>
      <c r="AO318" s="365">
        <f t="shared" si="255"/>
        <v>3.7088</v>
      </c>
      <c r="AP318" s="365">
        <f t="shared" si="256"/>
        <v>23.07</v>
      </c>
      <c r="AQ318" s="365">
        <f t="shared" si="257"/>
        <v>6.27</v>
      </c>
      <c r="AR318" s="365">
        <f t="shared" si="258"/>
        <v>0.0408</v>
      </c>
      <c r="AS318" s="365">
        <f t="shared" si="222"/>
        <v>52.45528</v>
      </c>
      <c r="AT318" s="365">
        <f t="shared" si="259"/>
        <v>15.28528</v>
      </c>
      <c r="AU318" s="365">
        <f t="shared" si="260"/>
        <v>0</v>
      </c>
      <c r="AV318" s="365">
        <f t="shared" si="261"/>
        <v>0</v>
      </c>
      <c r="AW318" s="365">
        <f t="shared" si="262"/>
        <v>0</v>
      </c>
      <c r="AX318" s="365">
        <f t="shared" si="263"/>
        <v>0</v>
      </c>
      <c r="AY318" s="365">
        <f t="shared" si="264"/>
        <v>1.05</v>
      </c>
      <c r="AZ318" s="365">
        <f t="shared" si="265"/>
        <v>0</v>
      </c>
      <c r="BA318" s="365">
        <f t="shared" si="266"/>
        <v>26.61</v>
      </c>
      <c r="BB318" s="365">
        <f t="shared" si="267"/>
        <v>0</v>
      </c>
      <c r="BC318" s="365">
        <f t="shared" si="268"/>
        <v>9.51</v>
      </c>
      <c r="BD318" s="363"/>
    </row>
    <row r="319" ht="24" spans="1:56">
      <c r="A319" s="284" t="s">
        <v>540</v>
      </c>
      <c r="B319" s="284" t="s">
        <v>199</v>
      </c>
      <c r="C319" s="284" t="s">
        <v>603</v>
      </c>
      <c r="D319" s="284" t="s">
        <v>594</v>
      </c>
      <c r="E319" s="365">
        <f t="shared" si="249"/>
        <v>307.65</v>
      </c>
      <c r="F319" s="365">
        <f t="shared" si="250"/>
        <v>265.99</v>
      </c>
      <c r="G319" s="365">
        <v>181.99</v>
      </c>
      <c r="H319" s="365">
        <v>3.53</v>
      </c>
      <c r="I319" s="365">
        <v>69.43</v>
      </c>
      <c r="J319" s="365">
        <v>11.04</v>
      </c>
      <c r="K319" s="374"/>
      <c r="L319" s="365">
        <f t="shared" si="251"/>
        <v>41.66</v>
      </c>
      <c r="M319" s="365">
        <v>41.66</v>
      </c>
      <c r="N319" s="365"/>
      <c r="O319" s="365"/>
      <c r="P319" s="365"/>
      <c r="Q319" s="365"/>
      <c r="R319" s="365"/>
      <c r="S319" s="365"/>
      <c r="T319" s="366">
        <f t="shared" si="220"/>
        <v>141.7467</v>
      </c>
      <c r="U319" s="366">
        <f t="shared" si="221"/>
        <v>35.5062</v>
      </c>
      <c r="V319" s="366">
        <v>30.3274</v>
      </c>
      <c r="W319" s="366">
        <v>4.2785</v>
      </c>
      <c r="X319" s="366"/>
      <c r="Y319" s="366">
        <v>0.66</v>
      </c>
      <c r="Z319" s="366">
        <v>0.2403</v>
      </c>
      <c r="AA319" s="365">
        <f t="shared" si="252"/>
        <v>106.2405</v>
      </c>
      <c r="AB319" s="365">
        <v>5.0771</v>
      </c>
      <c r="AC319" s="365"/>
      <c r="AD319" s="365"/>
      <c r="AE319" s="365"/>
      <c r="AF319" s="365"/>
      <c r="AG319" s="365">
        <v>2.7</v>
      </c>
      <c r="AH319" s="365">
        <v>0</v>
      </c>
      <c r="AI319" s="365">
        <v>72.81</v>
      </c>
      <c r="AJ319" s="365"/>
      <c r="AK319" s="365">
        <v>25.6534</v>
      </c>
      <c r="AL319" s="366">
        <f t="shared" si="206"/>
        <v>449.3967</v>
      </c>
      <c r="AM319" s="365">
        <f t="shared" si="253"/>
        <v>301.4962</v>
      </c>
      <c r="AN319" s="365">
        <f t="shared" si="254"/>
        <v>212.3174</v>
      </c>
      <c r="AO319" s="365">
        <f t="shared" si="255"/>
        <v>7.8085</v>
      </c>
      <c r="AP319" s="365">
        <f t="shared" si="256"/>
        <v>69.43</v>
      </c>
      <c r="AQ319" s="365">
        <f t="shared" si="257"/>
        <v>11.7</v>
      </c>
      <c r="AR319" s="365">
        <f t="shared" si="258"/>
        <v>0.2403</v>
      </c>
      <c r="AS319" s="365">
        <f t="shared" si="222"/>
        <v>147.9005</v>
      </c>
      <c r="AT319" s="365">
        <f t="shared" si="259"/>
        <v>46.7371</v>
      </c>
      <c r="AU319" s="365">
        <f t="shared" si="260"/>
        <v>0</v>
      </c>
      <c r="AV319" s="365">
        <f t="shared" si="261"/>
        <v>0</v>
      </c>
      <c r="AW319" s="365">
        <f t="shared" si="262"/>
        <v>0</v>
      </c>
      <c r="AX319" s="365">
        <f t="shared" si="263"/>
        <v>0</v>
      </c>
      <c r="AY319" s="365">
        <f t="shared" si="264"/>
        <v>2.7</v>
      </c>
      <c r="AZ319" s="365">
        <f t="shared" si="265"/>
        <v>0</v>
      </c>
      <c r="BA319" s="365">
        <f t="shared" si="266"/>
        <v>72.81</v>
      </c>
      <c r="BB319" s="365">
        <f t="shared" si="267"/>
        <v>0</v>
      </c>
      <c r="BC319" s="365">
        <f t="shared" si="268"/>
        <v>25.6534</v>
      </c>
      <c r="BD319" s="363"/>
    </row>
    <row r="320" ht="24" spans="1:56">
      <c r="A320" s="284" t="s">
        <v>540</v>
      </c>
      <c r="B320" s="284" t="s">
        <v>199</v>
      </c>
      <c r="C320" s="284" t="s">
        <v>604</v>
      </c>
      <c r="D320" s="284" t="s">
        <v>594</v>
      </c>
      <c r="E320" s="365">
        <f t="shared" si="249"/>
        <v>248.948</v>
      </c>
      <c r="F320" s="365">
        <f t="shared" si="250"/>
        <v>214.828</v>
      </c>
      <c r="G320" s="365">
        <v>147.03</v>
      </c>
      <c r="H320" s="365">
        <v>2.77</v>
      </c>
      <c r="I320" s="365">
        <v>56.868</v>
      </c>
      <c r="J320" s="365">
        <v>8.16</v>
      </c>
      <c r="K320" s="374"/>
      <c r="L320" s="365">
        <f t="shared" si="251"/>
        <v>34.12</v>
      </c>
      <c r="M320" s="365">
        <v>34.12</v>
      </c>
      <c r="N320" s="365"/>
      <c r="O320" s="365"/>
      <c r="P320" s="365"/>
      <c r="Q320" s="365"/>
      <c r="R320" s="365"/>
      <c r="S320" s="365"/>
      <c r="T320" s="366">
        <f t="shared" si="220"/>
        <v>131.87413</v>
      </c>
      <c r="U320" s="366">
        <f t="shared" si="221"/>
        <v>42.4521</v>
      </c>
      <c r="V320" s="366">
        <v>34.6003</v>
      </c>
      <c r="W320" s="366">
        <v>6.57555</v>
      </c>
      <c r="X320" s="366"/>
      <c r="Y320" s="366">
        <v>0.95</v>
      </c>
      <c r="Z320" s="366">
        <v>0.32625</v>
      </c>
      <c r="AA320" s="365">
        <f t="shared" si="252"/>
        <v>89.42203</v>
      </c>
      <c r="AB320" s="365">
        <v>3.94533</v>
      </c>
      <c r="AC320" s="365"/>
      <c r="AD320" s="365"/>
      <c r="AE320" s="365"/>
      <c r="AF320" s="365"/>
      <c r="AG320" s="365">
        <v>2.1</v>
      </c>
      <c r="AH320" s="365">
        <v>0</v>
      </c>
      <c r="AI320" s="365">
        <v>62.115</v>
      </c>
      <c r="AJ320" s="365"/>
      <c r="AK320" s="365">
        <v>21.2617</v>
      </c>
      <c r="AL320" s="366">
        <f t="shared" si="206"/>
        <v>380.82213</v>
      </c>
      <c r="AM320" s="365">
        <f t="shared" si="253"/>
        <v>257.2801</v>
      </c>
      <c r="AN320" s="365">
        <f t="shared" si="254"/>
        <v>181.6303</v>
      </c>
      <c r="AO320" s="365">
        <f t="shared" si="255"/>
        <v>9.34555</v>
      </c>
      <c r="AP320" s="365">
        <f t="shared" si="256"/>
        <v>56.868</v>
      </c>
      <c r="AQ320" s="365">
        <f t="shared" si="257"/>
        <v>9.11</v>
      </c>
      <c r="AR320" s="365">
        <f t="shared" si="258"/>
        <v>0.32625</v>
      </c>
      <c r="AS320" s="365">
        <f t="shared" si="222"/>
        <v>123.54203</v>
      </c>
      <c r="AT320" s="365">
        <f t="shared" si="259"/>
        <v>38.06533</v>
      </c>
      <c r="AU320" s="365">
        <f t="shared" si="260"/>
        <v>0</v>
      </c>
      <c r="AV320" s="365">
        <f t="shared" si="261"/>
        <v>0</v>
      </c>
      <c r="AW320" s="365">
        <f t="shared" si="262"/>
        <v>0</v>
      </c>
      <c r="AX320" s="365">
        <f t="shared" si="263"/>
        <v>0</v>
      </c>
      <c r="AY320" s="365">
        <f t="shared" si="264"/>
        <v>2.1</v>
      </c>
      <c r="AZ320" s="365">
        <f t="shared" si="265"/>
        <v>0</v>
      </c>
      <c r="BA320" s="365">
        <f t="shared" si="266"/>
        <v>62.115</v>
      </c>
      <c r="BB320" s="365">
        <f t="shared" si="267"/>
        <v>0</v>
      </c>
      <c r="BC320" s="365">
        <f t="shared" si="268"/>
        <v>21.2617</v>
      </c>
      <c r="BD320" s="363"/>
    </row>
    <row r="321" ht="24" spans="1:56">
      <c r="A321" s="284" t="s">
        <v>540</v>
      </c>
      <c r="B321" s="284" t="s">
        <v>199</v>
      </c>
      <c r="C321" s="284" t="s">
        <v>605</v>
      </c>
      <c r="D321" s="284" t="s">
        <v>594</v>
      </c>
      <c r="E321" s="365">
        <f t="shared" si="249"/>
        <v>86.52</v>
      </c>
      <c r="F321" s="365">
        <f t="shared" si="250"/>
        <v>74.54</v>
      </c>
      <c r="G321" s="365">
        <v>46.37</v>
      </c>
      <c r="H321" s="365">
        <v>1.12</v>
      </c>
      <c r="I321" s="365">
        <v>19.97</v>
      </c>
      <c r="J321" s="365">
        <v>7.08</v>
      </c>
      <c r="K321" s="374"/>
      <c r="L321" s="365">
        <f t="shared" si="251"/>
        <v>11.98</v>
      </c>
      <c r="M321" s="365">
        <v>11.98</v>
      </c>
      <c r="N321" s="365"/>
      <c r="O321" s="365"/>
      <c r="P321" s="365"/>
      <c r="Q321" s="365"/>
      <c r="R321" s="365"/>
      <c r="S321" s="365"/>
      <c r="T321" s="366">
        <f t="shared" si="220"/>
        <v>33.00018</v>
      </c>
      <c r="U321" s="366">
        <f t="shared" si="221"/>
        <v>3.96255</v>
      </c>
      <c r="V321" s="366">
        <v>4.501</v>
      </c>
      <c r="W321" s="366">
        <v>-0.52345</v>
      </c>
      <c r="X321" s="366"/>
      <c r="Y321" s="366">
        <v>-0.03</v>
      </c>
      <c r="Z321" s="366">
        <v>0.015</v>
      </c>
      <c r="AA321" s="365">
        <f t="shared" si="252"/>
        <v>29.03763</v>
      </c>
      <c r="AB321" s="365">
        <v>-0.31407</v>
      </c>
      <c r="AC321" s="365"/>
      <c r="AD321" s="365"/>
      <c r="AE321" s="365"/>
      <c r="AF321" s="365"/>
      <c r="AG321" s="365">
        <v>0.9</v>
      </c>
      <c r="AH321" s="365">
        <v>0</v>
      </c>
      <c r="AI321" s="365">
        <v>20.73</v>
      </c>
      <c r="AJ321" s="365"/>
      <c r="AK321" s="365">
        <v>7.7217</v>
      </c>
      <c r="AL321" s="366">
        <f t="shared" si="206"/>
        <v>119.52018</v>
      </c>
      <c r="AM321" s="365">
        <f t="shared" si="253"/>
        <v>78.50255</v>
      </c>
      <c r="AN321" s="365">
        <f t="shared" si="254"/>
        <v>50.871</v>
      </c>
      <c r="AO321" s="365">
        <f t="shared" si="255"/>
        <v>0.59655</v>
      </c>
      <c r="AP321" s="365">
        <f t="shared" si="256"/>
        <v>19.97</v>
      </c>
      <c r="AQ321" s="365">
        <f t="shared" si="257"/>
        <v>7.05</v>
      </c>
      <c r="AR321" s="365">
        <f t="shared" si="258"/>
        <v>0.015</v>
      </c>
      <c r="AS321" s="365">
        <f t="shared" si="222"/>
        <v>41.01763</v>
      </c>
      <c r="AT321" s="365">
        <f t="shared" si="259"/>
        <v>11.66593</v>
      </c>
      <c r="AU321" s="365">
        <f t="shared" si="260"/>
        <v>0</v>
      </c>
      <c r="AV321" s="365">
        <f t="shared" si="261"/>
        <v>0</v>
      </c>
      <c r="AW321" s="365">
        <f t="shared" si="262"/>
        <v>0</v>
      </c>
      <c r="AX321" s="365">
        <f t="shared" si="263"/>
        <v>0</v>
      </c>
      <c r="AY321" s="365">
        <f t="shared" si="264"/>
        <v>0.9</v>
      </c>
      <c r="AZ321" s="365">
        <f t="shared" si="265"/>
        <v>0</v>
      </c>
      <c r="BA321" s="365">
        <f t="shared" si="266"/>
        <v>20.73</v>
      </c>
      <c r="BB321" s="365">
        <f t="shared" si="267"/>
        <v>0</v>
      </c>
      <c r="BC321" s="365">
        <f t="shared" si="268"/>
        <v>7.7217</v>
      </c>
      <c r="BD321" s="363"/>
    </row>
    <row r="322" ht="24" spans="1:56">
      <c r="A322" s="284" t="s">
        <v>540</v>
      </c>
      <c r="B322" s="284" t="s">
        <v>199</v>
      </c>
      <c r="C322" s="284" t="s">
        <v>606</v>
      </c>
      <c r="D322" s="284" t="s">
        <v>594</v>
      </c>
      <c r="E322" s="365">
        <f t="shared" si="249"/>
        <v>90.42</v>
      </c>
      <c r="F322" s="365">
        <f t="shared" si="250"/>
        <v>77.29</v>
      </c>
      <c r="G322" s="365">
        <v>46.98</v>
      </c>
      <c r="H322" s="365">
        <v>1.22</v>
      </c>
      <c r="I322" s="365">
        <v>21.89</v>
      </c>
      <c r="J322" s="365">
        <v>7.2</v>
      </c>
      <c r="K322" s="374"/>
      <c r="L322" s="365">
        <f t="shared" si="251"/>
        <v>13.13</v>
      </c>
      <c r="M322" s="365">
        <v>13.13</v>
      </c>
      <c r="N322" s="365"/>
      <c r="O322" s="365"/>
      <c r="P322" s="365"/>
      <c r="Q322" s="365"/>
      <c r="R322" s="365"/>
      <c r="S322" s="365"/>
      <c r="T322" s="366">
        <f t="shared" si="220"/>
        <v>50.17696</v>
      </c>
      <c r="U322" s="366">
        <f t="shared" si="221"/>
        <v>13.4925</v>
      </c>
      <c r="V322" s="366">
        <v>10.2674</v>
      </c>
      <c r="W322" s="366">
        <v>2.0851</v>
      </c>
      <c r="X322" s="366"/>
      <c r="Y322" s="366">
        <v>0.96</v>
      </c>
      <c r="Z322" s="366">
        <v>0.18</v>
      </c>
      <c r="AA322" s="365">
        <f t="shared" si="252"/>
        <v>36.68446</v>
      </c>
      <c r="AB322" s="365">
        <v>1.25106</v>
      </c>
      <c r="AC322" s="365"/>
      <c r="AD322" s="365"/>
      <c r="AE322" s="365"/>
      <c r="AF322" s="365"/>
      <c r="AG322" s="365">
        <v>0.9</v>
      </c>
      <c r="AH322" s="365">
        <v>0</v>
      </c>
      <c r="AI322" s="365">
        <v>25.77</v>
      </c>
      <c r="AJ322" s="365"/>
      <c r="AK322" s="365">
        <v>8.7634</v>
      </c>
      <c r="AL322" s="366">
        <f t="shared" si="206"/>
        <v>140.59696</v>
      </c>
      <c r="AM322" s="365">
        <f t="shared" si="253"/>
        <v>90.7825</v>
      </c>
      <c r="AN322" s="365">
        <f t="shared" si="254"/>
        <v>57.2474</v>
      </c>
      <c r="AO322" s="365">
        <f t="shared" si="255"/>
        <v>3.3051</v>
      </c>
      <c r="AP322" s="365">
        <f t="shared" si="256"/>
        <v>21.89</v>
      </c>
      <c r="AQ322" s="365">
        <f t="shared" si="257"/>
        <v>8.16</v>
      </c>
      <c r="AR322" s="365">
        <f t="shared" si="258"/>
        <v>0.18</v>
      </c>
      <c r="AS322" s="365">
        <f t="shared" si="222"/>
        <v>49.81446</v>
      </c>
      <c r="AT322" s="365">
        <f t="shared" si="259"/>
        <v>14.38106</v>
      </c>
      <c r="AU322" s="365">
        <f t="shared" si="260"/>
        <v>0</v>
      </c>
      <c r="AV322" s="365">
        <f t="shared" si="261"/>
        <v>0</v>
      </c>
      <c r="AW322" s="365">
        <f t="shared" si="262"/>
        <v>0</v>
      </c>
      <c r="AX322" s="365">
        <f t="shared" si="263"/>
        <v>0</v>
      </c>
      <c r="AY322" s="365">
        <f t="shared" si="264"/>
        <v>0.9</v>
      </c>
      <c r="AZ322" s="365">
        <f t="shared" si="265"/>
        <v>0</v>
      </c>
      <c r="BA322" s="365">
        <f t="shared" si="266"/>
        <v>25.77</v>
      </c>
      <c r="BB322" s="365">
        <f t="shared" si="267"/>
        <v>0</v>
      </c>
      <c r="BC322" s="365">
        <f t="shared" si="268"/>
        <v>8.7634</v>
      </c>
      <c r="BD322" s="363"/>
    </row>
    <row r="323" ht="24" spans="1:56">
      <c r="A323" s="284" t="s">
        <v>540</v>
      </c>
      <c r="B323" s="284" t="s">
        <v>199</v>
      </c>
      <c r="C323" s="284" t="s">
        <v>607</v>
      </c>
      <c r="D323" s="284" t="s">
        <v>594</v>
      </c>
      <c r="E323" s="365">
        <f t="shared" si="249"/>
        <v>145.86</v>
      </c>
      <c r="F323" s="365">
        <f t="shared" si="250"/>
        <v>124.53</v>
      </c>
      <c r="G323" s="365">
        <v>79.12</v>
      </c>
      <c r="H323" s="365">
        <v>1.93</v>
      </c>
      <c r="I323" s="365">
        <v>35.56</v>
      </c>
      <c r="J323" s="365">
        <v>7.92</v>
      </c>
      <c r="K323" s="374"/>
      <c r="L323" s="365">
        <f t="shared" si="251"/>
        <v>21.33</v>
      </c>
      <c r="M323" s="365">
        <v>21.33</v>
      </c>
      <c r="N323" s="365"/>
      <c r="O323" s="365"/>
      <c r="P323" s="365"/>
      <c r="Q323" s="365"/>
      <c r="R323" s="365"/>
      <c r="S323" s="365"/>
      <c r="T323" s="366">
        <f t="shared" si="220"/>
        <v>82.36702</v>
      </c>
      <c r="U323" s="366">
        <f t="shared" si="221"/>
        <v>22.8752</v>
      </c>
      <c r="V323" s="366">
        <v>18.0533</v>
      </c>
      <c r="W323" s="366">
        <v>3.3147</v>
      </c>
      <c r="X323" s="366"/>
      <c r="Y323" s="366">
        <v>0.15</v>
      </c>
      <c r="Z323" s="366">
        <v>1.3572</v>
      </c>
      <c r="AA323" s="365">
        <f t="shared" si="252"/>
        <v>59.49182</v>
      </c>
      <c r="AB323" s="365">
        <v>1.98882</v>
      </c>
      <c r="AC323" s="365"/>
      <c r="AD323" s="365"/>
      <c r="AE323" s="365"/>
      <c r="AF323" s="365"/>
      <c r="AG323" s="365">
        <v>1.65</v>
      </c>
      <c r="AH323" s="365">
        <v>0</v>
      </c>
      <c r="AI323" s="365">
        <v>41.16</v>
      </c>
      <c r="AJ323" s="365"/>
      <c r="AK323" s="365">
        <v>14.693</v>
      </c>
      <c r="AL323" s="366">
        <f t="shared" si="206"/>
        <v>228.22702</v>
      </c>
      <c r="AM323" s="365">
        <f t="shared" si="253"/>
        <v>147.4052</v>
      </c>
      <c r="AN323" s="365">
        <f t="shared" si="254"/>
        <v>97.1733</v>
      </c>
      <c r="AO323" s="365">
        <f t="shared" si="255"/>
        <v>5.2447</v>
      </c>
      <c r="AP323" s="365">
        <f t="shared" si="256"/>
        <v>35.56</v>
      </c>
      <c r="AQ323" s="365">
        <f t="shared" si="257"/>
        <v>8.07</v>
      </c>
      <c r="AR323" s="365">
        <f t="shared" si="258"/>
        <v>1.3572</v>
      </c>
      <c r="AS323" s="365">
        <f t="shared" si="222"/>
        <v>80.82182</v>
      </c>
      <c r="AT323" s="365">
        <f t="shared" si="259"/>
        <v>23.31882</v>
      </c>
      <c r="AU323" s="365">
        <f t="shared" si="260"/>
        <v>0</v>
      </c>
      <c r="AV323" s="365">
        <f t="shared" si="261"/>
        <v>0</v>
      </c>
      <c r="AW323" s="365">
        <f t="shared" si="262"/>
        <v>0</v>
      </c>
      <c r="AX323" s="365">
        <f t="shared" si="263"/>
        <v>0</v>
      </c>
      <c r="AY323" s="365">
        <f t="shared" si="264"/>
        <v>1.65</v>
      </c>
      <c r="AZ323" s="365">
        <f t="shared" si="265"/>
        <v>0</v>
      </c>
      <c r="BA323" s="365">
        <f t="shared" si="266"/>
        <v>41.16</v>
      </c>
      <c r="BB323" s="365">
        <f t="shared" si="267"/>
        <v>0</v>
      </c>
      <c r="BC323" s="365">
        <f t="shared" si="268"/>
        <v>14.693</v>
      </c>
      <c r="BD323" s="363"/>
    </row>
    <row r="324" ht="24" spans="1:56">
      <c r="A324" s="284" t="s">
        <v>540</v>
      </c>
      <c r="B324" s="284" t="s">
        <v>199</v>
      </c>
      <c r="C324" s="284" t="s">
        <v>608</v>
      </c>
      <c r="D324" s="284" t="s">
        <v>594</v>
      </c>
      <c r="E324" s="365">
        <f t="shared" si="249"/>
        <v>106.14</v>
      </c>
      <c r="F324" s="365">
        <f t="shared" si="250"/>
        <v>90.77</v>
      </c>
      <c r="G324" s="365">
        <v>57.24</v>
      </c>
      <c r="H324" s="365">
        <v>1.43</v>
      </c>
      <c r="I324" s="365">
        <v>25.62</v>
      </c>
      <c r="J324" s="365">
        <v>6.48</v>
      </c>
      <c r="K324" s="374"/>
      <c r="L324" s="365">
        <f t="shared" si="251"/>
        <v>15.37</v>
      </c>
      <c r="M324" s="365">
        <v>15.37</v>
      </c>
      <c r="N324" s="365"/>
      <c r="O324" s="365"/>
      <c r="P324" s="365"/>
      <c r="Q324" s="365"/>
      <c r="R324" s="365"/>
      <c r="S324" s="365"/>
      <c r="T324" s="366">
        <f t="shared" si="220"/>
        <v>65.0814</v>
      </c>
      <c r="U324" s="366">
        <f t="shared" si="221"/>
        <v>20.69</v>
      </c>
      <c r="V324" s="366">
        <v>16.12</v>
      </c>
      <c r="W324" s="366">
        <v>3.48</v>
      </c>
      <c r="X324" s="366"/>
      <c r="Y324" s="366">
        <v>0.9</v>
      </c>
      <c r="Z324" s="366">
        <v>0.19</v>
      </c>
      <c r="AA324" s="365">
        <f t="shared" si="252"/>
        <v>44.3914</v>
      </c>
      <c r="AB324" s="365">
        <v>2.088</v>
      </c>
      <c r="AC324" s="365"/>
      <c r="AD324" s="365"/>
      <c r="AE324" s="365"/>
      <c r="AF324" s="365"/>
      <c r="AG324" s="365">
        <v>1.2</v>
      </c>
      <c r="AH324" s="365">
        <v>0</v>
      </c>
      <c r="AI324" s="365">
        <v>30.33</v>
      </c>
      <c r="AJ324" s="365"/>
      <c r="AK324" s="365">
        <v>10.7734</v>
      </c>
      <c r="AL324" s="366">
        <f t="shared" si="206"/>
        <v>171.2214</v>
      </c>
      <c r="AM324" s="365">
        <f t="shared" si="253"/>
        <v>111.46</v>
      </c>
      <c r="AN324" s="365">
        <f t="shared" si="254"/>
        <v>73.36</v>
      </c>
      <c r="AO324" s="365">
        <f t="shared" si="255"/>
        <v>4.91</v>
      </c>
      <c r="AP324" s="365">
        <f t="shared" si="256"/>
        <v>25.62</v>
      </c>
      <c r="AQ324" s="365">
        <f t="shared" si="257"/>
        <v>7.38</v>
      </c>
      <c r="AR324" s="365">
        <f t="shared" si="258"/>
        <v>0.19</v>
      </c>
      <c r="AS324" s="365">
        <f t="shared" si="222"/>
        <v>59.7614</v>
      </c>
      <c r="AT324" s="365">
        <f t="shared" si="259"/>
        <v>17.458</v>
      </c>
      <c r="AU324" s="365">
        <f t="shared" si="260"/>
        <v>0</v>
      </c>
      <c r="AV324" s="365">
        <f t="shared" si="261"/>
        <v>0</v>
      </c>
      <c r="AW324" s="365">
        <f t="shared" si="262"/>
        <v>0</v>
      </c>
      <c r="AX324" s="365">
        <f t="shared" si="263"/>
        <v>0</v>
      </c>
      <c r="AY324" s="365">
        <f t="shared" si="264"/>
        <v>1.2</v>
      </c>
      <c r="AZ324" s="365">
        <f t="shared" si="265"/>
        <v>0</v>
      </c>
      <c r="BA324" s="365">
        <f t="shared" si="266"/>
        <v>30.33</v>
      </c>
      <c r="BB324" s="365">
        <f t="shared" si="267"/>
        <v>0</v>
      </c>
      <c r="BC324" s="365">
        <f t="shared" si="268"/>
        <v>10.7734</v>
      </c>
      <c r="BD324" s="363"/>
    </row>
    <row r="325" ht="36" spans="1:57">
      <c r="A325" s="284" t="s">
        <v>540</v>
      </c>
      <c r="B325" s="284" t="s">
        <v>199</v>
      </c>
      <c r="C325" s="284" t="s">
        <v>609</v>
      </c>
      <c r="D325" s="284" t="s">
        <v>610</v>
      </c>
      <c r="E325" s="365">
        <f t="shared" si="249"/>
        <v>467.43</v>
      </c>
      <c r="F325" s="365">
        <f t="shared" si="250"/>
        <v>226.83</v>
      </c>
      <c r="G325" s="365">
        <v>149.2</v>
      </c>
      <c r="H325" s="365">
        <v>0.01</v>
      </c>
      <c r="I325" s="365">
        <v>55.2</v>
      </c>
      <c r="J325" s="365"/>
      <c r="K325" s="365">
        <v>22.42</v>
      </c>
      <c r="L325" s="365">
        <f t="shared" si="251"/>
        <v>240.6</v>
      </c>
      <c r="M325" s="365">
        <v>33.12</v>
      </c>
      <c r="N325" s="365"/>
      <c r="O325" s="365"/>
      <c r="P325" s="365">
        <v>2.48</v>
      </c>
      <c r="Q325" s="365"/>
      <c r="R325" s="365"/>
      <c r="S325" s="365">
        <v>205</v>
      </c>
      <c r="T325" s="366">
        <f t="shared" si="220"/>
        <v>-89.81264</v>
      </c>
      <c r="U325" s="366">
        <f t="shared" si="221"/>
        <v>17.4445</v>
      </c>
      <c r="V325" s="366">
        <v>17.7399</v>
      </c>
      <c r="W325" s="366">
        <v>0.0381</v>
      </c>
      <c r="X325" s="366"/>
      <c r="Y325" s="366"/>
      <c r="Z325" s="366">
        <v>-0.3335</v>
      </c>
      <c r="AA325" s="365">
        <f t="shared" si="252"/>
        <v>-107.25714</v>
      </c>
      <c r="AB325" s="365">
        <v>0.02286</v>
      </c>
      <c r="AC325" s="365"/>
      <c r="AD325" s="365"/>
      <c r="AE325" s="365"/>
      <c r="AF325" s="365"/>
      <c r="AG325" s="365">
        <v>1.05</v>
      </c>
      <c r="AH325" s="365">
        <v>-205</v>
      </c>
      <c r="AI325" s="365">
        <v>54.5</v>
      </c>
      <c r="AJ325" s="365">
        <v>21</v>
      </c>
      <c r="AK325" s="365">
        <v>21.17</v>
      </c>
      <c r="AL325" s="366">
        <f t="shared" si="206"/>
        <v>377.61736</v>
      </c>
      <c r="AM325" s="365">
        <f t="shared" si="253"/>
        <v>244.2745</v>
      </c>
      <c r="AN325" s="365">
        <f t="shared" si="254"/>
        <v>166.9399</v>
      </c>
      <c r="AO325" s="365">
        <f t="shared" si="255"/>
        <v>0.0481</v>
      </c>
      <c r="AP325" s="365">
        <f t="shared" si="256"/>
        <v>55.2</v>
      </c>
      <c r="AQ325" s="365">
        <f t="shared" si="257"/>
        <v>0</v>
      </c>
      <c r="AR325" s="365">
        <f t="shared" si="258"/>
        <v>22.0865</v>
      </c>
      <c r="AS325" s="365">
        <f t="shared" si="222"/>
        <v>133.34286</v>
      </c>
      <c r="AT325" s="365">
        <f t="shared" si="259"/>
        <v>33.14286</v>
      </c>
      <c r="AU325" s="365">
        <f t="shared" si="260"/>
        <v>0</v>
      </c>
      <c r="AV325" s="365">
        <f t="shared" si="261"/>
        <v>0</v>
      </c>
      <c r="AW325" s="365">
        <f t="shared" si="262"/>
        <v>2.48</v>
      </c>
      <c r="AX325" s="365">
        <f t="shared" si="263"/>
        <v>0</v>
      </c>
      <c r="AY325" s="365">
        <f t="shared" si="264"/>
        <v>1.05</v>
      </c>
      <c r="AZ325" s="365">
        <f t="shared" si="265"/>
        <v>0</v>
      </c>
      <c r="BA325" s="365">
        <f t="shared" si="266"/>
        <v>54.5</v>
      </c>
      <c r="BB325" s="365">
        <f t="shared" si="267"/>
        <v>21</v>
      </c>
      <c r="BC325" s="365">
        <f t="shared" si="268"/>
        <v>21.17</v>
      </c>
      <c r="BD325" s="363"/>
      <c r="BE325">
        <v>21.17</v>
      </c>
    </row>
    <row r="326" ht="36" spans="1:57">
      <c r="A326" s="284" t="s">
        <v>540</v>
      </c>
      <c r="B326" s="284" t="s">
        <v>196</v>
      </c>
      <c r="C326" s="284" t="s">
        <v>795</v>
      </c>
      <c r="D326" s="284" t="s">
        <v>612</v>
      </c>
      <c r="E326" s="365">
        <f t="shared" si="249"/>
        <v>0</v>
      </c>
      <c r="F326" s="365">
        <f t="shared" si="250"/>
        <v>0</v>
      </c>
      <c r="G326" s="365"/>
      <c r="H326" s="365"/>
      <c r="I326" s="365"/>
      <c r="J326" s="365"/>
      <c r="K326" s="365"/>
      <c r="L326" s="365">
        <f t="shared" si="251"/>
        <v>0</v>
      </c>
      <c r="M326" s="365"/>
      <c r="N326" s="365"/>
      <c r="O326" s="365"/>
      <c r="P326" s="365"/>
      <c r="Q326" s="365"/>
      <c r="R326" s="365"/>
      <c r="S326" s="365"/>
      <c r="T326" s="366">
        <f t="shared" si="220"/>
        <v>0</v>
      </c>
      <c r="U326" s="366">
        <f t="shared" si="221"/>
        <v>0</v>
      </c>
      <c r="V326" s="366"/>
      <c r="W326" s="366"/>
      <c r="X326" s="366"/>
      <c r="Y326" s="366"/>
      <c r="Z326" s="366"/>
      <c r="AA326" s="365">
        <f t="shared" si="252"/>
        <v>0</v>
      </c>
      <c r="AB326" s="365"/>
      <c r="AC326" s="365"/>
      <c r="AD326" s="365"/>
      <c r="AE326" s="365"/>
      <c r="AF326" s="365"/>
      <c r="AG326" s="365"/>
      <c r="AH326" s="365">
        <v>0</v>
      </c>
      <c r="AI326" s="365"/>
      <c r="AJ326" s="365"/>
      <c r="AK326" s="365"/>
      <c r="AL326" s="366">
        <f t="shared" si="206"/>
        <v>0</v>
      </c>
      <c r="AM326" s="365">
        <f t="shared" si="253"/>
        <v>0</v>
      </c>
      <c r="AN326" s="365">
        <f t="shared" si="254"/>
        <v>0</v>
      </c>
      <c r="AO326" s="365">
        <f t="shared" si="255"/>
        <v>0</v>
      </c>
      <c r="AP326" s="365">
        <f t="shared" si="256"/>
        <v>0</v>
      </c>
      <c r="AQ326" s="365">
        <f t="shared" si="257"/>
        <v>0</v>
      </c>
      <c r="AR326" s="365">
        <f t="shared" si="258"/>
        <v>0</v>
      </c>
      <c r="AS326" s="365">
        <f t="shared" si="222"/>
        <v>0</v>
      </c>
      <c r="AT326" s="365">
        <f t="shared" si="259"/>
        <v>0</v>
      </c>
      <c r="AU326" s="365">
        <f t="shared" si="260"/>
        <v>0</v>
      </c>
      <c r="AV326" s="365">
        <f t="shared" si="261"/>
        <v>0</v>
      </c>
      <c r="AW326" s="365">
        <f t="shared" si="262"/>
        <v>0</v>
      </c>
      <c r="AX326" s="365">
        <f t="shared" si="263"/>
        <v>0</v>
      </c>
      <c r="AY326" s="365">
        <f t="shared" si="264"/>
        <v>0</v>
      </c>
      <c r="AZ326" s="365">
        <f t="shared" si="265"/>
        <v>0</v>
      </c>
      <c r="BA326" s="365">
        <f t="shared" si="266"/>
        <v>0</v>
      </c>
      <c r="BB326" s="365">
        <f t="shared" si="267"/>
        <v>0</v>
      </c>
      <c r="BC326" s="365">
        <f t="shared" si="268"/>
        <v>0</v>
      </c>
      <c r="BD326" s="363"/>
      <c r="BE326">
        <v>5.3524</v>
      </c>
    </row>
    <row r="327" ht="36" spans="1:57">
      <c r="A327" s="284" t="s">
        <v>540</v>
      </c>
      <c r="B327" s="284" t="s">
        <v>199</v>
      </c>
      <c r="C327" s="284" t="s">
        <v>613</v>
      </c>
      <c r="D327" s="284" t="s">
        <v>614</v>
      </c>
      <c r="E327" s="365">
        <f t="shared" si="249"/>
        <v>426.81</v>
      </c>
      <c r="F327" s="365">
        <f t="shared" si="250"/>
        <v>365.02</v>
      </c>
      <c r="G327" s="365">
        <v>252.94</v>
      </c>
      <c r="H327" s="365">
        <v>11.85</v>
      </c>
      <c r="I327" s="365">
        <v>100.23</v>
      </c>
      <c r="J327" s="365"/>
      <c r="K327" s="365"/>
      <c r="L327" s="365">
        <f t="shared" si="251"/>
        <v>61.79</v>
      </c>
      <c r="M327" s="365">
        <v>60.14</v>
      </c>
      <c r="N327" s="365"/>
      <c r="O327" s="365"/>
      <c r="P327" s="365"/>
      <c r="Q327" s="365"/>
      <c r="R327" s="374">
        <v>1.65</v>
      </c>
      <c r="S327" s="365"/>
      <c r="T327" s="366">
        <f t="shared" si="220"/>
        <v>232.2885</v>
      </c>
      <c r="U327" s="366">
        <f t="shared" si="221"/>
        <v>61.1498</v>
      </c>
      <c r="V327" s="366">
        <v>51.4788</v>
      </c>
      <c r="W327" s="366">
        <v>8.4025</v>
      </c>
      <c r="X327" s="366"/>
      <c r="Y327" s="366"/>
      <c r="Z327" s="366">
        <v>1.2685</v>
      </c>
      <c r="AA327" s="365">
        <f t="shared" si="252"/>
        <v>171.1387</v>
      </c>
      <c r="AB327" s="365">
        <v>5.0415</v>
      </c>
      <c r="AC327" s="365"/>
      <c r="AD327" s="365"/>
      <c r="AE327" s="365"/>
      <c r="AF327" s="365"/>
      <c r="AG327" s="365">
        <f>0.15+1.95</f>
        <v>2.1</v>
      </c>
      <c r="AH327" s="365">
        <v>0</v>
      </c>
      <c r="AI327" s="365">
        <v>112.85</v>
      </c>
      <c r="AJ327" s="365">
        <v>29</v>
      </c>
      <c r="AK327" s="365">
        <v>22.1472</v>
      </c>
      <c r="AL327" s="366">
        <f t="shared" ref="AL327:AL390" si="269">AM327+AS327</f>
        <v>659.0985</v>
      </c>
      <c r="AM327" s="365">
        <f t="shared" si="253"/>
        <v>426.1698</v>
      </c>
      <c r="AN327" s="365">
        <f t="shared" si="254"/>
        <v>304.4188</v>
      </c>
      <c r="AO327" s="365">
        <f t="shared" si="255"/>
        <v>20.2525</v>
      </c>
      <c r="AP327" s="365">
        <f t="shared" si="256"/>
        <v>100.23</v>
      </c>
      <c r="AQ327" s="365">
        <f t="shared" si="257"/>
        <v>0</v>
      </c>
      <c r="AR327" s="365">
        <f t="shared" si="258"/>
        <v>1.2685</v>
      </c>
      <c r="AS327" s="365">
        <f t="shared" si="222"/>
        <v>232.9287</v>
      </c>
      <c r="AT327" s="365">
        <f t="shared" si="259"/>
        <v>65.1815</v>
      </c>
      <c r="AU327" s="365">
        <f t="shared" si="260"/>
        <v>0</v>
      </c>
      <c r="AV327" s="365">
        <f t="shared" si="261"/>
        <v>0</v>
      </c>
      <c r="AW327" s="365">
        <f t="shared" si="262"/>
        <v>0</v>
      </c>
      <c r="AX327" s="365">
        <f t="shared" si="263"/>
        <v>0</v>
      </c>
      <c r="AY327" s="365">
        <f t="shared" si="264"/>
        <v>3.75</v>
      </c>
      <c r="AZ327" s="365">
        <f t="shared" si="265"/>
        <v>0</v>
      </c>
      <c r="BA327" s="365">
        <f t="shared" si="266"/>
        <v>112.85</v>
      </c>
      <c r="BB327" s="365">
        <f t="shared" si="267"/>
        <v>29</v>
      </c>
      <c r="BC327" s="365">
        <f t="shared" si="268"/>
        <v>22.1472</v>
      </c>
      <c r="BD327" s="363"/>
      <c r="BE327">
        <v>22.1472</v>
      </c>
    </row>
    <row r="328" ht="36" spans="1:57">
      <c r="A328" s="284" t="s">
        <v>540</v>
      </c>
      <c r="B328" s="284" t="s">
        <v>196</v>
      </c>
      <c r="C328" s="284" t="s">
        <v>615</v>
      </c>
      <c r="D328" s="284" t="s">
        <v>616</v>
      </c>
      <c r="E328" s="365">
        <f t="shared" si="249"/>
        <v>0</v>
      </c>
      <c r="F328" s="365">
        <f t="shared" si="250"/>
        <v>0</v>
      </c>
      <c r="G328" s="365"/>
      <c r="H328" s="365"/>
      <c r="I328" s="365"/>
      <c r="J328" s="365"/>
      <c r="K328" s="365"/>
      <c r="L328" s="365">
        <f t="shared" si="251"/>
        <v>0</v>
      </c>
      <c r="M328" s="365"/>
      <c r="N328" s="365"/>
      <c r="O328" s="365"/>
      <c r="P328" s="365"/>
      <c r="Q328" s="365"/>
      <c r="R328" s="365"/>
      <c r="S328" s="365"/>
      <c r="T328" s="366">
        <f t="shared" ref="T328:T391" si="270">U328+AA328</f>
        <v>0</v>
      </c>
      <c r="U328" s="366">
        <f t="shared" si="221"/>
        <v>0</v>
      </c>
      <c r="V328" s="366"/>
      <c r="W328" s="366"/>
      <c r="X328" s="366"/>
      <c r="Y328" s="366"/>
      <c r="Z328" s="366"/>
      <c r="AA328" s="365">
        <f t="shared" si="252"/>
        <v>0</v>
      </c>
      <c r="AB328" s="365"/>
      <c r="AC328" s="365"/>
      <c r="AD328" s="365"/>
      <c r="AE328" s="365"/>
      <c r="AF328" s="365"/>
      <c r="AG328" s="365"/>
      <c r="AH328" s="365">
        <v>0</v>
      </c>
      <c r="AI328" s="365"/>
      <c r="AJ328" s="365"/>
      <c r="AK328" s="365"/>
      <c r="AL328" s="366">
        <f t="shared" si="269"/>
        <v>0</v>
      </c>
      <c r="AM328" s="365">
        <f t="shared" si="253"/>
        <v>0</v>
      </c>
      <c r="AN328" s="365">
        <f t="shared" si="254"/>
        <v>0</v>
      </c>
      <c r="AO328" s="365">
        <f t="shared" si="255"/>
        <v>0</v>
      </c>
      <c r="AP328" s="365">
        <f t="shared" si="256"/>
        <v>0</v>
      </c>
      <c r="AQ328" s="365">
        <f t="shared" si="257"/>
        <v>0</v>
      </c>
      <c r="AR328" s="365">
        <f t="shared" si="258"/>
        <v>0</v>
      </c>
      <c r="AS328" s="365">
        <f t="shared" si="222"/>
        <v>0</v>
      </c>
      <c r="AT328" s="365">
        <f t="shared" si="259"/>
        <v>0</v>
      </c>
      <c r="AU328" s="365">
        <f t="shared" si="260"/>
        <v>0</v>
      </c>
      <c r="AV328" s="365">
        <f t="shared" si="261"/>
        <v>0</v>
      </c>
      <c r="AW328" s="365">
        <f t="shared" si="262"/>
        <v>0</v>
      </c>
      <c r="AX328" s="365">
        <f t="shared" si="263"/>
        <v>0</v>
      </c>
      <c r="AY328" s="365">
        <f t="shared" si="264"/>
        <v>0</v>
      </c>
      <c r="AZ328" s="365">
        <f t="shared" si="265"/>
        <v>0</v>
      </c>
      <c r="BA328" s="365">
        <f t="shared" si="266"/>
        <v>0</v>
      </c>
      <c r="BB328" s="365">
        <f t="shared" si="267"/>
        <v>0</v>
      </c>
      <c r="BC328" s="365">
        <f t="shared" si="268"/>
        <v>0</v>
      </c>
      <c r="BD328" s="363"/>
      <c r="BE328">
        <v>4.4444</v>
      </c>
    </row>
    <row r="329" s="311" customFormat="1" ht="21" customHeight="1" spans="1:57">
      <c r="A329" s="328"/>
      <c r="B329" s="329" t="s">
        <v>751</v>
      </c>
      <c r="C329" s="329" t="s">
        <v>140</v>
      </c>
      <c r="D329" s="329">
        <v>212</v>
      </c>
      <c r="E329" s="364">
        <f t="shared" ref="E329:S329" si="271">SUM(E330:E344)</f>
        <v>1157.9083</v>
      </c>
      <c r="F329" s="364">
        <f t="shared" si="271"/>
        <v>473.71</v>
      </c>
      <c r="G329" s="364">
        <f t="shared" si="271"/>
        <v>341.79</v>
      </c>
      <c r="H329" s="364">
        <f t="shared" si="271"/>
        <v>0.46</v>
      </c>
      <c r="I329" s="364">
        <f t="shared" si="271"/>
        <v>131.46</v>
      </c>
      <c r="J329" s="364">
        <f t="shared" si="271"/>
        <v>0</v>
      </c>
      <c r="K329" s="364">
        <f t="shared" si="271"/>
        <v>0</v>
      </c>
      <c r="L329" s="364">
        <f t="shared" si="271"/>
        <v>684.1983</v>
      </c>
      <c r="M329" s="364">
        <f t="shared" si="271"/>
        <v>78.9</v>
      </c>
      <c r="N329" s="364">
        <f t="shared" si="271"/>
        <v>0</v>
      </c>
      <c r="O329" s="364">
        <f t="shared" si="271"/>
        <v>0</v>
      </c>
      <c r="P329" s="364">
        <f t="shared" si="271"/>
        <v>88.4883</v>
      </c>
      <c r="Q329" s="364">
        <f t="shared" si="271"/>
        <v>0</v>
      </c>
      <c r="R329" s="364">
        <f t="shared" si="271"/>
        <v>73.81</v>
      </c>
      <c r="S329" s="364">
        <f t="shared" si="271"/>
        <v>443</v>
      </c>
      <c r="T329" s="364">
        <f t="shared" si="270"/>
        <v>-147.65489</v>
      </c>
      <c r="U329" s="364">
        <f t="shared" ref="U329:AK329" si="272">SUM(U330:U344)</f>
        <v>54.30555</v>
      </c>
      <c r="V329" s="364">
        <f t="shared" si="272"/>
        <v>49.20555</v>
      </c>
      <c r="W329" s="364">
        <f t="shared" si="272"/>
        <v>5.1</v>
      </c>
      <c r="X329" s="364">
        <f t="shared" si="272"/>
        <v>0</v>
      </c>
      <c r="Y329" s="364">
        <f t="shared" si="272"/>
        <v>0</v>
      </c>
      <c r="Z329" s="364">
        <f t="shared" si="272"/>
        <v>0</v>
      </c>
      <c r="AA329" s="364">
        <f t="shared" si="272"/>
        <v>-201.96044</v>
      </c>
      <c r="AB329" s="364">
        <f t="shared" si="272"/>
        <v>2.24886</v>
      </c>
      <c r="AC329" s="364">
        <f t="shared" si="272"/>
        <v>0</v>
      </c>
      <c r="AD329" s="364">
        <f t="shared" si="272"/>
        <v>0</v>
      </c>
      <c r="AE329" s="364">
        <f t="shared" si="272"/>
        <v>0</v>
      </c>
      <c r="AF329" s="364">
        <f t="shared" si="272"/>
        <v>0</v>
      </c>
      <c r="AG329" s="364">
        <f t="shared" si="272"/>
        <v>3.2323</v>
      </c>
      <c r="AH329" s="364">
        <f t="shared" si="272"/>
        <v>-443</v>
      </c>
      <c r="AI329" s="364">
        <f t="shared" si="272"/>
        <v>109.5</v>
      </c>
      <c r="AJ329" s="364">
        <f t="shared" si="272"/>
        <v>74</v>
      </c>
      <c r="AK329" s="364">
        <f t="shared" si="272"/>
        <v>52.0584</v>
      </c>
      <c r="AL329" s="364">
        <f t="shared" si="269"/>
        <v>1010.25341</v>
      </c>
      <c r="AM329" s="364">
        <f t="shared" ref="AM329:BC329" si="273">SUM(AM330:AM344)</f>
        <v>528.01555</v>
      </c>
      <c r="AN329" s="364">
        <f t="shared" si="273"/>
        <v>390.99555</v>
      </c>
      <c r="AO329" s="364">
        <f t="shared" si="273"/>
        <v>5.56</v>
      </c>
      <c r="AP329" s="364">
        <f t="shared" si="273"/>
        <v>131.46</v>
      </c>
      <c r="AQ329" s="364">
        <f t="shared" si="273"/>
        <v>0</v>
      </c>
      <c r="AR329" s="364">
        <f t="shared" si="273"/>
        <v>0</v>
      </c>
      <c r="AS329" s="364">
        <f t="shared" si="273"/>
        <v>482.23786</v>
      </c>
      <c r="AT329" s="364">
        <f t="shared" si="273"/>
        <v>81.14886</v>
      </c>
      <c r="AU329" s="364">
        <f t="shared" si="273"/>
        <v>0</v>
      </c>
      <c r="AV329" s="364">
        <f t="shared" si="273"/>
        <v>0</v>
      </c>
      <c r="AW329" s="364">
        <f t="shared" si="273"/>
        <v>88.4883</v>
      </c>
      <c r="AX329" s="364">
        <f t="shared" si="273"/>
        <v>0</v>
      </c>
      <c r="AY329" s="364">
        <f t="shared" si="273"/>
        <v>77.0423</v>
      </c>
      <c r="AZ329" s="364">
        <f t="shared" si="273"/>
        <v>0</v>
      </c>
      <c r="BA329" s="364">
        <f t="shared" si="273"/>
        <v>109.5</v>
      </c>
      <c r="BB329" s="364">
        <f t="shared" si="273"/>
        <v>74</v>
      </c>
      <c r="BC329" s="364">
        <f t="shared" si="273"/>
        <v>52.0584</v>
      </c>
      <c r="BD329" s="372"/>
      <c r="BE329" s="373"/>
    </row>
    <row r="330" ht="24" spans="1:57">
      <c r="A330" s="284" t="s">
        <v>290</v>
      </c>
      <c r="B330" s="284" t="s">
        <v>196</v>
      </c>
      <c r="C330" s="284" t="s">
        <v>617</v>
      </c>
      <c r="D330" s="284" t="s">
        <v>618</v>
      </c>
      <c r="E330" s="365">
        <f t="shared" ref="E330:E344" si="274">F330+L330</f>
        <v>0</v>
      </c>
      <c r="F330" s="365">
        <f t="shared" ref="F330:F344" si="275">SUM(G330:K330)</f>
        <v>0</v>
      </c>
      <c r="G330" s="365"/>
      <c r="H330" s="365"/>
      <c r="I330" s="365"/>
      <c r="J330" s="365"/>
      <c r="K330" s="365"/>
      <c r="L330" s="365">
        <f t="shared" ref="L330:L344" si="276">SUM(M330:S330)</f>
        <v>0</v>
      </c>
      <c r="M330" s="365"/>
      <c r="N330" s="365"/>
      <c r="O330" s="365"/>
      <c r="P330" s="365"/>
      <c r="Q330" s="365"/>
      <c r="R330" s="365"/>
      <c r="S330" s="365"/>
      <c r="T330" s="366">
        <f t="shared" si="270"/>
        <v>0</v>
      </c>
      <c r="U330" s="366">
        <f t="shared" si="221"/>
        <v>0</v>
      </c>
      <c r="V330" s="366"/>
      <c r="W330" s="366"/>
      <c r="X330" s="366"/>
      <c r="Y330" s="366"/>
      <c r="Z330" s="366"/>
      <c r="AA330" s="365">
        <f t="shared" ref="AA330:AA344" si="277">SUM(AB330:AK330)</f>
        <v>0</v>
      </c>
      <c r="AB330" s="365"/>
      <c r="AC330" s="365"/>
      <c r="AD330" s="365"/>
      <c r="AE330" s="365"/>
      <c r="AF330" s="365"/>
      <c r="AG330" s="365"/>
      <c r="AH330" s="365">
        <v>0</v>
      </c>
      <c r="AI330" s="365"/>
      <c r="AJ330" s="365"/>
      <c r="AK330" s="365"/>
      <c r="AL330" s="366">
        <f t="shared" si="269"/>
        <v>0</v>
      </c>
      <c r="AM330" s="365">
        <f t="shared" ref="AM330:AM344" si="278">SUM(AN330:AR330)</f>
        <v>0</v>
      </c>
      <c r="AN330" s="365">
        <f t="shared" ref="AN330:AN344" si="279">G330+V330</f>
        <v>0</v>
      </c>
      <c r="AO330" s="365">
        <f t="shared" ref="AO330:AO344" si="280">H330+W330</f>
        <v>0</v>
      </c>
      <c r="AP330" s="365">
        <f t="shared" ref="AP330:AP344" si="281">I330+X330</f>
        <v>0</v>
      </c>
      <c r="AQ330" s="365">
        <f t="shared" ref="AQ330:AQ344" si="282">J330+Y330</f>
        <v>0</v>
      </c>
      <c r="AR330" s="365">
        <f t="shared" ref="AR330:AR344" si="283">K330+Z330</f>
        <v>0</v>
      </c>
      <c r="AS330" s="365">
        <f t="shared" si="222"/>
        <v>0</v>
      </c>
      <c r="AT330" s="365">
        <f t="shared" ref="AT330:AT344" si="284">M330+AB330</f>
        <v>0</v>
      </c>
      <c r="AU330" s="365">
        <f t="shared" ref="AU330:AU344" si="285">N330+AC330</f>
        <v>0</v>
      </c>
      <c r="AV330" s="365">
        <f t="shared" ref="AV330:AV344" si="286">O330+AD330</f>
        <v>0</v>
      </c>
      <c r="AW330" s="365">
        <f t="shared" ref="AW330:AW344" si="287">P330+AE330</f>
        <v>0</v>
      </c>
      <c r="AX330" s="365">
        <f t="shared" ref="AX330:AX344" si="288">Q330+AF330</f>
        <v>0</v>
      </c>
      <c r="AY330" s="365">
        <f t="shared" ref="AY330:AY344" si="289">R330+AG330</f>
        <v>0</v>
      </c>
      <c r="AZ330" s="365">
        <f t="shared" ref="AZ330:AZ344" si="290">S330+AH330</f>
        <v>0</v>
      </c>
      <c r="BA330" s="365">
        <f t="shared" ref="BA330:BA344" si="291">AI330</f>
        <v>0</v>
      </c>
      <c r="BB330" s="365">
        <f t="shared" ref="BB330:BB344" si="292">AJ330</f>
        <v>0</v>
      </c>
      <c r="BC330" s="365">
        <f t="shared" ref="BC330:BC344" si="293">AK330</f>
        <v>0</v>
      </c>
      <c r="BD330" s="363"/>
      <c r="BE330">
        <v>13.8778</v>
      </c>
    </row>
    <row r="331" ht="24" spans="1:57">
      <c r="A331" s="284" t="s">
        <v>290</v>
      </c>
      <c r="B331" s="284" t="s">
        <v>196</v>
      </c>
      <c r="C331" s="284" t="s">
        <v>619</v>
      </c>
      <c r="D331" s="284" t="s">
        <v>620</v>
      </c>
      <c r="E331" s="365">
        <f t="shared" si="274"/>
        <v>0</v>
      </c>
      <c r="F331" s="365">
        <f t="shared" si="275"/>
        <v>0</v>
      </c>
      <c r="G331" s="365"/>
      <c r="H331" s="365"/>
      <c r="I331" s="365"/>
      <c r="J331" s="365"/>
      <c r="K331" s="365"/>
      <c r="L331" s="365">
        <f t="shared" si="276"/>
        <v>0</v>
      </c>
      <c r="M331" s="365"/>
      <c r="N331" s="365"/>
      <c r="O331" s="365"/>
      <c r="P331" s="365"/>
      <c r="Q331" s="365"/>
      <c r="R331" s="371"/>
      <c r="S331" s="365"/>
      <c r="T331" s="366">
        <f t="shared" si="270"/>
        <v>0</v>
      </c>
      <c r="U331" s="366">
        <f t="shared" ref="U331:U389" si="294">SUM(V331:Z331)</f>
        <v>0</v>
      </c>
      <c r="V331" s="366"/>
      <c r="W331" s="366"/>
      <c r="X331" s="366"/>
      <c r="Y331" s="366"/>
      <c r="Z331" s="366"/>
      <c r="AA331" s="365">
        <f t="shared" si="277"/>
        <v>0</v>
      </c>
      <c r="AB331" s="365"/>
      <c r="AC331" s="365"/>
      <c r="AD331" s="365"/>
      <c r="AE331" s="365"/>
      <c r="AF331" s="365"/>
      <c r="AG331" s="365"/>
      <c r="AH331" s="365">
        <v>0</v>
      </c>
      <c r="AI331" s="365"/>
      <c r="AJ331" s="365"/>
      <c r="AK331" s="365"/>
      <c r="AL331" s="366">
        <f t="shared" si="269"/>
        <v>0</v>
      </c>
      <c r="AM331" s="365">
        <f t="shared" si="278"/>
        <v>0</v>
      </c>
      <c r="AN331" s="365">
        <f t="shared" si="279"/>
        <v>0</v>
      </c>
      <c r="AO331" s="365">
        <f t="shared" si="280"/>
        <v>0</v>
      </c>
      <c r="AP331" s="365">
        <f t="shared" si="281"/>
        <v>0</v>
      </c>
      <c r="AQ331" s="365">
        <f t="shared" si="282"/>
        <v>0</v>
      </c>
      <c r="AR331" s="365">
        <f t="shared" si="283"/>
        <v>0</v>
      </c>
      <c r="AS331" s="365">
        <f t="shared" ref="AS331:AS389" si="295">SUM(AT331:BC331)</f>
        <v>0</v>
      </c>
      <c r="AT331" s="365">
        <f t="shared" si="284"/>
        <v>0</v>
      </c>
      <c r="AU331" s="365">
        <f t="shared" si="285"/>
        <v>0</v>
      </c>
      <c r="AV331" s="365">
        <f t="shared" si="286"/>
        <v>0</v>
      </c>
      <c r="AW331" s="365">
        <f t="shared" si="287"/>
        <v>0</v>
      </c>
      <c r="AX331" s="365">
        <f t="shared" si="288"/>
        <v>0</v>
      </c>
      <c r="AY331" s="365">
        <f t="shared" si="289"/>
        <v>0</v>
      </c>
      <c r="AZ331" s="365">
        <f t="shared" si="290"/>
        <v>0</v>
      </c>
      <c r="BA331" s="365">
        <f t="shared" si="291"/>
        <v>0</v>
      </c>
      <c r="BB331" s="365">
        <f t="shared" si="292"/>
        <v>0</v>
      </c>
      <c r="BC331" s="365">
        <f t="shared" si="293"/>
        <v>0</v>
      </c>
      <c r="BD331" s="363"/>
      <c r="BE331">
        <v>4.0718</v>
      </c>
    </row>
    <row r="332" ht="24" spans="1:57">
      <c r="A332" s="284" t="s">
        <v>290</v>
      </c>
      <c r="B332" s="284" t="s">
        <v>196</v>
      </c>
      <c r="C332" s="284" t="s">
        <v>622</v>
      </c>
      <c r="D332" s="284" t="s">
        <v>620</v>
      </c>
      <c r="E332" s="365">
        <f t="shared" si="274"/>
        <v>0</v>
      </c>
      <c r="F332" s="365">
        <f t="shared" si="275"/>
        <v>0</v>
      </c>
      <c r="G332" s="365"/>
      <c r="H332" s="365"/>
      <c r="I332" s="365"/>
      <c r="J332" s="365"/>
      <c r="K332" s="365"/>
      <c r="L332" s="365">
        <f t="shared" si="276"/>
        <v>0</v>
      </c>
      <c r="M332" s="365"/>
      <c r="N332" s="365"/>
      <c r="O332" s="365"/>
      <c r="P332" s="365"/>
      <c r="Q332" s="365"/>
      <c r="R332" s="365"/>
      <c r="S332" s="365"/>
      <c r="T332" s="366">
        <f t="shared" si="270"/>
        <v>0</v>
      </c>
      <c r="U332" s="366">
        <f t="shared" si="294"/>
        <v>0</v>
      </c>
      <c r="V332" s="366"/>
      <c r="W332" s="366"/>
      <c r="X332" s="366"/>
      <c r="Y332" s="366"/>
      <c r="Z332" s="366"/>
      <c r="AA332" s="365">
        <f t="shared" si="277"/>
        <v>0</v>
      </c>
      <c r="AB332" s="365"/>
      <c r="AC332" s="365"/>
      <c r="AD332" s="365"/>
      <c r="AE332" s="365"/>
      <c r="AF332" s="365"/>
      <c r="AG332" s="365"/>
      <c r="AH332" s="365">
        <v>0</v>
      </c>
      <c r="AI332" s="365"/>
      <c r="AJ332" s="365"/>
      <c r="AK332" s="365"/>
      <c r="AL332" s="366">
        <f t="shared" si="269"/>
        <v>0</v>
      </c>
      <c r="AM332" s="365">
        <f t="shared" si="278"/>
        <v>0</v>
      </c>
      <c r="AN332" s="365">
        <f t="shared" si="279"/>
        <v>0</v>
      </c>
      <c r="AO332" s="365">
        <f t="shared" si="280"/>
        <v>0</v>
      </c>
      <c r="AP332" s="365">
        <f t="shared" si="281"/>
        <v>0</v>
      </c>
      <c r="AQ332" s="365">
        <f t="shared" si="282"/>
        <v>0</v>
      </c>
      <c r="AR332" s="365">
        <f t="shared" si="283"/>
        <v>0</v>
      </c>
      <c r="AS332" s="365">
        <f t="shared" si="295"/>
        <v>0</v>
      </c>
      <c r="AT332" s="365">
        <f t="shared" si="284"/>
        <v>0</v>
      </c>
      <c r="AU332" s="365">
        <f t="shared" si="285"/>
        <v>0</v>
      </c>
      <c r="AV332" s="365">
        <f t="shared" si="286"/>
        <v>0</v>
      </c>
      <c r="AW332" s="365">
        <f t="shared" si="287"/>
        <v>0</v>
      </c>
      <c r="AX332" s="365">
        <f t="shared" si="288"/>
        <v>0</v>
      </c>
      <c r="AY332" s="365">
        <f t="shared" si="289"/>
        <v>0</v>
      </c>
      <c r="AZ332" s="365">
        <f t="shared" si="290"/>
        <v>0</v>
      </c>
      <c r="BA332" s="365">
        <f t="shared" si="291"/>
        <v>0</v>
      </c>
      <c r="BB332" s="365">
        <f t="shared" si="292"/>
        <v>0</v>
      </c>
      <c r="BC332" s="365">
        <f t="shared" si="293"/>
        <v>0</v>
      </c>
      <c r="BD332" s="363"/>
      <c r="BE332">
        <v>9.8796</v>
      </c>
    </row>
    <row r="333" ht="24" spans="1:57">
      <c r="A333" s="284" t="s">
        <v>290</v>
      </c>
      <c r="B333" s="284" t="s">
        <v>199</v>
      </c>
      <c r="C333" s="284" t="s">
        <v>623</v>
      </c>
      <c r="D333" s="284" t="s">
        <v>620</v>
      </c>
      <c r="E333" s="365">
        <f t="shared" si="274"/>
        <v>312.72</v>
      </c>
      <c r="F333" s="365">
        <f t="shared" si="275"/>
        <v>119.29</v>
      </c>
      <c r="G333" s="365">
        <v>85.24</v>
      </c>
      <c r="H333" s="365"/>
      <c r="I333" s="365">
        <v>34.05</v>
      </c>
      <c r="J333" s="365"/>
      <c r="K333" s="365"/>
      <c r="L333" s="365">
        <f t="shared" si="276"/>
        <v>193.43</v>
      </c>
      <c r="M333" s="365">
        <v>20.43</v>
      </c>
      <c r="N333" s="365"/>
      <c r="O333" s="365"/>
      <c r="P333" s="365"/>
      <c r="Q333" s="365"/>
      <c r="R333" s="365">
        <v>49</v>
      </c>
      <c r="S333" s="365">
        <v>124</v>
      </c>
      <c r="T333" s="366">
        <f t="shared" si="270"/>
        <v>-50.7549</v>
      </c>
      <c r="U333" s="366">
        <f t="shared" si="294"/>
        <v>8.91</v>
      </c>
      <c r="V333" s="366">
        <v>5.16</v>
      </c>
      <c r="W333" s="366">
        <v>3.75</v>
      </c>
      <c r="X333" s="366"/>
      <c r="Y333" s="366"/>
      <c r="Z333" s="366"/>
      <c r="AA333" s="365">
        <f t="shared" si="277"/>
        <v>-59.6649</v>
      </c>
      <c r="AB333" s="365">
        <v>-0.3349</v>
      </c>
      <c r="AC333" s="365"/>
      <c r="AD333" s="365"/>
      <c r="AE333" s="365"/>
      <c r="AF333" s="365"/>
      <c r="AG333" s="365">
        <v>0.75</v>
      </c>
      <c r="AH333" s="365">
        <v>-124</v>
      </c>
      <c r="AI333" s="365">
        <v>27.42</v>
      </c>
      <c r="AJ333" s="365">
        <v>24</v>
      </c>
      <c r="AK333" s="365">
        <v>12.5</v>
      </c>
      <c r="AL333" s="366">
        <f t="shared" si="269"/>
        <v>261.9651</v>
      </c>
      <c r="AM333" s="365">
        <f t="shared" si="278"/>
        <v>128.2</v>
      </c>
      <c r="AN333" s="365">
        <f t="shared" si="279"/>
        <v>90.4</v>
      </c>
      <c r="AO333" s="365">
        <f t="shared" si="280"/>
        <v>3.75</v>
      </c>
      <c r="AP333" s="365">
        <f t="shared" si="281"/>
        <v>34.05</v>
      </c>
      <c r="AQ333" s="365">
        <f t="shared" si="282"/>
        <v>0</v>
      </c>
      <c r="AR333" s="365">
        <f t="shared" si="283"/>
        <v>0</v>
      </c>
      <c r="AS333" s="365">
        <f t="shared" si="295"/>
        <v>133.7651</v>
      </c>
      <c r="AT333" s="365">
        <f t="shared" si="284"/>
        <v>20.0951</v>
      </c>
      <c r="AU333" s="365">
        <f t="shared" si="285"/>
        <v>0</v>
      </c>
      <c r="AV333" s="365">
        <f t="shared" si="286"/>
        <v>0</v>
      </c>
      <c r="AW333" s="365">
        <f t="shared" si="287"/>
        <v>0</v>
      </c>
      <c r="AX333" s="365">
        <f t="shared" si="288"/>
        <v>0</v>
      </c>
      <c r="AY333" s="365">
        <f t="shared" si="289"/>
        <v>49.75</v>
      </c>
      <c r="AZ333" s="365">
        <f t="shared" si="290"/>
        <v>0</v>
      </c>
      <c r="BA333" s="365">
        <f t="shared" si="291"/>
        <v>27.42</v>
      </c>
      <c r="BB333" s="365">
        <f t="shared" si="292"/>
        <v>24</v>
      </c>
      <c r="BC333" s="365">
        <f t="shared" si="293"/>
        <v>12.5</v>
      </c>
      <c r="BD333" s="363" t="s">
        <v>868</v>
      </c>
      <c r="BE333">
        <v>12.5</v>
      </c>
    </row>
    <row r="334" ht="24" spans="1:57">
      <c r="A334" s="284" t="s">
        <v>290</v>
      </c>
      <c r="B334" s="284" t="s">
        <v>199</v>
      </c>
      <c r="C334" s="284" t="s">
        <v>624</v>
      </c>
      <c r="D334" s="284" t="s">
        <v>620</v>
      </c>
      <c r="E334" s="365">
        <f t="shared" si="274"/>
        <v>28.26</v>
      </c>
      <c r="F334" s="365">
        <f t="shared" si="275"/>
        <v>12.32</v>
      </c>
      <c r="G334" s="365">
        <v>8.96</v>
      </c>
      <c r="H334" s="365"/>
      <c r="I334" s="365">
        <v>3.36</v>
      </c>
      <c r="J334" s="365"/>
      <c r="K334" s="365"/>
      <c r="L334" s="365">
        <f t="shared" si="276"/>
        <v>15.94</v>
      </c>
      <c r="M334" s="365">
        <v>2.02</v>
      </c>
      <c r="N334" s="365"/>
      <c r="O334" s="365"/>
      <c r="P334" s="365"/>
      <c r="Q334" s="365"/>
      <c r="R334" s="365">
        <v>3.92</v>
      </c>
      <c r="S334" s="365">
        <v>10</v>
      </c>
      <c r="T334" s="366">
        <f t="shared" si="270"/>
        <v>-0.146639999999999</v>
      </c>
      <c r="U334" s="366">
        <f t="shared" si="294"/>
        <v>3.68</v>
      </c>
      <c r="V334" s="366">
        <v>3.38</v>
      </c>
      <c r="W334" s="366">
        <v>0.3</v>
      </c>
      <c r="X334" s="366"/>
      <c r="Y334" s="366"/>
      <c r="Z334" s="366"/>
      <c r="AA334" s="365">
        <f t="shared" si="277"/>
        <v>-3.82664</v>
      </c>
      <c r="AB334" s="365">
        <v>0.42336</v>
      </c>
      <c r="AC334" s="365"/>
      <c r="AD334" s="365"/>
      <c r="AE334" s="365"/>
      <c r="AF334" s="365"/>
      <c r="AG334" s="365"/>
      <c r="AH334" s="365">
        <v>-10</v>
      </c>
      <c r="AI334" s="365">
        <v>2.58</v>
      </c>
      <c r="AJ334" s="365">
        <v>2</v>
      </c>
      <c r="AK334" s="365">
        <v>1.17</v>
      </c>
      <c r="AL334" s="366">
        <f t="shared" si="269"/>
        <v>28.11336</v>
      </c>
      <c r="AM334" s="365">
        <f t="shared" si="278"/>
        <v>16</v>
      </c>
      <c r="AN334" s="365">
        <f t="shared" si="279"/>
        <v>12.34</v>
      </c>
      <c r="AO334" s="365">
        <f t="shared" si="280"/>
        <v>0.3</v>
      </c>
      <c r="AP334" s="365">
        <f t="shared" si="281"/>
        <v>3.36</v>
      </c>
      <c r="AQ334" s="365">
        <f t="shared" si="282"/>
        <v>0</v>
      </c>
      <c r="AR334" s="365">
        <f t="shared" si="283"/>
        <v>0</v>
      </c>
      <c r="AS334" s="365">
        <f t="shared" si="295"/>
        <v>12.11336</v>
      </c>
      <c r="AT334" s="365">
        <f t="shared" si="284"/>
        <v>2.44336</v>
      </c>
      <c r="AU334" s="365">
        <f t="shared" si="285"/>
        <v>0</v>
      </c>
      <c r="AV334" s="365">
        <f t="shared" si="286"/>
        <v>0</v>
      </c>
      <c r="AW334" s="365">
        <f t="shared" si="287"/>
        <v>0</v>
      </c>
      <c r="AX334" s="365">
        <f t="shared" si="288"/>
        <v>0</v>
      </c>
      <c r="AY334" s="365">
        <f t="shared" si="289"/>
        <v>3.92</v>
      </c>
      <c r="AZ334" s="365">
        <f t="shared" si="290"/>
        <v>0</v>
      </c>
      <c r="BA334" s="365">
        <f t="shared" si="291"/>
        <v>2.58</v>
      </c>
      <c r="BB334" s="365">
        <f t="shared" si="292"/>
        <v>2</v>
      </c>
      <c r="BC334" s="365">
        <f t="shared" si="293"/>
        <v>1.17</v>
      </c>
      <c r="BD334" s="363"/>
      <c r="BE334">
        <v>1.17</v>
      </c>
    </row>
    <row r="335" ht="24" spans="1:57">
      <c r="A335" s="284" t="s">
        <v>290</v>
      </c>
      <c r="B335" s="284" t="s">
        <v>199</v>
      </c>
      <c r="C335" s="284" t="s">
        <v>625</v>
      </c>
      <c r="D335" s="284" t="s">
        <v>620</v>
      </c>
      <c r="E335" s="365">
        <f t="shared" si="274"/>
        <v>51.07</v>
      </c>
      <c r="F335" s="365">
        <f t="shared" si="275"/>
        <v>19.75</v>
      </c>
      <c r="G335" s="365">
        <v>13.95</v>
      </c>
      <c r="H335" s="365"/>
      <c r="I335" s="365">
        <v>5.8</v>
      </c>
      <c r="J335" s="365"/>
      <c r="K335" s="365"/>
      <c r="L335" s="365">
        <f t="shared" si="276"/>
        <v>31.32</v>
      </c>
      <c r="M335" s="365">
        <v>3.48</v>
      </c>
      <c r="N335" s="365"/>
      <c r="O335" s="365"/>
      <c r="P335" s="365"/>
      <c r="Q335" s="365"/>
      <c r="R335" s="365">
        <v>7.84</v>
      </c>
      <c r="S335" s="365">
        <v>20</v>
      </c>
      <c r="T335" s="366">
        <f t="shared" si="270"/>
        <v>-1.4665</v>
      </c>
      <c r="U335" s="366">
        <f t="shared" si="294"/>
        <v>7.31</v>
      </c>
      <c r="V335" s="366">
        <v>6.71</v>
      </c>
      <c r="W335" s="366">
        <v>0.6</v>
      </c>
      <c r="X335" s="366"/>
      <c r="Y335" s="366"/>
      <c r="Z335" s="366"/>
      <c r="AA335" s="365">
        <f t="shared" si="277"/>
        <v>-8.7765</v>
      </c>
      <c r="AB335" s="365">
        <v>0.7935</v>
      </c>
      <c r="AC335" s="365"/>
      <c r="AD335" s="365"/>
      <c r="AE335" s="365"/>
      <c r="AF335" s="365"/>
      <c r="AG335" s="365"/>
      <c r="AH335" s="365">
        <v>-20</v>
      </c>
      <c r="AI335" s="365">
        <v>5.43</v>
      </c>
      <c r="AJ335" s="365">
        <v>3</v>
      </c>
      <c r="AK335" s="365">
        <v>2</v>
      </c>
      <c r="AL335" s="366">
        <f t="shared" si="269"/>
        <v>49.6035</v>
      </c>
      <c r="AM335" s="365">
        <f t="shared" si="278"/>
        <v>27.06</v>
      </c>
      <c r="AN335" s="365">
        <f t="shared" si="279"/>
        <v>20.66</v>
      </c>
      <c r="AO335" s="365">
        <f t="shared" si="280"/>
        <v>0.6</v>
      </c>
      <c r="AP335" s="365">
        <f t="shared" si="281"/>
        <v>5.8</v>
      </c>
      <c r="AQ335" s="365">
        <f t="shared" si="282"/>
        <v>0</v>
      </c>
      <c r="AR335" s="365">
        <f t="shared" si="283"/>
        <v>0</v>
      </c>
      <c r="AS335" s="365">
        <f t="shared" si="295"/>
        <v>22.5435</v>
      </c>
      <c r="AT335" s="365">
        <f t="shared" si="284"/>
        <v>4.2735</v>
      </c>
      <c r="AU335" s="365">
        <f t="shared" si="285"/>
        <v>0</v>
      </c>
      <c r="AV335" s="365">
        <f t="shared" si="286"/>
        <v>0</v>
      </c>
      <c r="AW335" s="365">
        <f t="shared" si="287"/>
        <v>0</v>
      </c>
      <c r="AX335" s="365">
        <f t="shared" si="288"/>
        <v>0</v>
      </c>
      <c r="AY335" s="365">
        <f t="shared" si="289"/>
        <v>7.84</v>
      </c>
      <c r="AZ335" s="365">
        <f t="shared" si="290"/>
        <v>0</v>
      </c>
      <c r="BA335" s="365">
        <f t="shared" si="291"/>
        <v>5.43</v>
      </c>
      <c r="BB335" s="365">
        <f t="shared" si="292"/>
        <v>3</v>
      </c>
      <c r="BC335" s="365">
        <f t="shared" si="293"/>
        <v>2</v>
      </c>
      <c r="BD335" s="363"/>
      <c r="BE335">
        <v>2</v>
      </c>
    </row>
    <row r="336" ht="48" spans="1:57">
      <c r="A336" s="284" t="s">
        <v>290</v>
      </c>
      <c r="B336" s="284" t="s">
        <v>199</v>
      </c>
      <c r="C336" s="284" t="s">
        <v>626</v>
      </c>
      <c r="D336" s="284" t="s">
        <v>627</v>
      </c>
      <c r="E336" s="365">
        <f t="shared" si="274"/>
        <v>75.96</v>
      </c>
      <c r="F336" s="365">
        <f t="shared" si="275"/>
        <v>39.73</v>
      </c>
      <c r="G336" s="365">
        <v>29.35</v>
      </c>
      <c r="H336" s="365"/>
      <c r="I336" s="365">
        <v>10.38</v>
      </c>
      <c r="J336" s="365"/>
      <c r="K336" s="365"/>
      <c r="L336" s="365">
        <f t="shared" si="276"/>
        <v>36.23</v>
      </c>
      <c r="M336" s="365">
        <v>6.23</v>
      </c>
      <c r="N336" s="365"/>
      <c r="O336" s="365"/>
      <c r="P336" s="365"/>
      <c r="Q336" s="365"/>
      <c r="R336" s="365"/>
      <c r="S336" s="365">
        <v>30</v>
      </c>
      <c r="T336" s="366">
        <f t="shared" si="270"/>
        <v>-10.9993</v>
      </c>
      <c r="U336" s="366">
        <f t="shared" si="294"/>
        <v>2.9007</v>
      </c>
      <c r="V336" s="366">
        <v>2.9007</v>
      </c>
      <c r="W336" s="366"/>
      <c r="X336" s="366"/>
      <c r="Y336" s="366"/>
      <c r="Z336" s="366"/>
      <c r="AA336" s="365">
        <f t="shared" si="277"/>
        <v>-13.9</v>
      </c>
      <c r="AB336" s="365"/>
      <c r="AC336" s="365"/>
      <c r="AD336" s="365"/>
      <c r="AE336" s="365"/>
      <c r="AF336" s="365"/>
      <c r="AG336" s="365">
        <v>0.15</v>
      </c>
      <c r="AH336" s="365">
        <v>-30</v>
      </c>
      <c r="AI336" s="365">
        <v>7.95</v>
      </c>
      <c r="AJ336" s="365">
        <v>5</v>
      </c>
      <c r="AK336" s="365">
        <v>3</v>
      </c>
      <c r="AL336" s="366">
        <f t="shared" si="269"/>
        <v>64.9607</v>
      </c>
      <c r="AM336" s="365">
        <f t="shared" si="278"/>
        <v>42.6307</v>
      </c>
      <c r="AN336" s="365">
        <f t="shared" si="279"/>
        <v>32.2507</v>
      </c>
      <c r="AO336" s="365">
        <f t="shared" si="280"/>
        <v>0</v>
      </c>
      <c r="AP336" s="365">
        <f t="shared" si="281"/>
        <v>10.38</v>
      </c>
      <c r="AQ336" s="365">
        <f t="shared" si="282"/>
        <v>0</v>
      </c>
      <c r="AR336" s="365">
        <f t="shared" si="283"/>
        <v>0</v>
      </c>
      <c r="AS336" s="365">
        <f t="shared" si="295"/>
        <v>22.33</v>
      </c>
      <c r="AT336" s="365">
        <f t="shared" si="284"/>
        <v>6.23</v>
      </c>
      <c r="AU336" s="365">
        <f t="shared" si="285"/>
        <v>0</v>
      </c>
      <c r="AV336" s="365">
        <f t="shared" si="286"/>
        <v>0</v>
      </c>
      <c r="AW336" s="365">
        <f t="shared" si="287"/>
        <v>0</v>
      </c>
      <c r="AX336" s="365">
        <f t="shared" si="288"/>
        <v>0</v>
      </c>
      <c r="AY336" s="365">
        <f t="shared" si="289"/>
        <v>0.15</v>
      </c>
      <c r="AZ336" s="365">
        <f t="shared" si="290"/>
        <v>0</v>
      </c>
      <c r="BA336" s="365">
        <f t="shared" si="291"/>
        <v>7.95</v>
      </c>
      <c r="BB336" s="365">
        <f t="shared" si="292"/>
        <v>5</v>
      </c>
      <c r="BC336" s="365">
        <f t="shared" si="293"/>
        <v>3</v>
      </c>
      <c r="BD336" s="363" t="s">
        <v>869</v>
      </c>
      <c r="BE336">
        <v>3</v>
      </c>
    </row>
    <row r="337" ht="48" spans="1:57">
      <c r="A337" s="284" t="s">
        <v>290</v>
      </c>
      <c r="B337" s="284" t="s">
        <v>199</v>
      </c>
      <c r="C337" s="284" t="s">
        <v>628</v>
      </c>
      <c r="D337" s="284" t="s">
        <v>629</v>
      </c>
      <c r="E337" s="365">
        <f t="shared" si="274"/>
        <v>33.72</v>
      </c>
      <c r="F337" s="365">
        <f t="shared" si="275"/>
        <v>16.03</v>
      </c>
      <c r="G337" s="365">
        <v>11.55</v>
      </c>
      <c r="H337" s="365"/>
      <c r="I337" s="365">
        <v>4.48</v>
      </c>
      <c r="J337" s="365"/>
      <c r="K337" s="365"/>
      <c r="L337" s="365">
        <f t="shared" si="276"/>
        <v>17.69</v>
      </c>
      <c r="M337" s="365">
        <v>2.69</v>
      </c>
      <c r="N337" s="365"/>
      <c r="O337" s="365"/>
      <c r="P337" s="365"/>
      <c r="Q337" s="365"/>
      <c r="R337" s="365"/>
      <c r="S337" s="365">
        <v>15</v>
      </c>
      <c r="T337" s="366">
        <f t="shared" si="270"/>
        <v>-5.6319</v>
      </c>
      <c r="U337" s="366">
        <f t="shared" si="294"/>
        <v>1.1181</v>
      </c>
      <c r="V337" s="366">
        <v>1.1181</v>
      </c>
      <c r="W337" s="366"/>
      <c r="X337" s="366"/>
      <c r="Y337" s="366"/>
      <c r="Z337" s="366"/>
      <c r="AA337" s="365">
        <f t="shared" si="277"/>
        <v>-6.75</v>
      </c>
      <c r="AB337" s="365"/>
      <c r="AC337" s="365"/>
      <c r="AD337" s="365"/>
      <c r="AE337" s="365"/>
      <c r="AF337" s="365"/>
      <c r="AG337" s="365">
        <v>0.3</v>
      </c>
      <c r="AH337" s="365">
        <v>-15</v>
      </c>
      <c r="AI337" s="365">
        <v>3.45</v>
      </c>
      <c r="AJ337" s="365">
        <v>3</v>
      </c>
      <c r="AK337" s="365">
        <v>1.5</v>
      </c>
      <c r="AL337" s="366">
        <f t="shared" si="269"/>
        <v>28.0881</v>
      </c>
      <c r="AM337" s="365">
        <f t="shared" si="278"/>
        <v>17.1481</v>
      </c>
      <c r="AN337" s="365">
        <f t="shared" si="279"/>
        <v>12.6681</v>
      </c>
      <c r="AO337" s="365">
        <f t="shared" si="280"/>
        <v>0</v>
      </c>
      <c r="AP337" s="365">
        <f t="shared" si="281"/>
        <v>4.48</v>
      </c>
      <c r="AQ337" s="365">
        <f t="shared" si="282"/>
        <v>0</v>
      </c>
      <c r="AR337" s="365">
        <f t="shared" si="283"/>
        <v>0</v>
      </c>
      <c r="AS337" s="365">
        <f t="shared" si="295"/>
        <v>10.94</v>
      </c>
      <c r="AT337" s="365">
        <f t="shared" si="284"/>
        <v>2.69</v>
      </c>
      <c r="AU337" s="365">
        <f t="shared" si="285"/>
        <v>0</v>
      </c>
      <c r="AV337" s="365">
        <f t="shared" si="286"/>
        <v>0</v>
      </c>
      <c r="AW337" s="365">
        <f t="shared" si="287"/>
        <v>0</v>
      </c>
      <c r="AX337" s="365">
        <f t="shared" si="288"/>
        <v>0</v>
      </c>
      <c r="AY337" s="365">
        <f t="shared" si="289"/>
        <v>0.3</v>
      </c>
      <c r="AZ337" s="365">
        <f t="shared" si="290"/>
        <v>0</v>
      </c>
      <c r="BA337" s="365">
        <f t="shared" si="291"/>
        <v>3.45</v>
      </c>
      <c r="BB337" s="365">
        <f t="shared" si="292"/>
        <v>3</v>
      </c>
      <c r="BC337" s="365">
        <f t="shared" si="293"/>
        <v>1.5</v>
      </c>
      <c r="BD337" s="363" t="s">
        <v>870</v>
      </c>
      <c r="BE337">
        <v>1.5</v>
      </c>
    </row>
    <row r="338" ht="48" spans="1:57">
      <c r="A338" s="284" t="s">
        <v>290</v>
      </c>
      <c r="B338" s="284" t="s">
        <v>199</v>
      </c>
      <c r="C338" s="284" t="s">
        <v>630</v>
      </c>
      <c r="D338" s="284" t="s">
        <v>629</v>
      </c>
      <c r="E338" s="365">
        <f t="shared" si="274"/>
        <v>83.6483</v>
      </c>
      <c r="F338" s="365">
        <f t="shared" si="275"/>
        <v>35.16</v>
      </c>
      <c r="G338" s="365">
        <v>25.06</v>
      </c>
      <c r="H338" s="365"/>
      <c r="I338" s="365">
        <v>10.1</v>
      </c>
      <c r="J338" s="365"/>
      <c r="K338" s="365"/>
      <c r="L338" s="365">
        <f t="shared" si="276"/>
        <v>48.4883</v>
      </c>
      <c r="M338" s="365">
        <v>6.06</v>
      </c>
      <c r="N338" s="365"/>
      <c r="O338" s="365"/>
      <c r="P338" s="365">
        <v>7.4283</v>
      </c>
      <c r="Q338" s="365"/>
      <c r="R338" s="365"/>
      <c r="S338" s="365">
        <v>35</v>
      </c>
      <c r="T338" s="366">
        <f t="shared" si="270"/>
        <v>-5.8483</v>
      </c>
      <c r="U338" s="366">
        <f t="shared" si="294"/>
        <v>8.72</v>
      </c>
      <c r="V338" s="366">
        <v>8.72</v>
      </c>
      <c r="W338" s="366"/>
      <c r="X338" s="366"/>
      <c r="Y338" s="366"/>
      <c r="Z338" s="366"/>
      <c r="AA338" s="365">
        <f t="shared" si="277"/>
        <v>-14.5683</v>
      </c>
      <c r="AB338" s="365">
        <v>1.39</v>
      </c>
      <c r="AC338" s="365"/>
      <c r="AD338" s="365"/>
      <c r="AE338" s="365"/>
      <c r="AF338" s="365"/>
      <c r="AG338" s="365">
        <v>0.15</v>
      </c>
      <c r="AH338" s="365">
        <v>-35</v>
      </c>
      <c r="AI338" s="365">
        <v>10.35</v>
      </c>
      <c r="AJ338" s="365">
        <v>5</v>
      </c>
      <c r="AK338" s="365">
        <v>3.5417</v>
      </c>
      <c r="AL338" s="366">
        <f t="shared" si="269"/>
        <v>77.8</v>
      </c>
      <c r="AM338" s="365">
        <f t="shared" si="278"/>
        <v>43.88</v>
      </c>
      <c r="AN338" s="365">
        <f t="shared" si="279"/>
        <v>33.78</v>
      </c>
      <c r="AO338" s="365">
        <f t="shared" si="280"/>
        <v>0</v>
      </c>
      <c r="AP338" s="365">
        <f t="shared" si="281"/>
        <v>10.1</v>
      </c>
      <c r="AQ338" s="365">
        <f t="shared" si="282"/>
        <v>0</v>
      </c>
      <c r="AR338" s="365">
        <f t="shared" si="283"/>
        <v>0</v>
      </c>
      <c r="AS338" s="365">
        <f t="shared" si="295"/>
        <v>33.92</v>
      </c>
      <c r="AT338" s="365">
        <f t="shared" si="284"/>
        <v>7.45</v>
      </c>
      <c r="AU338" s="365">
        <f t="shared" si="285"/>
        <v>0</v>
      </c>
      <c r="AV338" s="365">
        <f t="shared" si="286"/>
        <v>0</v>
      </c>
      <c r="AW338" s="365">
        <f t="shared" si="287"/>
        <v>7.4283</v>
      </c>
      <c r="AX338" s="365">
        <f t="shared" si="288"/>
        <v>0</v>
      </c>
      <c r="AY338" s="365">
        <f t="shared" si="289"/>
        <v>0.15</v>
      </c>
      <c r="AZ338" s="365">
        <f t="shared" si="290"/>
        <v>0</v>
      </c>
      <c r="BA338" s="365">
        <f t="shared" si="291"/>
        <v>10.35</v>
      </c>
      <c r="BB338" s="365">
        <f t="shared" si="292"/>
        <v>5</v>
      </c>
      <c r="BC338" s="365">
        <f t="shared" si="293"/>
        <v>3.5417</v>
      </c>
      <c r="BD338" s="363" t="s">
        <v>869</v>
      </c>
      <c r="BE338">
        <v>3.5417</v>
      </c>
    </row>
    <row r="339" ht="48" spans="1:57">
      <c r="A339" s="284" t="s">
        <v>290</v>
      </c>
      <c r="B339" s="284" t="s">
        <v>199</v>
      </c>
      <c r="C339" s="284" t="s">
        <v>631</v>
      </c>
      <c r="D339" s="284" t="s">
        <v>629</v>
      </c>
      <c r="E339" s="365">
        <f t="shared" si="274"/>
        <v>79.6</v>
      </c>
      <c r="F339" s="365">
        <f t="shared" si="275"/>
        <v>29.63</v>
      </c>
      <c r="G339" s="365">
        <v>20.82</v>
      </c>
      <c r="H339" s="365"/>
      <c r="I339" s="365">
        <v>8.81</v>
      </c>
      <c r="J339" s="365"/>
      <c r="K339" s="365"/>
      <c r="L339" s="365">
        <f t="shared" si="276"/>
        <v>49.97</v>
      </c>
      <c r="M339" s="365">
        <v>5.29</v>
      </c>
      <c r="N339" s="365"/>
      <c r="O339" s="365"/>
      <c r="P339" s="365">
        <v>14.68</v>
      </c>
      <c r="Q339" s="365"/>
      <c r="R339" s="365"/>
      <c r="S339" s="365">
        <v>30</v>
      </c>
      <c r="T339" s="366">
        <f t="shared" si="270"/>
        <v>-10.01695</v>
      </c>
      <c r="U339" s="366">
        <f t="shared" si="294"/>
        <v>4.26375</v>
      </c>
      <c r="V339" s="366">
        <v>4.26375</v>
      </c>
      <c r="W339" s="366"/>
      <c r="X339" s="366"/>
      <c r="Y339" s="366"/>
      <c r="Z339" s="366"/>
      <c r="AA339" s="365">
        <f t="shared" si="277"/>
        <v>-14.2807</v>
      </c>
      <c r="AB339" s="365">
        <v>0.2493</v>
      </c>
      <c r="AC339" s="365"/>
      <c r="AD339" s="365"/>
      <c r="AE339" s="365"/>
      <c r="AF339" s="365"/>
      <c r="AG339" s="365">
        <v>0.15</v>
      </c>
      <c r="AH339" s="365">
        <v>-30</v>
      </c>
      <c r="AI339" s="365">
        <v>7.32</v>
      </c>
      <c r="AJ339" s="365">
        <v>5</v>
      </c>
      <c r="AK339" s="365">
        <v>3</v>
      </c>
      <c r="AL339" s="366">
        <f t="shared" si="269"/>
        <v>69.58305</v>
      </c>
      <c r="AM339" s="365">
        <f t="shared" si="278"/>
        <v>33.89375</v>
      </c>
      <c r="AN339" s="365">
        <f t="shared" si="279"/>
        <v>25.08375</v>
      </c>
      <c r="AO339" s="365">
        <f t="shared" si="280"/>
        <v>0</v>
      </c>
      <c r="AP339" s="365">
        <f t="shared" si="281"/>
        <v>8.81</v>
      </c>
      <c r="AQ339" s="365">
        <f t="shared" si="282"/>
        <v>0</v>
      </c>
      <c r="AR339" s="365">
        <f t="shared" si="283"/>
        <v>0</v>
      </c>
      <c r="AS339" s="365">
        <f t="shared" si="295"/>
        <v>35.6893</v>
      </c>
      <c r="AT339" s="365">
        <f t="shared" si="284"/>
        <v>5.5393</v>
      </c>
      <c r="AU339" s="365">
        <f t="shared" si="285"/>
        <v>0</v>
      </c>
      <c r="AV339" s="365">
        <f t="shared" si="286"/>
        <v>0</v>
      </c>
      <c r="AW339" s="365">
        <f t="shared" si="287"/>
        <v>14.68</v>
      </c>
      <c r="AX339" s="365">
        <f t="shared" si="288"/>
        <v>0</v>
      </c>
      <c r="AY339" s="365">
        <f t="shared" si="289"/>
        <v>0.15</v>
      </c>
      <c r="AZ339" s="365">
        <f t="shared" si="290"/>
        <v>0</v>
      </c>
      <c r="BA339" s="365">
        <f t="shared" si="291"/>
        <v>7.32</v>
      </c>
      <c r="BB339" s="365">
        <f t="shared" si="292"/>
        <v>5</v>
      </c>
      <c r="BC339" s="365">
        <f t="shared" si="293"/>
        <v>3</v>
      </c>
      <c r="BD339" s="363" t="s">
        <v>869</v>
      </c>
      <c r="BE339">
        <v>3</v>
      </c>
    </row>
    <row r="340" ht="36" spans="1:57">
      <c r="A340" s="284" t="s">
        <v>290</v>
      </c>
      <c r="B340" s="284" t="s">
        <v>199</v>
      </c>
      <c r="C340" s="284" t="s">
        <v>632</v>
      </c>
      <c r="D340" s="284" t="s">
        <v>633</v>
      </c>
      <c r="E340" s="365">
        <f t="shared" si="274"/>
        <v>153.8</v>
      </c>
      <c r="F340" s="365">
        <f t="shared" si="275"/>
        <v>77.63</v>
      </c>
      <c r="G340" s="365">
        <v>57.36</v>
      </c>
      <c r="H340" s="365"/>
      <c r="I340" s="365">
        <v>20.27</v>
      </c>
      <c r="J340" s="365"/>
      <c r="K340" s="365"/>
      <c r="L340" s="365">
        <f t="shared" si="276"/>
        <v>76.17</v>
      </c>
      <c r="M340" s="365">
        <v>12.17</v>
      </c>
      <c r="N340" s="365"/>
      <c r="O340" s="365"/>
      <c r="P340" s="365"/>
      <c r="Q340" s="365"/>
      <c r="R340" s="365"/>
      <c r="S340" s="365">
        <v>64</v>
      </c>
      <c r="T340" s="366">
        <f t="shared" si="270"/>
        <v>-21.8283</v>
      </c>
      <c r="U340" s="366">
        <f t="shared" si="294"/>
        <v>7.9</v>
      </c>
      <c r="V340" s="366">
        <v>7.9</v>
      </c>
      <c r="W340" s="366"/>
      <c r="X340" s="366"/>
      <c r="Y340" s="366"/>
      <c r="Z340" s="366"/>
      <c r="AA340" s="365">
        <f t="shared" si="277"/>
        <v>-29.7283</v>
      </c>
      <c r="AB340" s="365"/>
      <c r="AC340" s="365"/>
      <c r="AD340" s="365"/>
      <c r="AE340" s="365"/>
      <c r="AF340" s="365"/>
      <c r="AG340" s="365"/>
      <c r="AH340" s="365">
        <v>-64</v>
      </c>
      <c r="AI340" s="365">
        <v>17.22</v>
      </c>
      <c r="AJ340" s="365">
        <v>10</v>
      </c>
      <c r="AK340" s="365">
        <v>7.0517</v>
      </c>
      <c r="AL340" s="366">
        <f t="shared" si="269"/>
        <v>131.9717</v>
      </c>
      <c r="AM340" s="365">
        <f t="shared" si="278"/>
        <v>85.53</v>
      </c>
      <c r="AN340" s="365">
        <f t="shared" si="279"/>
        <v>65.26</v>
      </c>
      <c r="AO340" s="365">
        <f t="shared" si="280"/>
        <v>0</v>
      </c>
      <c r="AP340" s="365">
        <f t="shared" si="281"/>
        <v>20.27</v>
      </c>
      <c r="AQ340" s="365">
        <f t="shared" si="282"/>
        <v>0</v>
      </c>
      <c r="AR340" s="365">
        <f t="shared" si="283"/>
        <v>0</v>
      </c>
      <c r="AS340" s="365">
        <f t="shared" si="295"/>
        <v>46.4417</v>
      </c>
      <c r="AT340" s="365">
        <f t="shared" si="284"/>
        <v>12.17</v>
      </c>
      <c r="AU340" s="365">
        <f t="shared" si="285"/>
        <v>0</v>
      </c>
      <c r="AV340" s="365">
        <f t="shared" si="286"/>
        <v>0</v>
      </c>
      <c r="AW340" s="365">
        <f t="shared" si="287"/>
        <v>0</v>
      </c>
      <c r="AX340" s="365">
        <f t="shared" si="288"/>
        <v>0</v>
      </c>
      <c r="AY340" s="365">
        <f t="shared" si="289"/>
        <v>0</v>
      </c>
      <c r="AZ340" s="365">
        <f t="shared" si="290"/>
        <v>0</v>
      </c>
      <c r="BA340" s="365">
        <f t="shared" si="291"/>
        <v>17.22</v>
      </c>
      <c r="BB340" s="365">
        <f t="shared" si="292"/>
        <v>10</v>
      </c>
      <c r="BC340" s="365">
        <f t="shared" si="293"/>
        <v>7.0517</v>
      </c>
      <c r="BD340" s="363"/>
      <c r="BE340">
        <v>7.0517</v>
      </c>
    </row>
    <row r="341" ht="36" spans="1:57">
      <c r="A341" s="284" t="s">
        <v>290</v>
      </c>
      <c r="B341" s="284" t="s">
        <v>199</v>
      </c>
      <c r="C341" s="284" t="s">
        <v>634</v>
      </c>
      <c r="D341" s="284" t="s">
        <v>635</v>
      </c>
      <c r="E341" s="365">
        <f t="shared" si="274"/>
        <v>127.34</v>
      </c>
      <c r="F341" s="365">
        <f t="shared" si="275"/>
        <v>30.31</v>
      </c>
      <c r="G341" s="365">
        <v>21.61</v>
      </c>
      <c r="H341" s="365">
        <v>0.46</v>
      </c>
      <c r="I341" s="365">
        <v>8.24</v>
      </c>
      <c r="J341" s="365"/>
      <c r="K341" s="365"/>
      <c r="L341" s="365">
        <f t="shared" si="276"/>
        <v>97.03</v>
      </c>
      <c r="M341" s="365">
        <v>4.94</v>
      </c>
      <c r="N341" s="365"/>
      <c r="O341" s="365"/>
      <c r="P341" s="365">
        <v>49.04</v>
      </c>
      <c r="Q341" s="365"/>
      <c r="R341" s="365">
        <v>13.05</v>
      </c>
      <c r="S341" s="365">
        <v>30</v>
      </c>
      <c r="T341" s="366">
        <f t="shared" si="270"/>
        <v>-0.824699999999998</v>
      </c>
      <c r="U341" s="366">
        <f t="shared" si="294"/>
        <v>6.8247</v>
      </c>
      <c r="V341" s="366">
        <v>6.8247</v>
      </c>
      <c r="W341" s="366"/>
      <c r="X341" s="366"/>
      <c r="Y341" s="366"/>
      <c r="Z341" s="366"/>
      <c r="AA341" s="365">
        <f t="shared" si="277"/>
        <v>-7.6494</v>
      </c>
      <c r="AB341" s="365">
        <v>0.6756</v>
      </c>
      <c r="AC341" s="365"/>
      <c r="AD341" s="365"/>
      <c r="AE341" s="365"/>
      <c r="AF341" s="365"/>
      <c r="AG341" s="365">
        <v>0.15</v>
      </c>
      <c r="AH341" s="365">
        <v>-30</v>
      </c>
      <c r="AI341" s="365">
        <v>7.77</v>
      </c>
      <c r="AJ341" s="365">
        <v>5</v>
      </c>
      <c r="AK341" s="365">
        <v>8.755</v>
      </c>
      <c r="AL341" s="366">
        <f t="shared" si="269"/>
        <v>126.5153</v>
      </c>
      <c r="AM341" s="365">
        <f t="shared" si="278"/>
        <v>37.1347</v>
      </c>
      <c r="AN341" s="365">
        <f t="shared" si="279"/>
        <v>28.4347</v>
      </c>
      <c r="AO341" s="365">
        <f t="shared" si="280"/>
        <v>0.46</v>
      </c>
      <c r="AP341" s="365">
        <f t="shared" si="281"/>
        <v>8.24</v>
      </c>
      <c r="AQ341" s="365">
        <f t="shared" si="282"/>
        <v>0</v>
      </c>
      <c r="AR341" s="365">
        <f t="shared" si="283"/>
        <v>0</v>
      </c>
      <c r="AS341" s="365">
        <f t="shared" si="295"/>
        <v>89.3806</v>
      </c>
      <c r="AT341" s="365">
        <f t="shared" si="284"/>
        <v>5.6156</v>
      </c>
      <c r="AU341" s="365">
        <f t="shared" si="285"/>
        <v>0</v>
      </c>
      <c r="AV341" s="365">
        <f t="shared" si="286"/>
        <v>0</v>
      </c>
      <c r="AW341" s="365">
        <f t="shared" si="287"/>
        <v>49.04</v>
      </c>
      <c r="AX341" s="365">
        <f t="shared" si="288"/>
        <v>0</v>
      </c>
      <c r="AY341" s="365">
        <f t="shared" si="289"/>
        <v>13.2</v>
      </c>
      <c r="AZ341" s="365">
        <f t="shared" si="290"/>
        <v>0</v>
      </c>
      <c r="BA341" s="365">
        <f t="shared" si="291"/>
        <v>7.77</v>
      </c>
      <c r="BB341" s="365">
        <f t="shared" si="292"/>
        <v>5</v>
      </c>
      <c r="BC341" s="365">
        <f t="shared" si="293"/>
        <v>8.755</v>
      </c>
      <c r="BD341" s="363" t="s">
        <v>869</v>
      </c>
      <c r="BE341">
        <v>8.755</v>
      </c>
    </row>
    <row r="342" ht="36" spans="1:57">
      <c r="A342" s="284" t="s">
        <v>290</v>
      </c>
      <c r="B342" s="284" t="s">
        <v>199</v>
      </c>
      <c r="C342" s="284" t="s">
        <v>636</v>
      </c>
      <c r="D342" s="284" t="s">
        <v>635</v>
      </c>
      <c r="E342" s="365">
        <f t="shared" si="274"/>
        <v>70.66</v>
      </c>
      <c r="F342" s="365">
        <f t="shared" si="275"/>
        <v>28.33</v>
      </c>
      <c r="G342" s="365">
        <v>20.17</v>
      </c>
      <c r="H342" s="365"/>
      <c r="I342" s="365">
        <v>8.16</v>
      </c>
      <c r="J342" s="365"/>
      <c r="K342" s="365"/>
      <c r="L342" s="365">
        <f t="shared" si="276"/>
        <v>42.33</v>
      </c>
      <c r="M342" s="365">
        <v>4.9</v>
      </c>
      <c r="N342" s="365"/>
      <c r="O342" s="365"/>
      <c r="P342" s="365">
        <v>7.43</v>
      </c>
      <c r="Q342" s="365"/>
      <c r="R342" s="365"/>
      <c r="S342" s="365">
        <v>30</v>
      </c>
      <c r="T342" s="366">
        <f t="shared" si="270"/>
        <v>-9.6256</v>
      </c>
      <c r="U342" s="366">
        <f t="shared" si="294"/>
        <v>3.1521</v>
      </c>
      <c r="V342" s="366">
        <v>3.1521</v>
      </c>
      <c r="W342" s="366"/>
      <c r="X342" s="366"/>
      <c r="Y342" s="366"/>
      <c r="Z342" s="366"/>
      <c r="AA342" s="365">
        <f t="shared" si="277"/>
        <v>-12.7777</v>
      </c>
      <c r="AB342" s="365"/>
      <c r="AC342" s="365"/>
      <c r="AD342" s="365"/>
      <c r="AE342" s="365"/>
      <c r="AF342" s="365"/>
      <c r="AG342" s="365">
        <v>1.4323</v>
      </c>
      <c r="AH342" s="365">
        <v>-30</v>
      </c>
      <c r="AI342" s="365">
        <v>7.11</v>
      </c>
      <c r="AJ342" s="365">
        <v>5</v>
      </c>
      <c r="AK342" s="365">
        <v>3.68</v>
      </c>
      <c r="AL342" s="366">
        <f t="shared" si="269"/>
        <v>61.0344</v>
      </c>
      <c r="AM342" s="365">
        <f t="shared" si="278"/>
        <v>31.4821</v>
      </c>
      <c r="AN342" s="365">
        <f t="shared" si="279"/>
        <v>23.3221</v>
      </c>
      <c r="AO342" s="365">
        <f t="shared" si="280"/>
        <v>0</v>
      </c>
      <c r="AP342" s="365">
        <f t="shared" si="281"/>
        <v>8.16</v>
      </c>
      <c r="AQ342" s="365">
        <f t="shared" si="282"/>
        <v>0</v>
      </c>
      <c r="AR342" s="365">
        <f t="shared" si="283"/>
        <v>0</v>
      </c>
      <c r="AS342" s="365">
        <f t="shared" si="295"/>
        <v>29.5523</v>
      </c>
      <c r="AT342" s="365">
        <f t="shared" si="284"/>
        <v>4.9</v>
      </c>
      <c r="AU342" s="365">
        <f t="shared" si="285"/>
        <v>0</v>
      </c>
      <c r="AV342" s="365">
        <f t="shared" si="286"/>
        <v>0</v>
      </c>
      <c r="AW342" s="365">
        <f t="shared" si="287"/>
        <v>7.43</v>
      </c>
      <c r="AX342" s="365">
        <f t="shared" si="288"/>
        <v>0</v>
      </c>
      <c r="AY342" s="365">
        <f t="shared" si="289"/>
        <v>1.4323</v>
      </c>
      <c r="AZ342" s="365">
        <f t="shared" si="290"/>
        <v>0</v>
      </c>
      <c r="BA342" s="365">
        <f t="shared" si="291"/>
        <v>7.11</v>
      </c>
      <c r="BB342" s="365">
        <f t="shared" si="292"/>
        <v>5</v>
      </c>
      <c r="BC342" s="365">
        <f t="shared" si="293"/>
        <v>3.68</v>
      </c>
      <c r="BD342" s="363" t="s">
        <v>871</v>
      </c>
      <c r="BE342">
        <v>3.68</v>
      </c>
    </row>
    <row r="343" ht="36" spans="1:57">
      <c r="A343" s="284" t="s">
        <v>290</v>
      </c>
      <c r="B343" s="284" t="s">
        <v>199</v>
      </c>
      <c r="C343" s="284" t="s">
        <v>637</v>
      </c>
      <c r="D343" s="284" t="s">
        <v>638</v>
      </c>
      <c r="E343" s="365">
        <f t="shared" si="274"/>
        <v>28.82</v>
      </c>
      <c r="F343" s="365">
        <f t="shared" si="275"/>
        <v>11.64</v>
      </c>
      <c r="G343" s="365">
        <v>8.01</v>
      </c>
      <c r="H343" s="365"/>
      <c r="I343" s="365">
        <v>3.63</v>
      </c>
      <c r="J343" s="365"/>
      <c r="K343" s="365"/>
      <c r="L343" s="365">
        <f t="shared" si="276"/>
        <v>17.18</v>
      </c>
      <c r="M343" s="365">
        <v>2.18</v>
      </c>
      <c r="N343" s="365"/>
      <c r="O343" s="365"/>
      <c r="P343" s="365"/>
      <c r="Q343" s="365"/>
      <c r="R343" s="365"/>
      <c r="S343" s="365">
        <v>15</v>
      </c>
      <c r="T343" s="366">
        <f t="shared" si="270"/>
        <v>-8.6154</v>
      </c>
      <c r="U343" s="366">
        <f t="shared" si="294"/>
        <v>1.549</v>
      </c>
      <c r="V343" s="366">
        <v>1.099</v>
      </c>
      <c r="W343" s="366">
        <v>0.45</v>
      </c>
      <c r="X343" s="366"/>
      <c r="Y343" s="366"/>
      <c r="Z343" s="366"/>
      <c r="AA343" s="365">
        <f t="shared" si="277"/>
        <v>-10.1644</v>
      </c>
      <c r="AB343" s="365">
        <v>0.0956</v>
      </c>
      <c r="AC343" s="365"/>
      <c r="AD343" s="365"/>
      <c r="AE343" s="365"/>
      <c r="AF343" s="365"/>
      <c r="AG343" s="365"/>
      <c r="AH343" s="365">
        <v>-15</v>
      </c>
      <c r="AI343" s="365">
        <v>3.24</v>
      </c>
      <c r="AJ343" s="365"/>
      <c r="AK343" s="365">
        <v>1.5</v>
      </c>
      <c r="AL343" s="366">
        <f t="shared" si="269"/>
        <v>20.2046</v>
      </c>
      <c r="AM343" s="365">
        <f t="shared" si="278"/>
        <v>13.189</v>
      </c>
      <c r="AN343" s="365">
        <f t="shared" si="279"/>
        <v>9.109</v>
      </c>
      <c r="AO343" s="365">
        <f t="shared" si="280"/>
        <v>0.45</v>
      </c>
      <c r="AP343" s="365">
        <f t="shared" si="281"/>
        <v>3.63</v>
      </c>
      <c r="AQ343" s="365">
        <f t="shared" si="282"/>
        <v>0</v>
      </c>
      <c r="AR343" s="365">
        <f t="shared" si="283"/>
        <v>0</v>
      </c>
      <c r="AS343" s="365">
        <f t="shared" si="295"/>
        <v>7.0156</v>
      </c>
      <c r="AT343" s="365">
        <f t="shared" si="284"/>
        <v>2.2756</v>
      </c>
      <c r="AU343" s="365">
        <f t="shared" si="285"/>
        <v>0</v>
      </c>
      <c r="AV343" s="365">
        <f t="shared" si="286"/>
        <v>0</v>
      </c>
      <c r="AW343" s="365">
        <f t="shared" si="287"/>
        <v>0</v>
      </c>
      <c r="AX343" s="365">
        <f t="shared" si="288"/>
        <v>0</v>
      </c>
      <c r="AY343" s="365">
        <f t="shared" si="289"/>
        <v>0</v>
      </c>
      <c r="AZ343" s="365">
        <f t="shared" si="290"/>
        <v>0</v>
      </c>
      <c r="BA343" s="365">
        <f t="shared" si="291"/>
        <v>3.24</v>
      </c>
      <c r="BB343" s="365">
        <f t="shared" si="292"/>
        <v>0</v>
      </c>
      <c r="BC343" s="365">
        <f t="shared" si="293"/>
        <v>1.5</v>
      </c>
      <c r="BD343" s="363"/>
      <c r="BE343">
        <v>1.5</v>
      </c>
    </row>
    <row r="344" ht="36" spans="1:57">
      <c r="A344" s="284" t="s">
        <v>290</v>
      </c>
      <c r="B344" s="284" t="s">
        <v>199</v>
      </c>
      <c r="C344" s="284" t="s">
        <v>639</v>
      </c>
      <c r="D344" s="284" t="s">
        <v>638</v>
      </c>
      <c r="E344" s="365">
        <f t="shared" si="274"/>
        <v>112.31</v>
      </c>
      <c r="F344" s="365">
        <f t="shared" si="275"/>
        <v>53.89</v>
      </c>
      <c r="G344" s="365">
        <v>39.71</v>
      </c>
      <c r="H344" s="365"/>
      <c r="I344" s="365">
        <v>14.18</v>
      </c>
      <c r="J344" s="365"/>
      <c r="K344" s="365"/>
      <c r="L344" s="365">
        <f t="shared" si="276"/>
        <v>58.42</v>
      </c>
      <c r="M344" s="365">
        <v>8.51</v>
      </c>
      <c r="N344" s="365"/>
      <c r="O344" s="365"/>
      <c r="P344" s="365">
        <v>9.91</v>
      </c>
      <c r="Q344" s="365"/>
      <c r="R344" s="365"/>
      <c r="S344" s="365">
        <v>40</v>
      </c>
      <c r="T344" s="366">
        <f t="shared" si="270"/>
        <v>-21.8964</v>
      </c>
      <c r="U344" s="366">
        <f t="shared" si="294"/>
        <v>-2.0228</v>
      </c>
      <c r="V344" s="366">
        <v>-2.0228</v>
      </c>
      <c r="W344" s="366"/>
      <c r="X344" s="366"/>
      <c r="Y344" s="366"/>
      <c r="Z344" s="366"/>
      <c r="AA344" s="365">
        <f t="shared" si="277"/>
        <v>-19.8736</v>
      </c>
      <c r="AB344" s="365">
        <v>-1.0436</v>
      </c>
      <c r="AC344" s="365"/>
      <c r="AD344" s="365"/>
      <c r="AE344" s="365"/>
      <c r="AF344" s="365"/>
      <c r="AG344" s="365">
        <v>0.15</v>
      </c>
      <c r="AH344" s="365">
        <v>-40</v>
      </c>
      <c r="AI344" s="365">
        <v>9.66</v>
      </c>
      <c r="AJ344" s="365">
        <v>7</v>
      </c>
      <c r="AK344" s="365">
        <v>4.36</v>
      </c>
      <c r="AL344" s="366">
        <f t="shared" si="269"/>
        <v>90.4136</v>
      </c>
      <c r="AM344" s="365">
        <f t="shared" si="278"/>
        <v>51.8672</v>
      </c>
      <c r="AN344" s="365">
        <f t="shared" si="279"/>
        <v>37.6872</v>
      </c>
      <c r="AO344" s="365">
        <f t="shared" si="280"/>
        <v>0</v>
      </c>
      <c r="AP344" s="365">
        <f t="shared" si="281"/>
        <v>14.18</v>
      </c>
      <c r="AQ344" s="365">
        <f t="shared" si="282"/>
        <v>0</v>
      </c>
      <c r="AR344" s="365">
        <f t="shared" si="283"/>
        <v>0</v>
      </c>
      <c r="AS344" s="365">
        <f t="shared" si="295"/>
        <v>38.5464</v>
      </c>
      <c r="AT344" s="365">
        <f t="shared" si="284"/>
        <v>7.4664</v>
      </c>
      <c r="AU344" s="365">
        <f t="shared" si="285"/>
        <v>0</v>
      </c>
      <c r="AV344" s="365">
        <f t="shared" si="286"/>
        <v>0</v>
      </c>
      <c r="AW344" s="365">
        <f t="shared" si="287"/>
        <v>9.91</v>
      </c>
      <c r="AX344" s="365">
        <f t="shared" si="288"/>
        <v>0</v>
      </c>
      <c r="AY344" s="365">
        <f t="shared" si="289"/>
        <v>0.15</v>
      </c>
      <c r="AZ344" s="365">
        <f t="shared" si="290"/>
        <v>0</v>
      </c>
      <c r="BA344" s="365">
        <f t="shared" si="291"/>
        <v>9.66</v>
      </c>
      <c r="BB344" s="365">
        <f t="shared" si="292"/>
        <v>7</v>
      </c>
      <c r="BC344" s="365">
        <f t="shared" si="293"/>
        <v>4.36</v>
      </c>
      <c r="BD344" s="363"/>
      <c r="BE344">
        <v>4.36</v>
      </c>
    </row>
    <row r="345" s="311" customFormat="1" ht="21" customHeight="1" spans="1:57">
      <c r="A345" s="328"/>
      <c r="B345" s="329" t="s">
        <v>752</v>
      </c>
      <c r="C345" s="329" t="s">
        <v>141</v>
      </c>
      <c r="D345" s="329">
        <v>213</v>
      </c>
      <c r="E345" s="364">
        <f t="shared" ref="E345:S345" si="296">SUM(E346:E389)</f>
        <v>3652.13</v>
      </c>
      <c r="F345" s="364">
        <f t="shared" si="296"/>
        <v>1904.11</v>
      </c>
      <c r="G345" s="364">
        <f t="shared" si="296"/>
        <v>1395.04</v>
      </c>
      <c r="H345" s="364">
        <f t="shared" si="296"/>
        <v>0</v>
      </c>
      <c r="I345" s="364">
        <f t="shared" si="296"/>
        <v>475.25</v>
      </c>
      <c r="J345" s="364">
        <f t="shared" si="296"/>
        <v>21.6</v>
      </c>
      <c r="K345" s="364">
        <f t="shared" si="296"/>
        <v>12.22</v>
      </c>
      <c r="L345" s="364">
        <f t="shared" si="296"/>
        <v>1748.02</v>
      </c>
      <c r="M345" s="364">
        <f t="shared" si="296"/>
        <v>280.95</v>
      </c>
      <c r="N345" s="364">
        <f t="shared" si="296"/>
        <v>0</v>
      </c>
      <c r="O345" s="364">
        <f t="shared" si="296"/>
        <v>16.07</v>
      </c>
      <c r="P345" s="364">
        <f t="shared" si="296"/>
        <v>0</v>
      </c>
      <c r="Q345" s="364">
        <f t="shared" si="296"/>
        <v>0</v>
      </c>
      <c r="R345" s="364">
        <f t="shared" si="296"/>
        <v>0</v>
      </c>
      <c r="S345" s="364">
        <f t="shared" si="296"/>
        <v>1451</v>
      </c>
      <c r="T345" s="364">
        <f t="shared" si="270"/>
        <v>-439.0157</v>
      </c>
      <c r="U345" s="364">
        <f t="shared" ref="U345:AK345" si="297">SUM(U346:U389)</f>
        <v>169.3042</v>
      </c>
      <c r="V345" s="364">
        <f t="shared" si="297"/>
        <v>149.1815</v>
      </c>
      <c r="W345" s="364">
        <f t="shared" si="297"/>
        <v>0</v>
      </c>
      <c r="X345" s="364">
        <f t="shared" si="297"/>
        <v>19.6927</v>
      </c>
      <c r="Y345" s="364">
        <f t="shared" si="297"/>
        <v>0.48</v>
      </c>
      <c r="Z345" s="364">
        <f t="shared" si="297"/>
        <v>-0.05</v>
      </c>
      <c r="AA345" s="364">
        <f t="shared" si="297"/>
        <v>-608.3199</v>
      </c>
      <c r="AB345" s="364">
        <f t="shared" si="297"/>
        <v>14.2817</v>
      </c>
      <c r="AC345" s="364">
        <f t="shared" si="297"/>
        <v>0</v>
      </c>
      <c r="AD345" s="364">
        <f t="shared" si="297"/>
        <v>1.06</v>
      </c>
      <c r="AE345" s="364">
        <f t="shared" si="297"/>
        <v>0</v>
      </c>
      <c r="AF345" s="364">
        <f t="shared" si="297"/>
        <v>0</v>
      </c>
      <c r="AG345" s="364">
        <f t="shared" si="297"/>
        <v>8.49</v>
      </c>
      <c r="AH345" s="364">
        <f t="shared" si="297"/>
        <v>-1451</v>
      </c>
      <c r="AI345" s="364">
        <f t="shared" si="297"/>
        <v>457.2</v>
      </c>
      <c r="AJ345" s="364">
        <f t="shared" si="297"/>
        <v>188</v>
      </c>
      <c r="AK345" s="364">
        <f t="shared" si="297"/>
        <v>173.6484</v>
      </c>
      <c r="AL345" s="364">
        <f t="shared" si="269"/>
        <v>3213.1143</v>
      </c>
      <c r="AM345" s="364">
        <f t="shared" ref="AM345:BC345" si="298">SUM(AM346:AM389)</f>
        <v>2073.4142</v>
      </c>
      <c r="AN345" s="364">
        <f t="shared" si="298"/>
        <v>1544.2215</v>
      </c>
      <c r="AO345" s="364">
        <f t="shared" si="298"/>
        <v>0</v>
      </c>
      <c r="AP345" s="364">
        <f t="shared" si="298"/>
        <v>494.9427</v>
      </c>
      <c r="AQ345" s="364">
        <f t="shared" si="298"/>
        <v>22.08</v>
      </c>
      <c r="AR345" s="364">
        <f t="shared" si="298"/>
        <v>12.17</v>
      </c>
      <c r="AS345" s="364">
        <f t="shared" si="298"/>
        <v>1139.7001</v>
      </c>
      <c r="AT345" s="364">
        <f t="shared" si="298"/>
        <v>295.2317</v>
      </c>
      <c r="AU345" s="364">
        <f t="shared" si="298"/>
        <v>0</v>
      </c>
      <c r="AV345" s="364">
        <f t="shared" si="298"/>
        <v>17.13</v>
      </c>
      <c r="AW345" s="364">
        <f t="shared" si="298"/>
        <v>0</v>
      </c>
      <c r="AX345" s="364">
        <f t="shared" si="298"/>
        <v>0</v>
      </c>
      <c r="AY345" s="364">
        <f t="shared" si="298"/>
        <v>8.49</v>
      </c>
      <c r="AZ345" s="364">
        <f t="shared" si="298"/>
        <v>0</v>
      </c>
      <c r="BA345" s="364">
        <f t="shared" si="298"/>
        <v>457.2</v>
      </c>
      <c r="BB345" s="364">
        <f t="shared" si="298"/>
        <v>188</v>
      </c>
      <c r="BC345" s="364">
        <f t="shared" si="298"/>
        <v>173.6484</v>
      </c>
      <c r="BD345" s="372"/>
      <c r="BE345" s="373"/>
    </row>
    <row r="346" ht="24" spans="1:57">
      <c r="A346" s="284" t="s">
        <v>640</v>
      </c>
      <c r="B346" s="284" t="s">
        <v>196</v>
      </c>
      <c r="C346" s="284" t="s">
        <v>641</v>
      </c>
      <c r="D346" s="284" t="s">
        <v>642</v>
      </c>
      <c r="E346" s="365">
        <f t="shared" ref="E346:E389" si="299">F346+L346</f>
        <v>0</v>
      </c>
      <c r="F346" s="365">
        <f t="shared" ref="F346:F371" si="300">SUM(G346:K346)</f>
        <v>0</v>
      </c>
      <c r="G346" s="365"/>
      <c r="H346" s="365"/>
      <c r="I346" s="365"/>
      <c r="J346" s="365"/>
      <c r="K346" s="365"/>
      <c r="L346" s="365">
        <f t="shared" ref="L346:L389" si="301">SUM(M346:S346)</f>
        <v>0</v>
      </c>
      <c r="M346" s="365"/>
      <c r="N346" s="365"/>
      <c r="O346" s="365"/>
      <c r="P346" s="365"/>
      <c r="Q346" s="365"/>
      <c r="R346" s="365"/>
      <c r="S346" s="365"/>
      <c r="T346" s="366">
        <f t="shared" si="270"/>
        <v>0</v>
      </c>
      <c r="U346" s="366">
        <f t="shared" si="294"/>
        <v>0</v>
      </c>
      <c r="V346" s="366"/>
      <c r="W346" s="366"/>
      <c r="X346" s="366"/>
      <c r="Y346" s="366"/>
      <c r="Z346" s="366"/>
      <c r="AA346" s="365">
        <f t="shared" ref="AA346:AA389" si="302">SUM(AB346:AK346)</f>
        <v>0</v>
      </c>
      <c r="AB346" s="365"/>
      <c r="AC346" s="365"/>
      <c r="AD346" s="365"/>
      <c r="AE346" s="365"/>
      <c r="AF346" s="365"/>
      <c r="AG346" s="365"/>
      <c r="AH346" s="365">
        <v>0</v>
      </c>
      <c r="AI346" s="365"/>
      <c r="AJ346" s="365"/>
      <c r="AK346" s="365"/>
      <c r="AL346" s="366">
        <f t="shared" si="269"/>
        <v>0</v>
      </c>
      <c r="AM346" s="365">
        <f t="shared" ref="AM346:AM389" si="303">SUM(AN346:AR346)</f>
        <v>0</v>
      </c>
      <c r="AN346" s="365">
        <f t="shared" ref="AN346:AN389" si="304">G346+V346</f>
        <v>0</v>
      </c>
      <c r="AO346" s="365">
        <f t="shared" ref="AO346:AO389" si="305">H346+W346</f>
        <v>0</v>
      </c>
      <c r="AP346" s="365">
        <f t="shared" ref="AP346:AP389" si="306">I346+X346</f>
        <v>0</v>
      </c>
      <c r="AQ346" s="365">
        <f t="shared" ref="AQ346:AQ389" si="307">J346+Y346</f>
        <v>0</v>
      </c>
      <c r="AR346" s="365">
        <f t="shared" ref="AR346:AR389" si="308">K346+Z346</f>
        <v>0</v>
      </c>
      <c r="AS346" s="365">
        <f t="shared" si="295"/>
        <v>0</v>
      </c>
      <c r="AT346" s="365">
        <f t="shared" ref="AT346:AT389" si="309">M346+AB346</f>
        <v>0</v>
      </c>
      <c r="AU346" s="365">
        <f t="shared" ref="AU346:AU389" si="310">N346+AC346</f>
        <v>0</v>
      </c>
      <c r="AV346" s="365">
        <f t="shared" ref="AV346:AV389" si="311">O346+AD346</f>
        <v>0</v>
      </c>
      <c r="AW346" s="365">
        <f t="shared" ref="AW346:AW389" si="312">P346+AE346</f>
        <v>0</v>
      </c>
      <c r="AX346" s="365">
        <f t="shared" ref="AX346:AX389" si="313">Q346+AF346</f>
        <v>0</v>
      </c>
      <c r="AY346" s="365">
        <f t="shared" ref="AY346:AY389" si="314">R346+AG346</f>
        <v>0</v>
      </c>
      <c r="AZ346" s="365">
        <f t="shared" ref="AZ346:AZ389" si="315">S346+AH346</f>
        <v>0</v>
      </c>
      <c r="BA346" s="365">
        <f t="shared" ref="BA346:BA389" si="316">AI346</f>
        <v>0</v>
      </c>
      <c r="BB346" s="365">
        <f t="shared" ref="BB346:BB389" si="317">AJ346</f>
        <v>0</v>
      </c>
      <c r="BC346" s="365">
        <f t="shared" ref="BC346:BC389" si="318">AK346</f>
        <v>0</v>
      </c>
      <c r="BD346" s="363"/>
      <c r="BE346">
        <v>24.9192</v>
      </c>
    </row>
    <row r="347" ht="24" spans="1:57">
      <c r="A347" s="284" t="s">
        <v>640</v>
      </c>
      <c r="B347" s="284" t="s">
        <v>196</v>
      </c>
      <c r="C347" s="284" t="s">
        <v>643</v>
      </c>
      <c r="D347" s="284" t="s">
        <v>642</v>
      </c>
      <c r="E347" s="365">
        <f t="shared" si="299"/>
        <v>0</v>
      </c>
      <c r="F347" s="365">
        <f t="shared" si="300"/>
        <v>0</v>
      </c>
      <c r="G347" s="365"/>
      <c r="H347" s="365"/>
      <c r="I347" s="365"/>
      <c r="J347" s="365"/>
      <c r="K347" s="365"/>
      <c r="L347" s="365">
        <f t="shared" si="301"/>
        <v>0</v>
      </c>
      <c r="M347" s="365"/>
      <c r="N347" s="365"/>
      <c r="O347" s="365"/>
      <c r="P347" s="365"/>
      <c r="Q347" s="365"/>
      <c r="R347" s="365"/>
      <c r="S347" s="365"/>
      <c r="T347" s="366">
        <f t="shared" si="270"/>
        <v>0</v>
      </c>
      <c r="U347" s="366">
        <f t="shared" si="294"/>
        <v>0</v>
      </c>
      <c r="V347" s="366"/>
      <c r="W347" s="366"/>
      <c r="X347" s="366"/>
      <c r="Y347" s="366"/>
      <c r="Z347" s="366"/>
      <c r="AA347" s="365">
        <f t="shared" si="302"/>
        <v>0</v>
      </c>
      <c r="AB347" s="365"/>
      <c r="AC347" s="365"/>
      <c r="AD347" s="365"/>
      <c r="AE347" s="365"/>
      <c r="AF347" s="365"/>
      <c r="AG347" s="365"/>
      <c r="AH347" s="365">
        <v>0</v>
      </c>
      <c r="AI347" s="365"/>
      <c r="AJ347" s="365"/>
      <c r="AK347" s="365"/>
      <c r="AL347" s="366">
        <f t="shared" si="269"/>
        <v>0</v>
      </c>
      <c r="AM347" s="365">
        <f t="shared" si="303"/>
        <v>0</v>
      </c>
      <c r="AN347" s="365">
        <f t="shared" si="304"/>
        <v>0</v>
      </c>
      <c r="AO347" s="365">
        <f t="shared" si="305"/>
        <v>0</v>
      </c>
      <c r="AP347" s="365">
        <f t="shared" si="306"/>
        <v>0</v>
      </c>
      <c r="AQ347" s="365">
        <f t="shared" si="307"/>
        <v>0</v>
      </c>
      <c r="AR347" s="365">
        <f t="shared" si="308"/>
        <v>0</v>
      </c>
      <c r="AS347" s="365">
        <f t="shared" si="295"/>
        <v>0</v>
      </c>
      <c r="AT347" s="365">
        <f t="shared" si="309"/>
        <v>0</v>
      </c>
      <c r="AU347" s="365">
        <f t="shared" si="310"/>
        <v>0</v>
      </c>
      <c r="AV347" s="365">
        <f t="shared" si="311"/>
        <v>0</v>
      </c>
      <c r="AW347" s="365">
        <f t="shared" si="312"/>
        <v>0</v>
      </c>
      <c r="AX347" s="365">
        <f t="shared" si="313"/>
        <v>0</v>
      </c>
      <c r="AY347" s="365">
        <f t="shared" si="314"/>
        <v>0</v>
      </c>
      <c r="AZ347" s="365">
        <f t="shared" si="315"/>
        <v>0</v>
      </c>
      <c r="BA347" s="365">
        <f t="shared" si="316"/>
        <v>0</v>
      </c>
      <c r="BB347" s="365">
        <f t="shared" si="317"/>
        <v>0</v>
      </c>
      <c r="BC347" s="365">
        <f t="shared" si="318"/>
        <v>0</v>
      </c>
      <c r="BD347" s="363"/>
      <c r="BE347">
        <v>12.2078</v>
      </c>
    </row>
    <row r="348" ht="24" spans="1:57">
      <c r="A348" s="284" t="s">
        <v>640</v>
      </c>
      <c r="B348" s="284" t="s">
        <v>196</v>
      </c>
      <c r="C348" s="284" t="s">
        <v>644</v>
      </c>
      <c r="D348" s="284" t="s">
        <v>642</v>
      </c>
      <c r="E348" s="365">
        <f t="shared" si="299"/>
        <v>0</v>
      </c>
      <c r="F348" s="365">
        <f t="shared" si="300"/>
        <v>0</v>
      </c>
      <c r="G348" s="365"/>
      <c r="H348" s="365"/>
      <c r="I348" s="365"/>
      <c r="J348" s="365"/>
      <c r="K348" s="365"/>
      <c r="L348" s="365">
        <f t="shared" si="301"/>
        <v>0</v>
      </c>
      <c r="M348" s="365"/>
      <c r="N348" s="365"/>
      <c r="O348" s="365"/>
      <c r="P348" s="365"/>
      <c r="Q348" s="365"/>
      <c r="R348" s="365"/>
      <c r="S348" s="365"/>
      <c r="T348" s="366">
        <f t="shared" si="270"/>
        <v>0</v>
      </c>
      <c r="U348" s="366">
        <f t="shared" si="294"/>
        <v>0</v>
      </c>
      <c r="V348" s="366"/>
      <c r="W348" s="366"/>
      <c r="X348" s="366"/>
      <c r="Y348" s="366"/>
      <c r="Z348" s="366"/>
      <c r="AA348" s="365">
        <f t="shared" si="302"/>
        <v>0</v>
      </c>
      <c r="AB348" s="365"/>
      <c r="AC348" s="365"/>
      <c r="AD348" s="365"/>
      <c r="AE348" s="365"/>
      <c r="AF348" s="365"/>
      <c r="AG348" s="365"/>
      <c r="AH348" s="365">
        <v>0</v>
      </c>
      <c r="AI348" s="365"/>
      <c r="AJ348" s="365"/>
      <c r="AK348" s="365"/>
      <c r="AL348" s="366">
        <f t="shared" si="269"/>
        <v>0</v>
      </c>
      <c r="AM348" s="365">
        <f t="shared" si="303"/>
        <v>0</v>
      </c>
      <c r="AN348" s="365">
        <f t="shared" si="304"/>
        <v>0</v>
      </c>
      <c r="AO348" s="365">
        <f t="shared" si="305"/>
        <v>0</v>
      </c>
      <c r="AP348" s="365">
        <f t="shared" si="306"/>
        <v>0</v>
      </c>
      <c r="AQ348" s="365">
        <f t="shared" si="307"/>
        <v>0</v>
      </c>
      <c r="AR348" s="365">
        <f t="shared" si="308"/>
        <v>0</v>
      </c>
      <c r="AS348" s="365">
        <f t="shared" si="295"/>
        <v>0</v>
      </c>
      <c r="AT348" s="365">
        <f t="shared" si="309"/>
        <v>0</v>
      </c>
      <c r="AU348" s="365">
        <f t="shared" si="310"/>
        <v>0</v>
      </c>
      <c r="AV348" s="365">
        <f t="shared" si="311"/>
        <v>0</v>
      </c>
      <c r="AW348" s="365">
        <f t="shared" si="312"/>
        <v>0</v>
      </c>
      <c r="AX348" s="365">
        <f t="shared" si="313"/>
        <v>0</v>
      </c>
      <c r="AY348" s="365">
        <f t="shared" si="314"/>
        <v>0</v>
      </c>
      <c r="AZ348" s="365">
        <f t="shared" si="315"/>
        <v>0</v>
      </c>
      <c r="BA348" s="365">
        <f t="shared" si="316"/>
        <v>0</v>
      </c>
      <c r="BB348" s="365">
        <f t="shared" si="317"/>
        <v>0</v>
      </c>
      <c r="BC348" s="365">
        <f t="shared" si="318"/>
        <v>0</v>
      </c>
      <c r="BD348" s="363"/>
      <c r="BE348">
        <v>0.9004</v>
      </c>
    </row>
    <row r="349" ht="24" spans="1:57">
      <c r="A349" s="284" t="s">
        <v>640</v>
      </c>
      <c r="B349" s="284" t="s">
        <v>196</v>
      </c>
      <c r="C349" s="284" t="s">
        <v>645</v>
      </c>
      <c r="D349" s="284" t="s">
        <v>642</v>
      </c>
      <c r="E349" s="365">
        <f t="shared" si="299"/>
        <v>0</v>
      </c>
      <c r="F349" s="365">
        <f t="shared" si="300"/>
        <v>0</v>
      </c>
      <c r="G349" s="365"/>
      <c r="H349" s="365"/>
      <c r="I349" s="365"/>
      <c r="J349" s="365"/>
      <c r="K349" s="365"/>
      <c r="L349" s="365">
        <f t="shared" si="301"/>
        <v>0</v>
      </c>
      <c r="M349" s="365"/>
      <c r="N349" s="365"/>
      <c r="O349" s="365"/>
      <c r="P349" s="365"/>
      <c r="Q349" s="365"/>
      <c r="R349" s="365"/>
      <c r="S349" s="365"/>
      <c r="T349" s="366">
        <f t="shared" si="270"/>
        <v>0</v>
      </c>
      <c r="U349" s="366">
        <f t="shared" si="294"/>
        <v>0</v>
      </c>
      <c r="V349" s="366"/>
      <c r="W349" s="366"/>
      <c r="X349" s="366"/>
      <c r="Y349" s="366"/>
      <c r="Z349" s="366"/>
      <c r="AA349" s="365">
        <f t="shared" si="302"/>
        <v>0</v>
      </c>
      <c r="AB349" s="365"/>
      <c r="AC349" s="365"/>
      <c r="AD349" s="365"/>
      <c r="AE349" s="365"/>
      <c r="AF349" s="365"/>
      <c r="AG349" s="365"/>
      <c r="AH349" s="365">
        <v>0</v>
      </c>
      <c r="AI349" s="365"/>
      <c r="AJ349" s="365"/>
      <c r="AK349" s="365"/>
      <c r="AL349" s="366">
        <f t="shared" si="269"/>
        <v>0</v>
      </c>
      <c r="AM349" s="365">
        <f t="shared" si="303"/>
        <v>0</v>
      </c>
      <c r="AN349" s="365">
        <f t="shared" si="304"/>
        <v>0</v>
      </c>
      <c r="AO349" s="365">
        <f t="shared" si="305"/>
        <v>0</v>
      </c>
      <c r="AP349" s="365">
        <f t="shared" si="306"/>
        <v>0</v>
      </c>
      <c r="AQ349" s="365">
        <f t="shared" si="307"/>
        <v>0</v>
      </c>
      <c r="AR349" s="365">
        <f t="shared" si="308"/>
        <v>0</v>
      </c>
      <c r="AS349" s="365">
        <f t="shared" si="295"/>
        <v>0</v>
      </c>
      <c r="AT349" s="365">
        <f t="shared" si="309"/>
        <v>0</v>
      </c>
      <c r="AU349" s="365">
        <f t="shared" si="310"/>
        <v>0</v>
      </c>
      <c r="AV349" s="365">
        <f t="shared" si="311"/>
        <v>0</v>
      </c>
      <c r="AW349" s="365">
        <f t="shared" si="312"/>
        <v>0</v>
      </c>
      <c r="AX349" s="365">
        <f t="shared" si="313"/>
        <v>0</v>
      </c>
      <c r="AY349" s="365">
        <f t="shared" si="314"/>
        <v>0</v>
      </c>
      <c r="AZ349" s="365">
        <f t="shared" si="315"/>
        <v>0</v>
      </c>
      <c r="BA349" s="365">
        <f t="shared" si="316"/>
        <v>0</v>
      </c>
      <c r="BB349" s="365">
        <f t="shared" si="317"/>
        <v>0</v>
      </c>
      <c r="BC349" s="365">
        <f t="shared" si="318"/>
        <v>0</v>
      </c>
      <c r="BD349" s="363"/>
      <c r="BE349">
        <v>1.6614</v>
      </c>
    </row>
    <row r="350" ht="24" spans="1:57">
      <c r="A350" s="284" t="s">
        <v>640</v>
      </c>
      <c r="B350" s="284" t="s">
        <v>199</v>
      </c>
      <c r="C350" s="284" t="s">
        <v>646</v>
      </c>
      <c r="D350" s="284" t="s">
        <v>647</v>
      </c>
      <c r="E350" s="365">
        <f t="shared" si="299"/>
        <v>189.26</v>
      </c>
      <c r="F350" s="365">
        <f t="shared" si="300"/>
        <v>105.4</v>
      </c>
      <c r="G350" s="365">
        <v>80.55</v>
      </c>
      <c r="H350" s="365"/>
      <c r="I350" s="365">
        <v>24.85</v>
      </c>
      <c r="J350" s="365"/>
      <c r="K350" s="365"/>
      <c r="L350" s="365">
        <f t="shared" si="301"/>
        <v>83.86</v>
      </c>
      <c r="M350" s="366">
        <v>14.86</v>
      </c>
      <c r="N350" s="365"/>
      <c r="O350" s="365"/>
      <c r="P350" s="365"/>
      <c r="Q350" s="365"/>
      <c r="R350" s="365"/>
      <c r="S350" s="365">
        <v>69</v>
      </c>
      <c r="T350" s="366">
        <f t="shared" si="270"/>
        <v>-6.83</v>
      </c>
      <c r="U350" s="366">
        <f t="shared" si="294"/>
        <v>10.36</v>
      </c>
      <c r="V350" s="366">
        <v>10.13</v>
      </c>
      <c r="W350" s="366"/>
      <c r="X350" s="366">
        <v>0.23</v>
      </c>
      <c r="Y350" s="366"/>
      <c r="Z350" s="366"/>
      <c r="AA350" s="365">
        <f t="shared" si="302"/>
        <v>-17.19</v>
      </c>
      <c r="AB350" s="365">
        <v>0.14</v>
      </c>
      <c r="AC350" s="365"/>
      <c r="AD350" s="365"/>
      <c r="AE350" s="365"/>
      <c r="AF350" s="365"/>
      <c r="AG350" s="365"/>
      <c r="AH350" s="365">
        <v>-69</v>
      </c>
      <c r="AI350" s="365">
        <v>23.82</v>
      </c>
      <c r="AJ350" s="365">
        <v>7</v>
      </c>
      <c r="AK350" s="365">
        <v>20.85</v>
      </c>
      <c r="AL350" s="366">
        <f t="shared" si="269"/>
        <v>182.43</v>
      </c>
      <c r="AM350" s="365">
        <f t="shared" si="303"/>
        <v>115.76</v>
      </c>
      <c r="AN350" s="365">
        <f t="shared" si="304"/>
        <v>90.68</v>
      </c>
      <c r="AO350" s="365">
        <f t="shared" si="305"/>
        <v>0</v>
      </c>
      <c r="AP350" s="365">
        <f t="shared" si="306"/>
        <v>25.08</v>
      </c>
      <c r="AQ350" s="365">
        <f t="shared" si="307"/>
        <v>0</v>
      </c>
      <c r="AR350" s="365">
        <f t="shared" si="308"/>
        <v>0</v>
      </c>
      <c r="AS350" s="365">
        <f t="shared" si="295"/>
        <v>66.67</v>
      </c>
      <c r="AT350" s="365">
        <f t="shared" si="309"/>
        <v>15</v>
      </c>
      <c r="AU350" s="365">
        <f t="shared" si="310"/>
        <v>0</v>
      </c>
      <c r="AV350" s="365">
        <f t="shared" si="311"/>
        <v>0</v>
      </c>
      <c r="AW350" s="365">
        <f t="shared" si="312"/>
        <v>0</v>
      </c>
      <c r="AX350" s="365">
        <f t="shared" si="313"/>
        <v>0</v>
      </c>
      <c r="AY350" s="365">
        <f t="shared" si="314"/>
        <v>0</v>
      </c>
      <c r="AZ350" s="365">
        <f t="shared" si="315"/>
        <v>0</v>
      </c>
      <c r="BA350" s="365">
        <f t="shared" si="316"/>
        <v>23.82</v>
      </c>
      <c r="BB350" s="365">
        <f t="shared" si="317"/>
        <v>7</v>
      </c>
      <c r="BC350" s="365">
        <f t="shared" si="318"/>
        <v>20.85</v>
      </c>
      <c r="BD350" s="363"/>
      <c r="BE350">
        <v>20.85</v>
      </c>
    </row>
    <row r="351" ht="24" spans="1:57">
      <c r="A351" s="284" t="s">
        <v>640</v>
      </c>
      <c r="B351" s="284" t="s">
        <v>199</v>
      </c>
      <c r="C351" s="284" t="s">
        <v>648</v>
      </c>
      <c r="D351" s="284" t="s">
        <v>647</v>
      </c>
      <c r="E351" s="365">
        <f t="shared" si="299"/>
        <v>140.78</v>
      </c>
      <c r="F351" s="365">
        <f t="shared" si="300"/>
        <v>70.76</v>
      </c>
      <c r="G351" s="365">
        <v>52.4</v>
      </c>
      <c r="H351" s="365"/>
      <c r="I351" s="365">
        <v>18.36</v>
      </c>
      <c r="J351" s="365"/>
      <c r="K351" s="365"/>
      <c r="L351" s="365">
        <f t="shared" si="301"/>
        <v>70.02</v>
      </c>
      <c r="M351" s="365">
        <v>11.02</v>
      </c>
      <c r="N351" s="365"/>
      <c r="O351" s="365"/>
      <c r="P351" s="365"/>
      <c r="Q351" s="365"/>
      <c r="R351" s="365"/>
      <c r="S351" s="365">
        <v>59</v>
      </c>
      <c r="T351" s="366">
        <f t="shared" si="270"/>
        <v>-9.332</v>
      </c>
      <c r="U351" s="366">
        <f t="shared" si="294"/>
        <v>14.01</v>
      </c>
      <c r="V351" s="366">
        <v>11.7</v>
      </c>
      <c r="W351" s="366"/>
      <c r="X351" s="366">
        <v>2.31</v>
      </c>
      <c r="Y351" s="366"/>
      <c r="Z351" s="366"/>
      <c r="AA351" s="365">
        <f t="shared" si="302"/>
        <v>-23.342</v>
      </c>
      <c r="AB351" s="365">
        <v>1.3846</v>
      </c>
      <c r="AC351" s="365"/>
      <c r="AD351" s="365"/>
      <c r="AE351" s="365"/>
      <c r="AF351" s="365"/>
      <c r="AG351" s="365"/>
      <c r="AH351" s="365">
        <v>-59</v>
      </c>
      <c r="AI351" s="365">
        <v>21</v>
      </c>
      <c r="AJ351" s="365">
        <v>6</v>
      </c>
      <c r="AK351" s="365">
        <v>7.2734</v>
      </c>
      <c r="AL351" s="366">
        <f t="shared" si="269"/>
        <v>131.448</v>
      </c>
      <c r="AM351" s="365">
        <f t="shared" si="303"/>
        <v>84.77</v>
      </c>
      <c r="AN351" s="365">
        <f t="shared" si="304"/>
        <v>64.1</v>
      </c>
      <c r="AO351" s="365">
        <f t="shared" si="305"/>
        <v>0</v>
      </c>
      <c r="AP351" s="365">
        <f t="shared" si="306"/>
        <v>20.67</v>
      </c>
      <c r="AQ351" s="365">
        <f t="shared" si="307"/>
        <v>0</v>
      </c>
      <c r="AR351" s="365">
        <f t="shared" si="308"/>
        <v>0</v>
      </c>
      <c r="AS351" s="365">
        <f t="shared" si="295"/>
        <v>46.678</v>
      </c>
      <c r="AT351" s="365">
        <f t="shared" si="309"/>
        <v>12.4046</v>
      </c>
      <c r="AU351" s="365">
        <f t="shared" si="310"/>
        <v>0</v>
      </c>
      <c r="AV351" s="365">
        <f t="shared" si="311"/>
        <v>0</v>
      </c>
      <c r="AW351" s="365">
        <f t="shared" si="312"/>
        <v>0</v>
      </c>
      <c r="AX351" s="365">
        <f t="shared" si="313"/>
        <v>0</v>
      </c>
      <c r="AY351" s="365">
        <f t="shared" si="314"/>
        <v>0</v>
      </c>
      <c r="AZ351" s="365">
        <f t="shared" si="315"/>
        <v>0</v>
      </c>
      <c r="BA351" s="365">
        <f t="shared" si="316"/>
        <v>21</v>
      </c>
      <c r="BB351" s="365">
        <f t="shared" si="317"/>
        <v>6</v>
      </c>
      <c r="BC351" s="365">
        <f t="shared" si="318"/>
        <v>7.2734</v>
      </c>
      <c r="BD351" s="363"/>
      <c r="BE351">
        <v>7.2734</v>
      </c>
    </row>
    <row r="352" ht="24" spans="1:57">
      <c r="A352" s="284" t="s">
        <v>640</v>
      </c>
      <c r="B352" s="284" t="s">
        <v>199</v>
      </c>
      <c r="C352" s="284" t="s">
        <v>649</v>
      </c>
      <c r="D352" s="284" t="s">
        <v>647</v>
      </c>
      <c r="E352" s="365">
        <f t="shared" si="299"/>
        <v>81.04</v>
      </c>
      <c r="F352" s="365">
        <f t="shared" si="300"/>
        <v>45.34</v>
      </c>
      <c r="G352" s="365">
        <v>34.85</v>
      </c>
      <c r="H352" s="365"/>
      <c r="I352" s="365">
        <v>9.5</v>
      </c>
      <c r="J352" s="365"/>
      <c r="K352" s="365">
        <v>0.99</v>
      </c>
      <c r="L352" s="365">
        <f t="shared" si="301"/>
        <v>35.7</v>
      </c>
      <c r="M352" s="365">
        <v>5.7</v>
      </c>
      <c r="N352" s="365"/>
      <c r="O352" s="365"/>
      <c r="P352" s="365"/>
      <c r="Q352" s="365"/>
      <c r="R352" s="365"/>
      <c r="S352" s="365">
        <v>30</v>
      </c>
      <c r="T352" s="366">
        <f t="shared" si="270"/>
        <v>-9.2939</v>
      </c>
      <c r="U352" s="366">
        <f t="shared" si="294"/>
        <v>4.5661</v>
      </c>
      <c r="V352" s="366">
        <v>4.5036</v>
      </c>
      <c r="W352" s="366"/>
      <c r="X352" s="366">
        <v>0.1125</v>
      </c>
      <c r="Y352" s="366"/>
      <c r="Z352" s="366">
        <v>-0.05</v>
      </c>
      <c r="AA352" s="365">
        <f t="shared" si="302"/>
        <v>-13.86</v>
      </c>
      <c r="AB352" s="365">
        <v>0.07</v>
      </c>
      <c r="AC352" s="365"/>
      <c r="AD352" s="365"/>
      <c r="AE352" s="365"/>
      <c r="AF352" s="365"/>
      <c r="AG352" s="365"/>
      <c r="AH352" s="365">
        <v>-30</v>
      </c>
      <c r="AI352" s="365">
        <v>9.23</v>
      </c>
      <c r="AJ352" s="365">
        <v>4</v>
      </c>
      <c r="AK352" s="365">
        <v>2.84</v>
      </c>
      <c r="AL352" s="366">
        <f t="shared" si="269"/>
        <v>71.7461</v>
      </c>
      <c r="AM352" s="365">
        <f t="shared" si="303"/>
        <v>49.9061</v>
      </c>
      <c r="AN352" s="365">
        <f t="shared" si="304"/>
        <v>39.3536</v>
      </c>
      <c r="AO352" s="365">
        <f t="shared" si="305"/>
        <v>0</v>
      </c>
      <c r="AP352" s="365">
        <f t="shared" si="306"/>
        <v>9.6125</v>
      </c>
      <c r="AQ352" s="365">
        <f t="shared" si="307"/>
        <v>0</v>
      </c>
      <c r="AR352" s="365">
        <f t="shared" si="308"/>
        <v>0.94</v>
      </c>
      <c r="AS352" s="365">
        <f t="shared" si="295"/>
        <v>21.84</v>
      </c>
      <c r="AT352" s="365">
        <f t="shared" si="309"/>
        <v>5.77</v>
      </c>
      <c r="AU352" s="365">
        <f t="shared" si="310"/>
        <v>0</v>
      </c>
      <c r="AV352" s="365">
        <f t="shared" si="311"/>
        <v>0</v>
      </c>
      <c r="AW352" s="365">
        <f t="shared" si="312"/>
        <v>0</v>
      </c>
      <c r="AX352" s="365">
        <f t="shared" si="313"/>
        <v>0</v>
      </c>
      <c r="AY352" s="365">
        <f t="shared" si="314"/>
        <v>0</v>
      </c>
      <c r="AZ352" s="365">
        <f t="shared" si="315"/>
        <v>0</v>
      </c>
      <c r="BA352" s="365">
        <f t="shared" si="316"/>
        <v>9.23</v>
      </c>
      <c r="BB352" s="365">
        <f t="shared" si="317"/>
        <v>4</v>
      </c>
      <c r="BC352" s="365">
        <f t="shared" si="318"/>
        <v>2.84</v>
      </c>
      <c r="BD352" s="363"/>
      <c r="BE352">
        <v>2.84</v>
      </c>
    </row>
    <row r="353" ht="24" spans="1:57">
      <c r="A353" s="284" t="s">
        <v>640</v>
      </c>
      <c r="B353" s="284" t="s">
        <v>199</v>
      </c>
      <c r="C353" s="284" t="s">
        <v>650</v>
      </c>
      <c r="D353" s="284" t="s">
        <v>647</v>
      </c>
      <c r="E353" s="365">
        <f t="shared" si="299"/>
        <v>83.87</v>
      </c>
      <c r="F353" s="365">
        <f t="shared" si="300"/>
        <v>47.18</v>
      </c>
      <c r="G353" s="365">
        <v>35.09</v>
      </c>
      <c r="H353" s="365"/>
      <c r="I353" s="365">
        <v>11.15</v>
      </c>
      <c r="J353" s="365"/>
      <c r="K353" s="365">
        <v>0.94</v>
      </c>
      <c r="L353" s="365">
        <f t="shared" si="301"/>
        <v>36.69</v>
      </c>
      <c r="M353" s="365">
        <v>6.69</v>
      </c>
      <c r="N353" s="365"/>
      <c r="O353" s="365"/>
      <c r="P353" s="365"/>
      <c r="Q353" s="365"/>
      <c r="R353" s="365"/>
      <c r="S353" s="365">
        <v>30</v>
      </c>
      <c r="T353" s="366">
        <f t="shared" si="270"/>
        <v>-8.15</v>
      </c>
      <c r="U353" s="366">
        <f t="shared" si="294"/>
        <v>4.99</v>
      </c>
      <c r="V353" s="366">
        <v>4.94</v>
      </c>
      <c r="W353" s="366"/>
      <c r="X353" s="366">
        <v>0.05</v>
      </c>
      <c r="Y353" s="366"/>
      <c r="Z353" s="366"/>
      <c r="AA353" s="365">
        <f t="shared" si="302"/>
        <v>-13.14</v>
      </c>
      <c r="AB353" s="365">
        <v>0.3</v>
      </c>
      <c r="AC353" s="365"/>
      <c r="AD353" s="365"/>
      <c r="AE353" s="365"/>
      <c r="AF353" s="365"/>
      <c r="AG353" s="365"/>
      <c r="AH353" s="365">
        <v>-30</v>
      </c>
      <c r="AI353" s="365">
        <v>10.05</v>
      </c>
      <c r="AJ353" s="365">
        <v>3</v>
      </c>
      <c r="AK353" s="365">
        <v>3.51</v>
      </c>
      <c r="AL353" s="366">
        <f t="shared" si="269"/>
        <v>75.72</v>
      </c>
      <c r="AM353" s="365">
        <f t="shared" si="303"/>
        <v>52.17</v>
      </c>
      <c r="AN353" s="365">
        <f t="shared" si="304"/>
        <v>40.03</v>
      </c>
      <c r="AO353" s="365">
        <f t="shared" si="305"/>
        <v>0</v>
      </c>
      <c r="AP353" s="365">
        <f t="shared" si="306"/>
        <v>11.2</v>
      </c>
      <c r="AQ353" s="365">
        <f t="shared" si="307"/>
        <v>0</v>
      </c>
      <c r="AR353" s="365">
        <f t="shared" si="308"/>
        <v>0.94</v>
      </c>
      <c r="AS353" s="365">
        <f t="shared" si="295"/>
        <v>23.55</v>
      </c>
      <c r="AT353" s="365">
        <f t="shared" si="309"/>
        <v>6.99</v>
      </c>
      <c r="AU353" s="365">
        <f t="shared" si="310"/>
        <v>0</v>
      </c>
      <c r="AV353" s="365">
        <f t="shared" si="311"/>
        <v>0</v>
      </c>
      <c r="AW353" s="365">
        <f t="shared" si="312"/>
        <v>0</v>
      </c>
      <c r="AX353" s="365">
        <f t="shared" si="313"/>
        <v>0</v>
      </c>
      <c r="AY353" s="365">
        <f t="shared" si="314"/>
        <v>0</v>
      </c>
      <c r="AZ353" s="365">
        <f t="shared" si="315"/>
        <v>0</v>
      </c>
      <c r="BA353" s="365">
        <f t="shared" si="316"/>
        <v>10.05</v>
      </c>
      <c r="BB353" s="365">
        <f t="shared" si="317"/>
        <v>3</v>
      </c>
      <c r="BC353" s="365">
        <f t="shared" si="318"/>
        <v>3.51</v>
      </c>
      <c r="BD353" s="363"/>
      <c r="BE353">
        <v>3.51</v>
      </c>
    </row>
    <row r="354" ht="24" spans="1:57">
      <c r="A354" s="284" t="s">
        <v>640</v>
      </c>
      <c r="B354" s="284" t="s">
        <v>199</v>
      </c>
      <c r="C354" s="284" t="s">
        <v>651</v>
      </c>
      <c r="D354" s="284" t="s">
        <v>647</v>
      </c>
      <c r="E354" s="365">
        <f t="shared" si="299"/>
        <v>136.92</v>
      </c>
      <c r="F354" s="365">
        <f t="shared" si="300"/>
        <v>72.09</v>
      </c>
      <c r="G354" s="365">
        <v>54.04</v>
      </c>
      <c r="H354" s="365"/>
      <c r="I354" s="365">
        <v>18.05</v>
      </c>
      <c r="J354" s="365"/>
      <c r="K354" s="365"/>
      <c r="L354" s="365">
        <f t="shared" si="301"/>
        <v>64.83</v>
      </c>
      <c r="M354" s="365">
        <v>10.83</v>
      </c>
      <c r="N354" s="365"/>
      <c r="O354" s="365"/>
      <c r="P354" s="365"/>
      <c r="Q354" s="365"/>
      <c r="R354" s="365"/>
      <c r="S354" s="365">
        <v>54</v>
      </c>
      <c r="T354" s="366">
        <f t="shared" si="270"/>
        <v>-16.406</v>
      </c>
      <c r="U354" s="366">
        <f t="shared" si="294"/>
        <v>6.41</v>
      </c>
      <c r="V354" s="366">
        <v>6.39</v>
      </c>
      <c r="W354" s="366"/>
      <c r="X354" s="366">
        <v>0.02</v>
      </c>
      <c r="Y354" s="366"/>
      <c r="Z354" s="366"/>
      <c r="AA354" s="365">
        <f t="shared" si="302"/>
        <v>-22.816</v>
      </c>
      <c r="AB354" s="365">
        <v>0.094</v>
      </c>
      <c r="AC354" s="365"/>
      <c r="AD354" s="365"/>
      <c r="AE354" s="365"/>
      <c r="AF354" s="365"/>
      <c r="AG354" s="365"/>
      <c r="AH354" s="365">
        <v>-54</v>
      </c>
      <c r="AI354" s="365">
        <v>17.4</v>
      </c>
      <c r="AJ354" s="365">
        <v>7</v>
      </c>
      <c r="AK354" s="365">
        <v>6.69</v>
      </c>
      <c r="AL354" s="366">
        <f t="shared" si="269"/>
        <v>120.514</v>
      </c>
      <c r="AM354" s="365">
        <f t="shared" si="303"/>
        <v>78.5</v>
      </c>
      <c r="AN354" s="365">
        <f t="shared" si="304"/>
        <v>60.43</v>
      </c>
      <c r="AO354" s="365">
        <f t="shared" si="305"/>
        <v>0</v>
      </c>
      <c r="AP354" s="365">
        <f t="shared" si="306"/>
        <v>18.07</v>
      </c>
      <c r="AQ354" s="365">
        <f t="shared" si="307"/>
        <v>0</v>
      </c>
      <c r="AR354" s="365">
        <f t="shared" si="308"/>
        <v>0</v>
      </c>
      <c r="AS354" s="365">
        <f t="shared" si="295"/>
        <v>42.014</v>
      </c>
      <c r="AT354" s="365">
        <f t="shared" si="309"/>
        <v>10.924</v>
      </c>
      <c r="AU354" s="365">
        <f t="shared" si="310"/>
        <v>0</v>
      </c>
      <c r="AV354" s="365">
        <f t="shared" si="311"/>
        <v>0</v>
      </c>
      <c r="AW354" s="365">
        <f t="shared" si="312"/>
        <v>0</v>
      </c>
      <c r="AX354" s="365">
        <f t="shared" si="313"/>
        <v>0</v>
      </c>
      <c r="AY354" s="365">
        <f t="shared" si="314"/>
        <v>0</v>
      </c>
      <c r="AZ354" s="365">
        <f t="shared" si="315"/>
        <v>0</v>
      </c>
      <c r="BA354" s="365">
        <f t="shared" si="316"/>
        <v>17.4</v>
      </c>
      <c r="BB354" s="365">
        <f t="shared" si="317"/>
        <v>7</v>
      </c>
      <c r="BC354" s="365">
        <f t="shared" si="318"/>
        <v>6.69</v>
      </c>
      <c r="BD354" s="363"/>
      <c r="BE354">
        <v>6.69</v>
      </c>
    </row>
    <row r="355" ht="24" spans="1:57">
      <c r="A355" s="284" t="s">
        <v>640</v>
      </c>
      <c r="B355" s="284" t="s">
        <v>199</v>
      </c>
      <c r="C355" s="284" t="s">
        <v>652</v>
      </c>
      <c r="D355" s="284" t="s">
        <v>647</v>
      </c>
      <c r="E355" s="365">
        <f t="shared" si="299"/>
        <v>30.49</v>
      </c>
      <c r="F355" s="365">
        <f t="shared" si="300"/>
        <v>12.97</v>
      </c>
      <c r="G355" s="365">
        <v>8.77</v>
      </c>
      <c r="H355" s="365"/>
      <c r="I355" s="365">
        <v>4.2</v>
      </c>
      <c r="J355" s="365"/>
      <c r="K355" s="365"/>
      <c r="L355" s="365">
        <f t="shared" si="301"/>
        <v>17.52</v>
      </c>
      <c r="M355" s="365">
        <v>2.52</v>
      </c>
      <c r="N355" s="365"/>
      <c r="O355" s="365"/>
      <c r="P355" s="365"/>
      <c r="Q355" s="365"/>
      <c r="R355" s="365"/>
      <c r="S355" s="365">
        <v>15</v>
      </c>
      <c r="T355" s="366">
        <f t="shared" si="270"/>
        <v>-5.92</v>
      </c>
      <c r="U355" s="366">
        <f t="shared" si="294"/>
        <v>1.23</v>
      </c>
      <c r="V355" s="366">
        <v>1.23</v>
      </c>
      <c r="W355" s="366"/>
      <c r="X355" s="366"/>
      <c r="Y355" s="366"/>
      <c r="Z355" s="366"/>
      <c r="AA355" s="365">
        <f t="shared" si="302"/>
        <v>-7.15</v>
      </c>
      <c r="AB355" s="365"/>
      <c r="AC355" s="365"/>
      <c r="AD355" s="365"/>
      <c r="AE355" s="365"/>
      <c r="AF355" s="365"/>
      <c r="AG355" s="365"/>
      <c r="AH355" s="365">
        <v>-15</v>
      </c>
      <c r="AI355" s="365">
        <v>4.35</v>
      </c>
      <c r="AJ355" s="365">
        <v>2</v>
      </c>
      <c r="AK355" s="365">
        <v>1.5</v>
      </c>
      <c r="AL355" s="366">
        <f t="shared" si="269"/>
        <v>24.57</v>
      </c>
      <c r="AM355" s="365">
        <f t="shared" si="303"/>
        <v>14.2</v>
      </c>
      <c r="AN355" s="365">
        <f t="shared" si="304"/>
        <v>10</v>
      </c>
      <c r="AO355" s="365">
        <f t="shared" si="305"/>
        <v>0</v>
      </c>
      <c r="AP355" s="365">
        <f t="shared" si="306"/>
        <v>4.2</v>
      </c>
      <c r="AQ355" s="365">
        <f t="shared" si="307"/>
        <v>0</v>
      </c>
      <c r="AR355" s="365">
        <f t="shared" si="308"/>
        <v>0</v>
      </c>
      <c r="AS355" s="365">
        <f t="shared" si="295"/>
        <v>10.37</v>
      </c>
      <c r="AT355" s="365">
        <f t="shared" si="309"/>
        <v>2.52</v>
      </c>
      <c r="AU355" s="365">
        <f t="shared" si="310"/>
        <v>0</v>
      </c>
      <c r="AV355" s="365">
        <f t="shared" si="311"/>
        <v>0</v>
      </c>
      <c r="AW355" s="365">
        <f t="shared" si="312"/>
        <v>0</v>
      </c>
      <c r="AX355" s="365">
        <f t="shared" si="313"/>
        <v>0</v>
      </c>
      <c r="AY355" s="365">
        <f t="shared" si="314"/>
        <v>0</v>
      </c>
      <c r="AZ355" s="365">
        <f t="shared" si="315"/>
        <v>0</v>
      </c>
      <c r="BA355" s="365">
        <f t="shared" si="316"/>
        <v>4.35</v>
      </c>
      <c r="BB355" s="365">
        <f t="shared" si="317"/>
        <v>2</v>
      </c>
      <c r="BC355" s="365">
        <f t="shared" si="318"/>
        <v>1.5</v>
      </c>
      <c r="BD355" s="363"/>
      <c r="BE355">
        <v>1.5</v>
      </c>
    </row>
    <row r="356" ht="24" spans="1:57">
      <c r="A356" s="284" t="s">
        <v>640</v>
      </c>
      <c r="B356" s="284" t="s">
        <v>199</v>
      </c>
      <c r="C356" s="284" t="s">
        <v>653</v>
      </c>
      <c r="D356" s="284" t="s">
        <v>647</v>
      </c>
      <c r="E356" s="365">
        <f t="shared" si="299"/>
        <v>64.51</v>
      </c>
      <c r="F356" s="365">
        <f t="shared" si="300"/>
        <v>29.6</v>
      </c>
      <c r="G356" s="365">
        <v>20.8</v>
      </c>
      <c r="H356" s="365"/>
      <c r="I356" s="365">
        <v>8.18</v>
      </c>
      <c r="J356" s="365"/>
      <c r="K356" s="365">
        <v>0.62</v>
      </c>
      <c r="L356" s="365">
        <f t="shared" si="301"/>
        <v>34.91</v>
      </c>
      <c r="M356" s="365">
        <v>4.91</v>
      </c>
      <c r="N356" s="365"/>
      <c r="O356" s="365"/>
      <c r="P356" s="365"/>
      <c r="Q356" s="365"/>
      <c r="R356" s="365"/>
      <c r="S356" s="365">
        <v>30</v>
      </c>
      <c r="T356" s="366">
        <f t="shared" si="270"/>
        <v>-12.01</v>
      </c>
      <c r="U356" s="366">
        <f t="shared" si="294"/>
        <v>2.71</v>
      </c>
      <c r="V356" s="366">
        <v>2.71</v>
      </c>
      <c r="W356" s="366"/>
      <c r="X356" s="366"/>
      <c r="Y356" s="366"/>
      <c r="Z356" s="366"/>
      <c r="AA356" s="365">
        <f t="shared" si="302"/>
        <v>-14.72</v>
      </c>
      <c r="AB356" s="365"/>
      <c r="AC356" s="365"/>
      <c r="AD356" s="365"/>
      <c r="AE356" s="365"/>
      <c r="AF356" s="365"/>
      <c r="AG356" s="365"/>
      <c r="AH356" s="365">
        <v>-30</v>
      </c>
      <c r="AI356" s="365">
        <v>8.28</v>
      </c>
      <c r="AJ356" s="365">
        <v>4</v>
      </c>
      <c r="AK356" s="365">
        <v>3</v>
      </c>
      <c r="AL356" s="366">
        <f t="shared" si="269"/>
        <v>52.5</v>
      </c>
      <c r="AM356" s="365">
        <f t="shared" si="303"/>
        <v>32.31</v>
      </c>
      <c r="AN356" s="365">
        <f t="shared" si="304"/>
        <v>23.51</v>
      </c>
      <c r="AO356" s="365">
        <f t="shared" si="305"/>
        <v>0</v>
      </c>
      <c r="AP356" s="365">
        <f t="shared" si="306"/>
        <v>8.18</v>
      </c>
      <c r="AQ356" s="365">
        <f t="shared" si="307"/>
        <v>0</v>
      </c>
      <c r="AR356" s="365">
        <f t="shared" si="308"/>
        <v>0.62</v>
      </c>
      <c r="AS356" s="365">
        <f t="shared" si="295"/>
        <v>20.19</v>
      </c>
      <c r="AT356" s="365">
        <f t="shared" si="309"/>
        <v>4.91</v>
      </c>
      <c r="AU356" s="365">
        <f t="shared" si="310"/>
        <v>0</v>
      </c>
      <c r="AV356" s="365">
        <f t="shared" si="311"/>
        <v>0</v>
      </c>
      <c r="AW356" s="365">
        <f t="shared" si="312"/>
        <v>0</v>
      </c>
      <c r="AX356" s="365">
        <f t="shared" si="313"/>
        <v>0</v>
      </c>
      <c r="AY356" s="365">
        <f t="shared" si="314"/>
        <v>0</v>
      </c>
      <c r="AZ356" s="365">
        <f t="shared" si="315"/>
        <v>0</v>
      </c>
      <c r="BA356" s="365">
        <f t="shared" si="316"/>
        <v>8.28</v>
      </c>
      <c r="BB356" s="365">
        <f t="shared" si="317"/>
        <v>4</v>
      </c>
      <c r="BC356" s="365">
        <f t="shared" si="318"/>
        <v>3</v>
      </c>
      <c r="BD356" s="363"/>
      <c r="BE356">
        <v>3</v>
      </c>
    </row>
    <row r="357" ht="24" spans="1:57">
      <c r="A357" s="284" t="s">
        <v>640</v>
      </c>
      <c r="B357" s="284" t="s">
        <v>199</v>
      </c>
      <c r="C357" s="284" t="s">
        <v>654</v>
      </c>
      <c r="D357" s="284" t="s">
        <v>647</v>
      </c>
      <c r="E357" s="365">
        <f t="shared" si="299"/>
        <v>21.51</v>
      </c>
      <c r="F357" s="365">
        <f t="shared" si="300"/>
        <v>9.77</v>
      </c>
      <c r="G357" s="365">
        <v>6.87</v>
      </c>
      <c r="H357" s="365"/>
      <c r="I357" s="365">
        <v>2.9</v>
      </c>
      <c r="J357" s="365"/>
      <c r="K357" s="365"/>
      <c r="L357" s="365">
        <f t="shared" si="301"/>
        <v>11.74</v>
      </c>
      <c r="M357" s="365">
        <v>1.74</v>
      </c>
      <c r="N357" s="365"/>
      <c r="O357" s="365"/>
      <c r="P357" s="365"/>
      <c r="Q357" s="365"/>
      <c r="R357" s="365"/>
      <c r="S357" s="365">
        <v>10</v>
      </c>
      <c r="T357" s="366">
        <f t="shared" si="270"/>
        <v>1.71</v>
      </c>
      <c r="U357" s="366">
        <f t="shared" si="294"/>
        <v>4.88</v>
      </c>
      <c r="V357" s="366">
        <v>3.67</v>
      </c>
      <c r="W357" s="366"/>
      <c r="X357" s="366">
        <v>1.21</v>
      </c>
      <c r="Y357" s="366"/>
      <c r="Z357" s="366"/>
      <c r="AA357" s="365">
        <f t="shared" si="302"/>
        <v>-3.17</v>
      </c>
      <c r="AB357" s="365">
        <v>0.73</v>
      </c>
      <c r="AC357" s="365"/>
      <c r="AD357" s="365"/>
      <c r="AE357" s="365"/>
      <c r="AF357" s="365"/>
      <c r="AG357" s="365"/>
      <c r="AH357" s="365">
        <v>-10</v>
      </c>
      <c r="AI357" s="365">
        <v>3.75</v>
      </c>
      <c r="AJ357" s="365">
        <v>1</v>
      </c>
      <c r="AK357" s="365">
        <v>1.35</v>
      </c>
      <c r="AL357" s="366">
        <f t="shared" si="269"/>
        <v>23.22</v>
      </c>
      <c r="AM357" s="365">
        <f t="shared" si="303"/>
        <v>14.65</v>
      </c>
      <c r="AN357" s="365">
        <f t="shared" si="304"/>
        <v>10.54</v>
      </c>
      <c r="AO357" s="365">
        <f t="shared" si="305"/>
        <v>0</v>
      </c>
      <c r="AP357" s="365">
        <f t="shared" si="306"/>
        <v>4.11</v>
      </c>
      <c r="AQ357" s="365">
        <f t="shared" si="307"/>
        <v>0</v>
      </c>
      <c r="AR357" s="365">
        <f t="shared" si="308"/>
        <v>0</v>
      </c>
      <c r="AS357" s="365">
        <f t="shared" si="295"/>
        <v>8.57</v>
      </c>
      <c r="AT357" s="365">
        <f t="shared" si="309"/>
        <v>2.47</v>
      </c>
      <c r="AU357" s="365">
        <f t="shared" si="310"/>
        <v>0</v>
      </c>
      <c r="AV357" s="365">
        <f t="shared" si="311"/>
        <v>0</v>
      </c>
      <c r="AW357" s="365">
        <f t="shared" si="312"/>
        <v>0</v>
      </c>
      <c r="AX357" s="365">
        <f t="shared" si="313"/>
        <v>0</v>
      </c>
      <c r="AY357" s="365">
        <f t="shared" si="314"/>
        <v>0</v>
      </c>
      <c r="AZ357" s="365">
        <f t="shared" si="315"/>
        <v>0</v>
      </c>
      <c r="BA357" s="365">
        <f t="shared" si="316"/>
        <v>3.75</v>
      </c>
      <c r="BB357" s="365">
        <f t="shared" si="317"/>
        <v>1</v>
      </c>
      <c r="BC357" s="365">
        <f t="shared" si="318"/>
        <v>1.35</v>
      </c>
      <c r="BD357" s="363"/>
      <c r="BE357">
        <v>1.35</v>
      </c>
    </row>
    <row r="358" ht="24" spans="1:57">
      <c r="A358" s="284" t="s">
        <v>640</v>
      </c>
      <c r="B358" s="284" t="s">
        <v>199</v>
      </c>
      <c r="C358" s="284" t="s">
        <v>655</v>
      </c>
      <c r="D358" s="284" t="s">
        <v>647</v>
      </c>
      <c r="E358" s="365">
        <f t="shared" si="299"/>
        <v>28.91</v>
      </c>
      <c r="F358" s="365">
        <f t="shared" si="300"/>
        <v>11.64</v>
      </c>
      <c r="G358" s="365">
        <v>7.86</v>
      </c>
      <c r="H358" s="365"/>
      <c r="I358" s="365">
        <v>3.78</v>
      </c>
      <c r="J358" s="365"/>
      <c r="K358" s="365"/>
      <c r="L358" s="365">
        <f t="shared" si="301"/>
        <v>17.27</v>
      </c>
      <c r="M358" s="365">
        <v>2.27</v>
      </c>
      <c r="N358" s="365"/>
      <c r="O358" s="365"/>
      <c r="P358" s="365"/>
      <c r="Q358" s="365"/>
      <c r="R358" s="365"/>
      <c r="S358" s="365">
        <v>15</v>
      </c>
      <c r="T358" s="366">
        <f t="shared" si="270"/>
        <v>-6.3</v>
      </c>
      <c r="U358" s="366">
        <f t="shared" si="294"/>
        <v>1.06</v>
      </c>
      <c r="V358" s="366">
        <v>1.06</v>
      </c>
      <c r="W358" s="366"/>
      <c r="X358" s="366"/>
      <c r="Y358" s="366"/>
      <c r="Z358" s="366"/>
      <c r="AA358" s="365">
        <f t="shared" si="302"/>
        <v>-7.36</v>
      </c>
      <c r="AB358" s="365"/>
      <c r="AC358" s="365"/>
      <c r="AD358" s="365"/>
      <c r="AE358" s="365"/>
      <c r="AF358" s="365"/>
      <c r="AG358" s="365"/>
      <c r="AH358" s="365">
        <v>-15</v>
      </c>
      <c r="AI358" s="365">
        <v>4.14</v>
      </c>
      <c r="AJ358" s="365">
        <v>2</v>
      </c>
      <c r="AK358" s="365">
        <v>1.5</v>
      </c>
      <c r="AL358" s="366">
        <f t="shared" si="269"/>
        <v>22.61</v>
      </c>
      <c r="AM358" s="365">
        <f t="shared" si="303"/>
        <v>12.7</v>
      </c>
      <c r="AN358" s="365">
        <f t="shared" si="304"/>
        <v>8.92</v>
      </c>
      <c r="AO358" s="365">
        <f t="shared" si="305"/>
        <v>0</v>
      </c>
      <c r="AP358" s="365">
        <f t="shared" si="306"/>
        <v>3.78</v>
      </c>
      <c r="AQ358" s="365">
        <f t="shared" si="307"/>
        <v>0</v>
      </c>
      <c r="AR358" s="365">
        <f t="shared" si="308"/>
        <v>0</v>
      </c>
      <c r="AS358" s="365">
        <f t="shared" si="295"/>
        <v>9.91</v>
      </c>
      <c r="AT358" s="365">
        <f t="shared" si="309"/>
        <v>2.27</v>
      </c>
      <c r="AU358" s="365">
        <f t="shared" si="310"/>
        <v>0</v>
      </c>
      <c r="AV358" s="365">
        <f t="shared" si="311"/>
        <v>0</v>
      </c>
      <c r="AW358" s="365">
        <f t="shared" si="312"/>
        <v>0</v>
      </c>
      <c r="AX358" s="365">
        <f t="shared" si="313"/>
        <v>0</v>
      </c>
      <c r="AY358" s="365">
        <f t="shared" si="314"/>
        <v>0</v>
      </c>
      <c r="AZ358" s="365">
        <f t="shared" si="315"/>
        <v>0</v>
      </c>
      <c r="BA358" s="365">
        <f t="shared" si="316"/>
        <v>4.14</v>
      </c>
      <c r="BB358" s="365">
        <f t="shared" si="317"/>
        <v>2</v>
      </c>
      <c r="BC358" s="365">
        <f t="shared" si="318"/>
        <v>1.5</v>
      </c>
      <c r="BD358" s="363"/>
      <c r="BE358">
        <v>1.5</v>
      </c>
    </row>
    <row r="359" ht="24" spans="1:57">
      <c r="A359" s="284" t="s">
        <v>640</v>
      </c>
      <c r="B359" s="284" t="s">
        <v>199</v>
      </c>
      <c r="C359" s="284" t="s">
        <v>656</v>
      </c>
      <c r="D359" s="284" t="s">
        <v>647</v>
      </c>
      <c r="E359" s="365">
        <f t="shared" si="299"/>
        <v>59.03</v>
      </c>
      <c r="F359" s="365">
        <f t="shared" si="300"/>
        <v>29.66</v>
      </c>
      <c r="G359" s="365">
        <v>22.38</v>
      </c>
      <c r="H359" s="365"/>
      <c r="I359" s="365">
        <v>7.28</v>
      </c>
      <c r="J359" s="365"/>
      <c r="K359" s="365"/>
      <c r="L359" s="365">
        <f t="shared" si="301"/>
        <v>29.37</v>
      </c>
      <c r="M359" s="365">
        <v>4.37</v>
      </c>
      <c r="N359" s="365"/>
      <c r="O359" s="365"/>
      <c r="P359" s="365"/>
      <c r="Q359" s="365"/>
      <c r="R359" s="365"/>
      <c r="S359" s="365">
        <v>25</v>
      </c>
      <c r="T359" s="366">
        <f t="shared" si="270"/>
        <v>-7.23</v>
      </c>
      <c r="U359" s="366">
        <f t="shared" si="294"/>
        <v>4.27</v>
      </c>
      <c r="V359" s="366">
        <v>3.59</v>
      </c>
      <c r="W359" s="366"/>
      <c r="X359" s="366">
        <v>0.68</v>
      </c>
      <c r="Y359" s="366"/>
      <c r="Z359" s="366"/>
      <c r="AA359" s="365">
        <f t="shared" si="302"/>
        <v>-11.5</v>
      </c>
      <c r="AB359" s="365">
        <v>0.41</v>
      </c>
      <c r="AC359" s="365"/>
      <c r="AD359" s="365"/>
      <c r="AE359" s="365"/>
      <c r="AF359" s="365"/>
      <c r="AG359" s="365"/>
      <c r="AH359" s="365">
        <v>-25</v>
      </c>
      <c r="AI359" s="365">
        <v>7.23</v>
      </c>
      <c r="AJ359" s="365">
        <v>3</v>
      </c>
      <c r="AK359" s="365">
        <v>2.86</v>
      </c>
      <c r="AL359" s="366">
        <f t="shared" si="269"/>
        <v>51.8</v>
      </c>
      <c r="AM359" s="365">
        <f t="shared" si="303"/>
        <v>33.93</v>
      </c>
      <c r="AN359" s="365">
        <f t="shared" si="304"/>
        <v>25.97</v>
      </c>
      <c r="AO359" s="365">
        <f t="shared" si="305"/>
        <v>0</v>
      </c>
      <c r="AP359" s="365">
        <f t="shared" si="306"/>
        <v>7.96</v>
      </c>
      <c r="AQ359" s="365">
        <f t="shared" si="307"/>
        <v>0</v>
      </c>
      <c r="AR359" s="365">
        <f t="shared" si="308"/>
        <v>0</v>
      </c>
      <c r="AS359" s="365">
        <f t="shared" si="295"/>
        <v>17.87</v>
      </c>
      <c r="AT359" s="365">
        <f t="shared" si="309"/>
        <v>4.78</v>
      </c>
      <c r="AU359" s="365">
        <f t="shared" si="310"/>
        <v>0</v>
      </c>
      <c r="AV359" s="365">
        <f t="shared" si="311"/>
        <v>0</v>
      </c>
      <c r="AW359" s="365">
        <f t="shared" si="312"/>
        <v>0</v>
      </c>
      <c r="AX359" s="365">
        <f t="shared" si="313"/>
        <v>0</v>
      </c>
      <c r="AY359" s="365">
        <f t="shared" si="314"/>
        <v>0</v>
      </c>
      <c r="AZ359" s="365">
        <f t="shared" si="315"/>
        <v>0</v>
      </c>
      <c r="BA359" s="365">
        <f t="shared" si="316"/>
        <v>7.23</v>
      </c>
      <c r="BB359" s="365">
        <f t="shared" si="317"/>
        <v>3</v>
      </c>
      <c r="BC359" s="365">
        <f t="shared" si="318"/>
        <v>2.86</v>
      </c>
      <c r="BD359" s="363"/>
      <c r="BE359">
        <v>2.86</v>
      </c>
    </row>
    <row r="360" ht="24" spans="1:57">
      <c r="A360" s="284" t="s">
        <v>640</v>
      </c>
      <c r="B360" s="284" t="s">
        <v>199</v>
      </c>
      <c r="C360" s="284" t="s">
        <v>657</v>
      </c>
      <c r="D360" s="284" t="s">
        <v>647</v>
      </c>
      <c r="E360" s="365">
        <f t="shared" si="299"/>
        <v>52.51</v>
      </c>
      <c r="F360" s="365">
        <f t="shared" si="300"/>
        <v>28.24</v>
      </c>
      <c r="G360" s="365">
        <v>19.87</v>
      </c>
      <c r="H360" s="365"/>
      <c r="I360" s="365">
        <v>7.12</v>
      </c>
      <c r="J360" s="365"/>
      <c r="K360" s="365">
        <v>1.25</v>
      </c>
      <c r="L360" s="365">
        <f t="shared" si="301"/>
        <v>24.27</v>
      </c>
      <c r="M360" s="365">
        <v>4.27</v>
      </c>
      <c r="N360" s="365"/>
      <c r="O360" s="365"/>
      <c r="P360" s="365"/>
      <c r="Q360" s="365"/>
      <c r="R360" s="365"/>
      <c r="S360" s="365">
        <v>20</v>
      </c>
      <c r="T360" s="366">
        <f t="shared" si="270"/>
        <v>-6.93</v>
      </c>
      <c r="U360" s="366">
        <f t="shared" si="294"/>
        <v>2.5</v>
      </c>
      <c r="V360" s="366">
        <v>2.5</v>
      </c>
      <c r="W360" s="366"/>
      <c r="X360" s="366"/>
      <c r="Y360" s="366"/>
      <c r="Z360" s="366"/>
      <c r="AA360" s="365">
        <f t="shared" si="302"/>
        <v>-9.43</v>
      </c>
      <c r="AB360" s="365"/>
      <c r="AC360" s="365"/>
      <c r="AD360" s="365"/>
      <c r="AE360" s="365"/>
      <c r="AF360" s="365"/>
      <c r="AG360" s="365"/>
      <c r="AH360" s="365">
        <v>-20</v>
      </c>
      <c r="AI360" s="365">
        <v>6.57</v>
      </c>
      <c r="AJ360" s="365">
        <v>2</v>
      </c>
      <c r="AK360" s="365">
        <v>2</v>
      </c>
      <c r="AL360" s="366">
        <f t="shared" si="269"/>
        <v>45.58</v>
      </c>
      <c r="AM360" s="365">
        <f t="shared" si="303"/>
        <v>30.74</v>
      </c>
      <c r="AN360" s="365">
        <f t="shared" si="304"/>
        <v>22.37</v>
      </c>
      <c r="AO360" s="365">
        <f t="shared" si="305"/>
        <v>0</v>
      </c>
      <c r="AP360" s="365">
        <f t="shared" si="306"/>
        <v>7.12</v>
      </c>
      <c r="AQ360" s="365">
        <f t="shared" si="307"/>
        <v>0</v>
      </c>
      <c r="AR360" s="365">
        <f t="shared" si="308"/>
        <v>1.25</v>
      </c>
      <c r="AS360" s="365">
        <f t="shared" si="295"/>
        <v>14.84</v>
      </c>
      <c r="AT360" s="365">
        <f t="shared" si="309"/>
        <v>4.27</v>
      </c>
      <c r="AU360" s="365">
        <f t="shared" si="310"/>
        <v>0</v>
      </c>
      <c r="AV360" s="365">
        <f t="shared" si="311"/>
        <v>0</v>
      </c>
      <c r="AW360" s="365">
        <f t="shared" si="312"/>
        <v>0</v>
      </c>
      <c r="AX360" s="365">
        <f t="shared" si="313"/>
        <v>0</v>
      </c>
      <c r="AY360" s="365">
        <f t="shared" si="314"/>
        <v>0</v>
      </c>
      <c r="AZ360" s="365">
        <f t="shared" si="315"/>
        <v>0</v>
      </c>
      <c r="BA360" s="365">
        <f t="shared" si="316"/>
        <v>6.57</v>
      </c>
      <c r="BB360" s="365">
        <f t="shared" si="317"/>
        <v>2</v>
      </c>
      <c r="BC360" s="365">
        <f t="shared" si="318"/>
        <v>2</v>
      </c>
      <c r="BD360" s="363"/>
      <c r="BE360">
        <v>2</v>
      </c>
    </row>
    <row r="361" ht="24" spans="1:57">
      <c r="A361" s="284" t="s">
        <v>640</v>
      </c>
      <c r="B361" s="284" t="s">
        <v>199</v>
      </c>
      <c r="C361" s="284" t="s">
        <v>658</v>
      </c>
      <c r="D361" s="284" t="s">
        <v>647</v>
      </c>
      <c r="E361" s="365">
        <f t="shared" si="299"/>
        <v>51.83</v>
      </c>
      <c r="F361" s="365">
        <f t="shared" si="300"/>
        <v>27.74</v>
      </c>
      <c r="G361" s="365">
        <v>19.67</v>
      </c>
      <c r="H361" s="365"/>
      <c r="I361" s="365">
        <v>6.82</v>
      </c>
      <c r="J361" s="365"/>
      <c r="K361" s="365">
        <v>1.25</v>
      </c>
      <c r="L361" s="365">
        <f t="shared" si="301"/>
        <v>24.09</v>
      </c>
      <c r="M361" s="365">
        <v>4.09</v>
      </c>
      <c r="N361" s="365"/>
      <c r="O361" s="365"/>
      <c r="P361" s="365"/>
      <c r="Q361" s="365"/>
      <c r="R361" s="365"/>
      <c r="S361" s="365">
        <v>20</v>
      </c>
      <c r="T361" s="366">
        <f t="shared" si="270"/>
        <v>-6</v>
      </c>
      <c r="U361" s="366">
        <f t="shared" si="294"/>
        <v>3.23</v>
      </c>
      <c r="V361" s="366">
        <v>3.12</v>
      </c>
      <c r="W361" s="366"/>
      <c r="X361" s="366">
        <v>0.11</v>
      </c>
      <c r="Y361" s="366"/>
      <c r="Z361" s="366"/>
      <c r="AA361" s="365">
        <f t="shared" si="302"/>
        <v>-9.23</v>
      </c>
      <c r="AB361" s="365">
        <v>0.07</v>
      </c>
      <c r="AC361" s="365"/>
      <c r="AD361" s="365"/>
      <c r="AE361" s="365"/>
      <c r="AF361" s="365"/>
      <c r="AG361" s="365"/>
      <c r="AH361" s="365">
        <v>-20</v>
      </c>
      <c r="AI361" s="365">
        <v>6.36</v>
      </c>
      <c r="AJ361" s="365">
        <v>2</v>
      </c>
      <c r="AK361" s="365">
        <v>2.34</v>
      </c>
      <c r="AL361" s="366">
        <f t="shared" si="269"/>
        <v>45.83</v>
      </c>
      <c r="AM361" s="365">
        <f t="shared" si="303"/>
        <v>30.97</v>
      </c>
      <c r="AN361" s="365">
        <f t="shared" si="304"/>
        <v>22.79</v>
      </c>
      <c r="AO361" s="365">
        <f t="shared" si="305"/>
        <v>0</v>
      </c>
      <c r="AP361" s="365">
        <f t="shared" si="306"/>
        <v>6.93</v>
      </c>
      <c r="AQ361" s="365">
        <f t="shared" si="307"/>
        <v>0</v>
      </c>
      <c r="AR361" s="365">
        <f t="shared" si="308"/>
        <v>1.25</v>
      </c>
      <c r="AS361" s="365">
        <f t="shared" si="295"/>
        <v>14.86</v>
      </c>
      <c r="AT361" s="365">
        <f t="shared" si="309"/>
        <v>4.16</v>
      </c>
      <c r="AU361" s="365">
        <f t="shared" si="310"/>
        <v>0</v>
      </c>
      <c r="AV361" s="365">
        <f t="shared" si="311"/>
        <v>0</v>
      </c>
      <c r="AW361" s="365">
        <f t="shared" si="312"/>
        <v>0</v>
      </c>
      <c r="AX361" s="365">
        <f t="shared" si="313"/>
        <v>0</v>
      </c>
      <c r="AY361" s="365">
        <f t="shared" si="314"/>
        <v>0</v>
      </c>
      <c r="AZ361" s="365">
        <f t="shared" si="315"/>
        <v>0</v>
      </c>
      <c r="BA361" s="365">
        <f t="shared" si="316"/>
        <v>6.36</v>
      </c>
      <c r="BB361" s="365">
        <f t="shared" si="317"/>
        <v>2</v>
      </c>
      <c r="BC361" s="365">
        <f t="shared" si="318"/>
        <v>2.34</v>
      </c>
      <c r="BD361" s="363"/>
      <c r="BE361">
        <v>2.34</v>
      </c>
    </row>
    <row r="362" ht="24" spans="1:57">
      <c r="A362" s="284" t="s">
        <v>640</v>
      </c>
      <c r="B362" s="284" t="s">
        <v>199</v>
      </c>
      <c r="C362" s="284" t="s">
        <v>659</v>
      </c>
      <c r="D362" s="284" t="s">
        <v>647</v>
      </c>
      <c r="E362" s="365">
        <f t="shared" si="299"/>
        <v>68.26</v>
      </c>
      <c r="F362" s="365">
        <f t="shared" si="300"/>
        <v>32.91</v>
      </c>
      <c r="G362" s="365">
        <v>22.13</v>
      </c>
      <c r="H362" s="365"/>
      <c r="I362" s="365">
        <v>8.91</v>
      </c>
      <c r="J362" s="365"/>
      <c r="K362" s="365">
        <v>1.87</v>
      </c>
      <c r="L362" s="365">
        <f t="shared" si="301"/>
        <v>35.35</v>
      </c>
      <c r="M362" s="365">
        <v>5.35</v>
      </c>
      <c r="N362" s="365"/>
      <c r="O362" s="365"/>
      <c r="P362" s="365"/>
      <c r="Q362" s="365"/>
      <c r="R362" s="365"/>
      <c r="S362" s="365">
        <v>30</v>
      </c>
      <c r="T362" s="366">
        <f t="shared" si="270"/>
        <v>-10.1938</v>
      </c>
      <c r="U362" s="366">
        <f t="shared" si="294"/>
        <v>3.6339</v>
      </c>
      <c r="V362" s="366">
        <v>3.48</v>
      </c>
      <c r="W362" s="366"/>
      <c r="X362" s="366">
        <v>0.1539</v>
      </c>
      <c r="Y362" s="366"/>
      <c r="Z362" s="366"/>
      <c r="AA362" s="365">
        <f t="shared" si="302"/>
        <v>-13.8277</v>
      </c>
      <c r="AB362" s="365">
        <v>0.0923</v>
      </c>
      <c r="AC362" s="365"/>
      <c r="AD362" s="365"/>
      <c r="AE362" s="365"/>
      <c r="AF362" s="365"/>
      <c r="AG362" s="365"/>
      <c r="AH362" s="365">
        <v>-30</v>
      </c>
      <c r="AI362" s="365">
        <v>8.91</v>
      </c>
      <c r="AJ362" s="365">
        <v>4</v>
      </c>
      <c r="AK362" s="365">
        <v>3.17</v>
      </c>
      <c r="AL362" s="366">
        <f t="shared" si="269"/>
        <v>58.0662</v>
      </c>
      <c r="AM362" s="365">
        <f t="shared" si="303"/>
        <v>36.5439</v>
      </c>
      <c r="AN362" s="365">
        <f t="shared" si="304"/>
        <v>25.61</v>
      </c>
      <c r="AO362" s="365">
        <f t="shared" si="305"/>
        <v>0</v>
      </c>
      <c r="AP362" s="365">
        <f t="shared" si="306"/>
        <v>9.0639</v>
      </c>
      <c r="AQ362" s="365">
        <f t="shared" si="307"/>
        <v>0</v>
      </c>
      <c r="AR362" s="365">
        <f t="shared" si="308"/>
        <v>1.87</v>
      </c>
      <c r="AS362" s="365">
        <f t="shared" si="295"/>
        <v>21.5223</v>
      </c>
      <c r="AT362" s="365">
        <f t="shared" si="309"/>
        <v>5.4423</v>
      </c>
      <c r="AU362" s="365">
        <f t="shared" si="310"/>
        <v>0</v>
      </c>
      <c r="AV362" s="365">
        <f t="shared" si="311"/>
        <v>0</v>
      </c>
      <c r="AW362" s="365">
        <f t="shared" si="312"/>
        <v>0</v>
      </c>
      <c r="AX362" s="365">
        <f t="shared" si="313"/>
        <v>0</v>
      </c>
      <c r="AY362" s="365">
        <f t="shared" si="314"/>
        <v>0</v>
      </c>
      <c r="AZ362" s="365">
        <f t="shared" si="315"/>
        <v>0</v>
      </c>
      <c r="BA362" s="365">
        <f t="shared" si="316"/>
        <v>8.91</v>
      </c>
      <c r="BB362" s="365">
        <f t="shared" si="317"/>
        <v>4</v>
      </c>
      <c r="BC362" s="365">
        <f t="shared" si="318"/>
        <v>3.17</v>
      </c>
      <c r="BD362" s="363"/>
      <c r="BE362">
        <v>3.17</v>
      </c>
    </row>
    <row r="363" ht="24" spans="1:57">
      <c r="A363" s="284" t="s">
        <v>640</v>
      </c>
      <c r="B363" s="284" t="s">
        <v>199</v>
      </c>
      <c r="C363" s="284" t="s">
        <v>660</v>
      </c>
      <c r="D363" s="284" t="s">
        <v>647</v>
      </c>
      <c r="E363" s="365">
        <f t="shared" si="299"/>
        <v>121.12</v>
      </c>
      <c r="F363" s="365">
        <f t="shared" si="300"/>
        <v>62.22</v>
      </c>
      <c r="G363" s="365">
        <v>44.27</v>
      </c>
      <c r="H363" s="365"/>
      <c r="I363" s="365">
        <v>14.83</v>
      </c>
      <c r="J363" s="365"/>
      <c r="K363" s="365">
        <v>3.12</v>
      </c>
      <c r="L363" s="365">
        <f t="shared" si="301"/>
        <v>58.9</v>
      </c>
      <c r="M363" s="365">
        <v>8.9</v>
      </c>
      <c r="N363" s="365"/>
      <c r="O363" s="365"/>
      <c r="P363" s="365"/>
      <c r="Q363" s="365"/>
      <c r="R363" s="365"/>
      <c r="S363" s="365">
        <v>50</v>
      </c>
      <c r="T363" s="366">
        <f t="shared" si="270"/>
        <v>-17.8874</v>
      </c>
      <c r="U363" s="366">
        <f t="shared" si="294"/>
        <v>5.5126</v>
      </c>
      <c r="V363" s="366">
        <v>5.4626</v>
      </c>
      <c r="W363" s="366"/>
      <c r="X363" s="366">
        <v>0.05</v>
      </c>
      <c r="Y363" s="366"/>
      <c r="Z363" s="366"/>
      <c r="AA363" s="365">
        <f t="shared" si="302"/>
        <v>-23.4</v>
      </c>
      <c r="AB363" s="365">
        <v>0.03</v>
      </c>
      <c r="AC363" s="365"/>
      <c r="AD363" s="365"/>
      <c r="AE363" s="365"/>
      <c r="AF363" s="365"/>
      <c r="AG363" s="365"/>
      <c r="AH363" s="365">
        <v>-50</v>
      </c>
      <c r="AI363" s="365">
        <v>15.06</v>
      </c>
      <c r="AJ363" s="365">
        <v>6</v>
      </c>
      <c r="AK363" s="365">
        <v>5.51</v>
      </c>
      <c r="AL363" s="366">
        <f t="shared" si="269"/>
        <v>103.2326</v>
      </c>
      <c r="AM363" s="365">
        <f t="shared" si="303"/>
        <v>67.7326</v>
      </c>
      <c r="AN363" s="365">
        <f t="shared" si="304"/>
        <v>49.7326</v>
      </c>
      <c r="AO363" s="365">
        <f t="shared" si="305"/>
        <v>0</v>
      </c>
      <c r="AP363" s="365">
        <f t="shared" si="306"/>
        <v>14.88</v>
      </c>
      <c r="AQ363" s="365">
        <f t="shared" si="307"/>
        <v>0</v>
      </c>
      <c r="AR363" s="365">
        <f t="shared" si="308"/>
        <v>3.12</v>
      </c>
      <c r="AS363" s="365">
        <f t="shared" si="295"/>
        <v>35.5</v>
      </c>
      <c r="AT363" s="365">
        <f t="shared" si="309"/>
        <v>8.93</v>
      </c>
      <c r="AU363" s="365">
        <f t="shared" si="310"/>
        <v>0</v>
      </c>
      <c r="AV363" s="365">
        <f t="shared" si="311"/>
        <v>0</v>
      </c>
      <c r="AW363" s="365">
        <f t="shared" si="312"/>
        <v>0</v>
      </c>
      <c r="AX363" s="365">
        <f t="shared" si="313"/>
        <v>0</v>
      </c>
      <c r="AY363" s="365">
        <f t="shared" si="314"/>
        <v>0</v>
      </c>
      <c r="AZ363" s="365">
        <f t="shared" si="315"/>
        <v>0</v>
      </c>
      <c r="BA363" s="365">
        <f t="shared" si="316"/>
        <v>15.06</v>
      </c>
      <c r="BB363" s="365">
        <f t="shared" si="317"/>
        <v>6</v>
      </c>
      <c r="BC363" s="365">
        <f t="shared" si="318"/>
        <v>5.51</v>
      </c>
      <c r="BD363" s="363"/>
      <c r="BE363">
        <v>5.51</v>
      </c>
    </row>
    <row r="364" ht="24" spans="1:57">
      <c r="A364" s="284" t="s">
        <v>640</v>
      </c>
      <c r="B364" s="284" t="s">
        <v>199</v>
      </c>
      <c r="C364" s="284" t="s">
        <v>661</v>
      </c>
      <c r="D364" s="284" t="s">
        <v>647</v>
      </c>
      <c r="E364" s="365">
        <f t="shared" si="299"/>
        <v>70.55</v>
      </c>
      <c r="F364" s="365">
        <f t="shared" si="300"/>
        <v>35.06</v>
      </c>
      <c r="G364" s="365">
        <v>23.16</v>
      </c>
      <c r="H364" s="365"/>
      <c r="I364" s="365">
        <v>9.14</v>
      </c>
      <c r="J364" s="365">
        <v>1.2</v>
      </c>
      <c r="K364" s="365">
        <v>1.56</v>
      </c>
      <c r="L364" s="365">
        <f t="shared" si="301"/>
        <v>35.49</v>
      </c>
      <c r="M364" s="365">
        <v>5.49</v>
      </c>
      <c r="N364" s="365"/>
      <c r="O364" s="365"/>
      <c r="P364" s="365"/>
      <c r="Q364" s="365"/>
      <c r="R364" s="365"/>
      <c r="S364" s="365">
        <v>30</v>
      </c>
      <c r="T364" s="366">
        <f t="shared" si="270"/>
        <v>-7.1547</v>
      </c>
      <c r="U364" s="366">
        <f t="shared" si="294"/>
        <v>3.7653</v>
      </c>
      <c r="V364" s="366">
        <v>3.5826</v>
      </c>
      <c r="W364" s="366"/>
      <c r="X364" s="366">
        <v>0.1827</v>
      </c>
      <c r="Y364" s="366"/>
      <c r="Z364" s="366"/>
      <c r="AA364" s="365">
        <f t="shared" si="302"/>
        <v>-10.92</v>
      </c>
      <c r="AB364" s="365">
        <v>0.11</v>
      </c>
      <c r="AC364" s="365"/>
      <c r="AD364" s="365"/>
      <c r="AE364" s="365"/>
      <c r="AF364" s="365"/>
      <c r="AG364" s="365"/>
      <c r="AH364" s="365">
        <v>-30</v>
      </c>
      <c r="AI364" s="365">
        <v>8.91</v>
      </c>
      <c r="AJ364" s="365">
        <v>4</v>
      </c>
      <c r="AK364" s="365">
        <v>6.06</v>
      </c>
      <c r="AL364" s="366">
        <f t="shared" si="269"/>
        <v>63.3953</v>
      </c>
      <c r="AM364" s="365">
        <f t="shared" si="303"/>
        <v>38.8253</v>
      </c>
      <c r="AN364" s="365">
        <f t="shared" si="304"/>
        <v>26.7426</v>
      </c>
      <c r="AO364" s="365">
        <f t="shared" si="305"/>
        <v>0</v>
      </c>
      <c r="AP364" s="365">
        <f t="shared" si="306"/>
        <v>9.3227</v>
      </c>
      <c r="AQ364" s="365">
        <f t="shared" si="307"/>
        <v>1.2</v>
      </c>
      <c r="AR364" s="365">
        <f t="shared" si="308"/>
        <v>1.56</v>
      </c>
      <c r="AS364" s="365">
        <f t="shared" si="295"/>
        <v>24.57</v>
      </c>
      <c r="AT364" s="365">
        <f t="shared" si="309"/>
        <v>5.6</v>
      </c>
      <c r="AU364" s="365">
        <f t="shared" si="310"/>
        <v>0</v>
      </c>
      <c r="AV364" s="365">
        <f t="shared" si="311"/>
        <v>0</v>
      </c>
      <c r="AW364" s="365">
        <f t="shared" si="312"/>
        <v>0</v>
      </c>
      <c r="AX364" s="365">
        <f t="shared" si="313"/>
        <v>0</v>
      </c>
      <c r="AY364" s="365">
        <f t="shared" si="314"/>
        <v>0</v>
      </c>
      <c r="AZ364" s="365">
        <f t="shared" si="315"/>
        <v>0</v>
      </c>
      <c r="BA364" s="365">
        <f t="shared" si="316"/>
        <v>8.91</v>
      </c>
      <c r="BB364" s="365">
        <f t="shared" si="317"/>
        <v>4</v>
      </c>
      <c r="BC364" s="365">
        <f t="shared" si="318"/>
        <v>6.06</v>
      </c>
      <c r="BD364" s="363"/>
      <c r="BE364">
        <v>6.06</v>
      </c>
    </row>
    <row r="365" ht="24" spans="1:57">
      <c r="A365" s="284" t="s">
        <v>640</v>
      </c>
      <c r="B365" s="284" t="s">
        <v>199</v>
      </c>
      <c r="C365" s="284" t="s">
        <v>662</v>
      </c>
      <c r="D365" s="284" t="s">
        <v>647</v>
      </c>
      <c r="E365" s="365">
        <f t="shared" si="299"/>
        <v>86.81</v>
      </c>
      <c r="F365" s="365">
        <f t="shared" si="300"/>
        <v>39.83</v>
      </c>
      <c r="G365" s="365">
        <v>28.19</v>
      </c>
      <c r="H365" s="365"/>
      <c r="I365" s="365">
        <v>11.64</v>
      </c>
      <c r="J365" s="365"/>
      <c r="K365" s="365"/>
      <c r="L365" s="365">
        <f t="shared" si="301"/>
        <v>46.98</v>
      </c>
      <c r="M365" s="365">
        <v>6.98</v>
      </c>
      <c r="N365" s="365"/>
      <c r="O365" s="365"/>
      <c r="P365" s="365"/>
      <c r="Q365" s="365"/>
      <c r="R365" s="365"/>
      <c r="S365" s="365">
        <v>40</v>
      </c>
      <c r="T365" s="366">
        <f t="shared" si="270"/>
        <v>-18.9989</v>
      </c>
      <c r="U365" s="366">
        <f t="shared" si="294"/>
        <v>0.7111</v>
      </c>
      <c r="V365" s="366">
        <v>1.3511</v>
      </c>
      <c r="W365" s="366"/>
      <c r="X365" s="366">
        <v>-0.64</v>
      </c>
      <c r="Y365" s="366"/>
      <c r="Z365" s="366"/>
      <c r="AA365" s="365">
        <f t="shared" si="302"/>
        <v>-19.71</v>
      </c>
      <c r="AB365" s="365">
        <v>-0.38</v>
      </c>
      <c r="AC365" s="365"/>
      <c r="AD365" s="365"/>
      <c r="AE365" s="365"/>
      <c r="AF365" s="365"/>
      <c r="AG365" s="365"/>
      <c r="AH365" s="365">
        <v>-40</v>
      </c>
      <c r="AI365" s="365">
        <v>11.67</v>
      </c>
      <c r="AJ365" s="365">
        <v>5</v>
      </c>
      <c r="AK365" s="365">
        <v>4</v>
      </c>
      <c r="AL365" s="366">
        <f t="shared" si="269"/>
        <v>67.8111</v>
      </c>
      <c r="AM365" s="365">
        <f t="shared" si="303"/>
        <v>40.5411</v>
      </c>
      <c r="AN365" s="365">
        <f t="shared" si="304"/>
        <v>29.5411</v>
      </c>
      <c r="AO365" s="365">
        <f t="shared" si="305"/>
        <v>0</v>
      </c>
      <c r="AP365" s="365">
        <f t="shared" si="306"/>
        <v>11</v>
      </c>
      <c r="AQ365" s="365">
        <f t="shared" si="307"/>
        <v>0</v>
      </c>
      <c r="AR365" s="365">
        <f t="shared" si="308"/>
        <v>0</v>
      </c>
      <c r="AS365" s="365">
        <f t="shared" si="295"/>
        <v>27.27</v>
      </c>
      <c r="AT365" s="365">
        <f t="shared" si="309"/>
        <v>6.6</v>
      </c>
      <c r="AU365" s="365">
        <f t="shared" si="310"/>
        <v>0</v>
      </c>
      <c r="AV365" s="365">
        <f t="shared" si="311"/>
        <v>0</v>
      </c>
      <c r="AW365" s="365">
        <f t="shared" si="312"/>
        <v>0</v>
      </c>
      <c r="AX365" s="365">
        <f t="shared" si="313"/>
        <v>0</v>
      </c>
      <c r="AY365" s="365">
        <f t="shared" si="314"/>
        <v>0</v>
      </c>
      <c r="AZ365" s="365">
        <f t="shared" si="315"/>
        <v>0</v>
      </c>
      <c r="BA365" s="365">
        <f t="shared" si="316"/>
        <v>11.67</v>
      </c>
      <c r="BB365" s="365">
        <f t="shared" si="317"/>
        <v>5</v>
      </c>
      <c r="BC365" s="365">
        <f t="shared" si="318"/>
        <v>4</v>
      </c>
      <c r="BD365" s="363"/>
      <c r="BE365">
        <v>4</v>
      </c>
    </row>
    <row r="366" ht="24" spans="1:57">
      <c r="A366" s="284" t="s">
        <v>640</v>
      </c>
      <c r="B366" s="284" t="s">
        <v>199</v>
      </c>
      <c r="C366" s="284" t="s">
        <v>663</v>
      </c>
      <c r="D366" s="284" t="s">
        <v>647</v>
      </c>
      <c r="E366" s="365">
        <f t="shared" si="299"/>
        <v>55.03</v>
      </c>
      <c r="F366" s="365">
        <f t="shared" si="300"/>
        <v>25.79</v>
      </c>
      <c r="G366" s="365">
        <v>18.73</v>
      </c>
      <c r="H366" s="365"/>
      <c r="I366" s="365">
        <v>7.06</v>
      </c>
      <c r="J366" s="365"/>
      <c r="K366" s="365"/>
      <c r="L366" s="365">
        <f t="shared" si="301"/>
        <v>29.24</v>
      </c>
      <c r="M366" s="365">
        <v>4.24</v>
      </c>
      <c r="N366" s="365"/>
      <c r="O366" s="365"/>
      <c r="P366" s="365"/>
      <c r="Q366" s="365"/>
      <c r="R366" s="365"/>
      <c r="S366" s="365">
        <v>25</v>
      </c>
      <c r="T366" s="366">
        <f t="shared" si="270"/>
        <v>-8.769</v>
      </c>
      <c r="U366" s="366">
        <f t="shared" si="294"/>
        <v>3.131</v>
      </c>
      <c r="V366" s="366">
        <v>3.011</v>
      </c>
      <c r="W366" s="366"/>
      <c r="X366" s="366">
        <v>0.12</v>
      </c>
      <c r="Y366" s="366"/>
      <c r="Z366" s="366"/>
      <c r="AA366" s="365">
        <f t="shared" si="302"/>
        <v>-11.9</v>
      </c>
      <c r="AB366" s="365">
        <v>0.07</v>
      </c>
      <c r="AC366" s="365"/>
      <c r="AD366" s="365"/>
      <c r="AE366" s="365"/>
      <c r="AF366" s="365"/>
      <c r="AG366" s="365"/>
      <c r="AH366" s="365">
        <v>-25</v>
      </c>
      <c r="AI366" s="365">
        <v>7.53</v>
      </c>
      <c r="AJ366" s="365">
        <v>3</v>
      </c>
      <c r="AK366" s="365">
        <v>2.5</v>
      </c>
      <c r="AL366" s="366">
        <f t="shared" si="269"/>
        <v>46.261</v>
      </c>
      <c r="AM366" s="365">
        <f t="shared" si="303"/>
        <v>28.921</v>
      </c>
      <c r="AN366" s="365">
        <f t="shared" si="304"/>
        <v>21.741</v>
      </c>
      <c r="AO366" s="365">
        <f t="shared" si="305"/>
        <v>0</v>
      </c>
      <c r="AP366" s="365">
        <f t="shared" si="306"/>
        <v>7.18</v>
      </c>
      <c r="AQ366" s="365">
        <f t="shared" si="307"/>
        <v>0</v>
      </c>
      <c r="AR366" s="365">
        <f t="shared" si="308"/>
        <v>0</v>
      </c>
      <c r="AS366" s="365">
        <f t="shared" si="295"/>
        <v>17.34</v>
      </c>
      <c r="AT366" s="365">
        <f t="shared" si="309"/>
        <v>4.31</v>
      </c>
      <c r="AU366" s="365">
        <f t="shared" si="310"/>
        <v>0</v>
      </c>
      <c r="AV366" s="365">
        <f t="shared" si="311"/>
        <v>0</v>
      </c>
      <c r="AW366" s="365">
        <f t="shared" si="312"/>
        <v>0</v>
      </c>
      <c r="AX366" s="365">
        <f t="shared" si="313"/>
        <v>0</v>
      </c>
      <c r="AY366" s="365">
        <f t="shared" si="314"/>
        <v>0</v>
      </c>
      <c r="AZ366" s="365">
        <f t="shared" si="315"/>
        <v>0</v>
      </c>
      <c r="BA366" s="365">
        <f t="shared" si="316"/>
        <v>7.53</v>
      </c>
      <c r="BB366" s="365">
        <f t="shared" si="317"/>
        <v>3</v>
      </c>
      <c r="BC366" s="365">
        <f t="shared" si="318"/>
        <v>2.5</v>
      </c>
      <c r="BD366" s="363"/>
      <c r="BE366">
        <v>2.5</v>
      </c>
    </row>
    <row r="367" ht="24" spans="1:57">
      <c r="A367" s="284" t="s">
        <v>640</v>
      </c>
      <c r="B367" s="284" t="s">
        <v>199</v>
      </c>
      <c r="C367" s="284" t="s">
        <v>664</v>
      </c>
      <c r="D367" s="284" t="s">
        <v>647</v>
      </c>
      <c r="E367" s="365">
        <f t="shared" si="299"/>
        <v>64.03</v>
      </c>
      <c r="F367" s="365">
        <f t="shared" si="300"/>
        <v>33.79</v>
      </c>
      <c r="G367" s="365">
        <v>25.05</v>
      </c>
      <c r="H367" s="365"/>
      <c r="I367" s="365">
        <v>8.74</v>
      </c>
      <c r="J367" s="365"/>
      <c r="K367" s="365"/>
      <c r="L367" s="365">
        <f t="shared" si="301"/>
        <v>30.24</v>
      </c>
      <c r="M367" s="365">
        <v>5.24</v>
      </c>
      <c r="N367" s="365"/>
      <c r="O367" s="365"/>
      <c r="P367" s="365"/>
      <c r="Q367" s="365"/>
      <c r="R367" s="365"/>
      <c r="S367" s="365">
        <v>25</v>
      </c>
      <c r="T367" s="366">
        <f t="shared" si="270"/>
        <v>-2.2302</v>
      </c>
      <c r="U367" s="366">
        <f t="shared" si="294"/>
        <v>7.8648</v>
      </c>
      <c r="V367" s="366">
        <v>6.66</v>
      </c>
      <c r="W367" s="366"/>
      <c r="X367" s="366">
        <v>1.2048</v>
      </c>
      <c r="Y367" s="366"/>
      <c r="Z367" s="366"/>
      <c r="AA367" s="365">
        <f t="shared" si="302"/>
        <v>-10.095</v>
      </c>
      <c r="AB367" s="365">
        <v>0.86</v>
      </c>
      <c r="AC367" s="365"/>
      <c r="AD367" s="365"/>
      <c r="AE367" s="365"/>
      <c r="AF367" s="365"/>
      <c r="AG367" s="365"/>
      <c r="AH367" s="365">
        <v>-25</v>
      </c>
      <c r="AI367" s="365">
        <v>9.42</v>
      </c>
      <c r="AJ367" s="365">
        <v>2</v>
      </c>
      <c r="AK367" s="365">
        <v>2.625</v>
      </c>
      <c r="AL367" s="366">
        <f t="shared" si="269"/>
        <v>61.7998</v>
      </c>
      <c r="AM367" s="365">
        <f t="shared" si="303"/>
        <v>41.6548</v>
      </c>
      <c r="AN367" s="365">
        <f t="shared" si="304"/>
        <v>31.71</v>
      </c>
      <c r="AO367" s="365">
        <f t="shared" si="305"/>
        <v>0</v>
      </c>
      <c r="AP367" s="365">
        <f t="shared" si="306"/>
        <v>9.9448</v>
      </c>
      <c r="AQ367" s="365">
        <f t="shared" si="307"/>
        <v>0</v>
      </c>
      <c r="AR367" s="365">
        <f t="shared" si="308"/>
        <v>0</v>
      </c>
      <c r="AS367" s="365">
        <f t="shared" si="295"/>
        <v>20.145</v>
      </c>
      <c r="AT367" s="365">
        <f t="shared" si="309"/>
        <v>6.1</v>
      </c>
      <c r="AU367" s="365">
        <f t="shared" si="310"/>
        <v>0</v>
      </c>
      <c r="AV367" s="365">
        <f t="shared" si="311"/>
        <v>0</v>
      </c>
      <c r="AW367" s="365">
        <f t="shared" si="312"/>
        <v>0</v>
      </c>
      <c r="AX367" s="365">
        <f t="shared" si="313"/>
        <v>0</v>
      </c>
      <c r="AY367" s="365">
        <f t="shared" si="314"/>
        <v>0</v>
      </c>
      <c r="AZ367" s="365">
        <f t="shared" si="315"/>
        <v>0</v>
      </c>
      <c r="BA367" s="365">
        <f t="shared" si="316"/>
        <v>9.42</v>
      </c>
      <c r="BB367" s="365">
        <f t="shared" si="317"/>
        <v>2</v>
      </c>
      <c r="BC367" s="365">
        <f t="shared" si="318"/>
        <v>2.625</v>
      </c>
      <c r="BD367" s="363"/>
      <c r="BE367">
        <v>2.625</v>
      </c>
    </row>
    <row r="368" ht="24" spans="1:57">
      <c r="A368" s="284" t="s">
        <v>665</v>
      </c>
      <c r="B368" s="284" t="s">
        <v>196</v>
      </c>
      <c r="C368" s="284" t="s">
        <v>666</v>
      </c>
      <c r="D368" s="284" t="s">
        <v>667</v>
      </c>
      <c r="E368" s="365">
        <f t="shared" si="299"/>
        <v>0</v>
      </c>
      <c r="F368" s="365">
        <f t="shared" si="300"/>
        <v>0</v>
      </c>
      <c r="G368" s="365"/>
      <c r="H368" s="365"/>
      <c r="I368" s="365"/>
      <c r="J368" s="365"/>
      <c r="K368" s="365"/>
      <c r="L368" s="365">
        <f t="shared" si="301"/>
        <v>0</v>
      </c>
      <c r="M368" s="365"/>
      <c r="N368" s="365"/>
      <c r="O368" s="365"/>
      <c r="P368" s="365"/>
      <c r="Q368" s="365"/>
      <c r="R368" s="365"/>
      <c r="S368" s="365"/>
      <c r="T368" s="366">
        <f t="shared" si="270"/>
        <v>0</v>
      </c>
      <c r="U368" s="366">
        <f t="shared" si="294"/>
        <v>0</v>
      </c>
      <c r="V368" s="366"/>
      <c r="W368" s="366"/>
      <c r="X368" s="366"/>
      <c r="Y368" s="366"/>
      <c r="Z368" s="366"/>
      <c r="AA368" s="365">
        <f t="shared" si="302"/>
        <v>0</v>
      </c>
      <c r="AB368" s="365"/>
      <c r="AC368" s="365"/>
      <c r="AD368" s="365"/>
      <c r="AE368" s="365"/>
      <c r="AF368" s="365"/>
      <c r="AG368" s="365"/>
      <c r="AH368" s="365">
        <v>0</v>
      </c>
      <c r="AI368" s="365"/>
      <c r="AJ368" s="365"/>
      <c r="AK368" s="365"/>
      <c r="AL368" s="366">
        <f t="shared" si="269"/>
        <v>0</v>
      </c>
      <c r="AM368" s="365">
        <f t="shared" si="303"/>
        <v>0</v>
      </c>
      <c r="AN368" s="365">
        <f t="shared" si="304"/>
        <v>0</v>
      </c>
      <c r="AO368" s="365">
        <f t="shared" si="305"/>
        <v>0</v>
      </c>
      <c r="AP368" s="365">
        <f t="shared" si="306"/>
        <v>0</v>
      </c>
      <c r="AQ368" s="365">
        <f t="shared" si="307"/>
        <v>0</v>
      </c>
      <c r="AR368" s="365">
        <f t="shared" si="308"/>
        <v>0</v>
      </c>
      <c r="AS368" s="365">
        <f t="shared" si="295"/>
        <v>0</v>
      </c>
      <c r="AT368" s="365">
        <f t="shared" si="309"/>
        <v>0</v>
      </c>
      <c r="AU368" s="365">
        <f t="shared" si="310"/>
        <v>0</v>
      </c>
      <c r="AV368" s="365">
        <f t="shared" si="311"/>
        <v>0</v>
      </c>
      <c r="AW368" s="365">
        <f t="shared" si="312"/>
        <v>0</v>
      </c>
      <c r="AX368" s="365">
        <f t="shared" si="313"/>
        <v>0</v>
      </c>
      <c r="AY368" s="365">
        <f t="shared" si="314"/>
        <v>0</v>
      </c>
      <c r="AZ368" s="365">
        <f t="shared" si="315"/>
        <v>0</v>
      </c>
      <c r="BA368" s="365">
        <f t="shared" si="316"/>
        <v>0</v>
      </c>
      <c r="BB368" s="365">
        <f t="shared" si="317"/>
        <v>0</v>
      </c>
      <c r="BC368" s="365">
        <f t="shared" si="318"/>
        <v>0</v>
      </c>
      <c r="BD368" s="363"/>
      <c r="BE368">
        <v>30.1416</v>
      </c>
    </row>
    <row r="369" ht="24" spans="1:56">
      <c r="A369" s="284" t="s">
        <v>665</v>
      </c>
      <c r="B369" s="284" t="s">
        <v>199</v>
      </c>
      <c r="C369" s="284" t="s">
        <v>680</v>
      </c>
      <c r="D369" s="284" t="s">
        <v>681</v>
      </c>
      <c r="E369" s="365">
        <f t="shared" si="299"/>
        <v>90.15</v>
      </c>
      <c r="F369" s="365">
        <f t="shared" si="300"/>
        <v>90.15</v>
      </c>
      <c r="G369" s="365">
        <v>68.29</v>
      </c>
      <c r="H369" s="365"/>
      <c r="I369" s="365">
        <v>21.86</v>
      </c>
      <c r="J369" s="365"/>
      <c r="K369" s="365"/>
      <c r="L369" s="365">
        <f t="shared" si="301"/>
        <v>0</v>
      </c>
      <c r="M369" s="365"/>
      <c r="N369" s="365"/>
      <c r="O369" s="365"/>
      <c r="P369" s="365"/>
      <c r="Q369" s="365"/>
      <c r="R369" s="365"/>
      <c r="S369" s="365"/>
      <c r="T369" s="366">
        <f t="shared" si="270"/>
        <v>16.58</v>
      </c>
      <c r="U369" s="366">
        <f t="shared" si="294"/>
        <v>4.01</v>
      </c>
      <c r="V369" s="366">
        <v>4.92</v>
      </c>
      <c r="W369" s="366"/>
      <c r="X369" s="366">
        <v>-0.91</v>
      </c>
      <c r="Y369" s="366"/>
      <c r="Z369" s="366"/>
      <c r="AA369" s="365">
        <f t="shared" si="302"/>
        <v>12.57</v>
      </c>
      <c r="AB369" s="365">
        <v>12.57</v>
      </c>
      <c r="AC369" s="365"/>
      <c r="AD369" s="365"/>
      <c r="AE369" s="365"/>
      <c r="AF369" s="365"/>
      <c r="AG369" s="365"/>
      <c r="AH369" s="365">
        <v>0</v>
      </c>
      <c r="AI369" s="365"/>
      <c r="AJ369" s="365"/>
      <c r="AK369" s="365"/>
      <c r="AL369" s="366">
        <f t="shared" si="269"/>
        <v>106.73</v>
      </c>
      <c r="AM369" s="365">
        <f t="shared" si="303"/>
        <v>94.16</v>
      </c>
      <c r="AN369" s="365">
        <f t="shared" si="304"/>
        <v>73.21</v>
      </c>
      <c r="AO369" s="365">
        <f t="shared" si="305"/>
        <v>0</v>
      </c>
      <c r="AP369" s="365">
        <f t="shared" si="306"/>
        <v>20.95</v>
      </c>
      <c r="AQ369" s="365">
        <f t="shared" si="307"/>
        <v>0</v>
      </c>
      <c r="AR369" s="365">
        <f t="shared" si="308"/>
        <v>0</v>
      </c>
      <c r="AS369" s="365">
        <f t="shared" si="295"/>
        <v>12.57</v>
      </c>
      <c r="AT369" s="365">
        <f t="shared" si="309"/>
        <v>12.57</v>
      </c>
      <c r="AU369" s="365">
        <f t="shared" si="310"/>
        <v>0</v>
      </c>
      <c r="AV369" s="365">
        <f t="shared" si="311"/>
        <v>0</v>
      </c>
      <c r="AW369" s="365">
        <f t="shared" si="312"/>
        <v>0</v>
      </c>
      <c r="AX369" s="365">
        <f t="shared" si="313"/>
        <v>0</v>
      </c>
      <c r="AY369" s="365">
        <f t="shared" si="314"/>
        <v>0</v>
      </c>
      <c r="AZ369" s="365">
        <f t="shared" si="315"/>
        <v>0</v>
      </c>
      <c r="BA369" s="365">
        <f t="shared" si="316"/>
        <v>0</v>
      </c>
      <c r="BB369" s="365">
        <f t="shared" si="317"/>
        <v>0</v>
      </c>
      <c r="BC369" s="365">
        <f t="shared" si="318"/>
        <v>0</v>
      </c>
      <c r="BD369" s="363"/>
    </row>
    <row r="370" ht="24" spans="1:57">
      <c r="A370" s="284" t="s">
        <v>665</v>
      </c>
      <c r="B370" s="284" t="s">
        <v>196</v>
      </c>
      <c r="C370" s="284" t="s">
        <v>668</v>
      </c>
      <c r="D370" s="284" t="s">
        <v>667</v>
      </c>
      <c r="E370" s="365">
        <f t="shared" si="299"/>
        <v>47.96</v>
      </c>
      <c r="F370" s="365">
        <f t="shared" si="300"/>
        <v>39</v>
      </c>
      <c r="G370" s="365">
        <v>39</v>
      </c>
      <c r="H370" s="365"/>
      <c r="I370" s="365"/>
      <c r="J370" s="365"/>
      <c r="K370" s="365"/>
      <c r="L370" s="365">
        <f t="shared" si="301"/>
        <v>8.96</v>
      </c>
      <c r="M370" s="371">
        <v>8.96</v>
      </c>
      <c r="N370" s="365"/>
      <c r="O370" s="365"/>
      <c r="P370" s="365"/>
      <c r="Q370" s="365"/>
      <c r="R370" s="365"/>
      <c r="S370" s="366"/>
      <c r="T370" s="366">
        <f t="shared" si="270"/>
        <v>3</v>
      </c>
      <c r="U370" s="366">
        <f t="shared" si="294"/>
        <v>0</v>
      </c>
      <c r="V370" s="366"/>
      <c r="W370" s="366"/>
      <c r="X370" s="366"/>
      <c r="Y370" s="366"/>
      <c r="Z370" s="366"/>
      <c r="AA370" s="365">
        <f t="shared" si="302"/>
        <v>3</v>
      </c>
      <c r="AB370" s="366"/>
      <c r="AC370" s="366"/>
      <c r="AD370" s="366"/>
      <c r="AE370" s="366"/>
      <c r="AF370" s="366"/>
      <c r="AG370" s="366"/>
      <c r="AH370" s="365">
        <v>0</v>
      </c>
      <c r="AI370" s="366">
        <v>3</v>
      </c>
      <c r="AJ370" s="366"/>
      <c r="AK370" s="366"/>
      <c r="AL370" s="366">
        <f t="shared" si="269"/>
        <v>50.96</v>
      </c>
      <c r="AM370" s="365">
        <f t="shared" si="303"/>
        <v>39</v>
      </c>
      <c r="AN370" s="365">
        <f t="shared" si="304"/>
        <v>39</v>
      </c>
      <c r="AO370" s="365">
        <f t="shared" si="305"/>
        <v>0</v>
      </c>
      <c r="AP370" s="365">
        <f t="shared" si="306"/>
        <v>0</v>
      </c>
      <c r="AQ370" s="365">
        <f t="shared" si="307"/>
        <v>0</v>
      </c>
      <c r="AR370" s="365">
        <f t="shared" si="308"/>
        <v>0</v>
      </c>
      <c r="AS370" s="365">
        <f t="shared" si="295"/>
        <v>11.96</v>
      </c>
      <c r="AT370" s="365">
        <f t="shared" si="309"/>
        <v>8.96</v>
      </c>
      <c r="AU370" s="365">
        <f t="shared" si="310"/>
        <v>0</v>
      </c>
      <c r="AV370" s="365">
        <f t="shared" si="311"/>
        <v>0</v>
      </c>
      <c r="AW370" s="365">
        <f t="shared" si="312"/>
        <v>0</v>
      </c>
      <c r="AX370" s="365">
        <f t="shared" si="313"/>
        <v>0</v>
      </c>
      <c r="AY370" s="365">
        <f t="shared" si="314"/>
        <v>0</v>
      </c>
      <c r="AZ370" s="365">
        <f t="shared" si="315"/>
        <v>0</v>
      </c>
      <c r="BA370" s="365">
        <f t="shared" si="316"/>
        <v>3</v>
      </c>
      <c r="BB370" s="365">
        <f t="shared" si="317"/>
        <v>0</v>
      </c>
      <c r="BC370" s="365">
        <f t="shared" si="318"/>
        <v>0</v>
      </c>
      <c r="BD370" s="363"/>
      <c r="BE370">
        <v>20.6471</v>
      </c>
    </row>
    <row r="371" ht="24" spans="1:57">
      <c r="A371" s="284" t="s">
        <v>665</v>
      </c>
      <c r="B371" s="284" t="s">
        <v>199</v>
      </c>
      <c r="C371" s="284" t="s">
        <v>669</v>
      </c>
      <c r="D371" s="284" t="s">
        <v>670</v>
      </c>
      <c r="E371" s="365">
        <f t="shared" si="299"/>
        <v>46.4</v>
      </c>
      <c r="F371" s="365">
        <f t="shared" si="300"/>
        <v>22.38</v>
      </c>
      <c r="G371" s="365">
        <v>15.68</v>
      </c>
      <c r="H371" s="365"/>
      <c r="I371" s="365">
        <v>6.7</v>
      </c>
      <c r="J371" s="365"/>
      <c r="K371" s="365"/>
      <c r="L371" s="365">
        <f t="shared" si="301"/>
        <v>24.02</v>
      </c>
      <c r="M371" s="365">
        <v>4.02</v>
      </c>
      <c r="N371" s="365"/>
      <c r="O371" s="365"/>
      <c r="P371" s="365"/>
      <c r="Q371" s="365"/>
      <c r="R371" s="365"/>
      <c r="S371" s="366">
        <v>20</v>
      </c>
      <c r="T371" s="366">
        <f t="shared" si="270"/>
        <v>-7.36</v>
      </c>
      <c r="U371" s="366">
        <f t="shared" si="294"/>
        <v>2.27</v>
      </c>
      <c r="V371" s="366">
        <v>2.27</v>
      </c>
      <c r="W371" s="366"/>
      <c r="X371" s="366"/>
      <c r="Y371" s="366"/>
      <c r="Z371" s="366"/>
      <c r="AA371" s="365">
        <f t="shared" si="302"/>
        <v>-9.63</v>
      </c>
      <c r="AB371" s="366">
        <v>0.01</v>
      </c>
      <c r="AC371" s="366"/>
      <c r="AD371" s="366"/>
      <c r="AE371" s="366"/>
      <c r="AF371" s="366"/>
      <c r="AG371" s="366"/>
      <c r="AH371" s="365">
        <v>-20</v>
      </c>
      <c r="AI371" s="366">
        <v>6.36</v>
      </c>
      <c r="AJ371" s="366">
        <v>2</v>
      </c>
      <c r="AK371" s="365">
        <v>2</v>
      </c>
      <c r="AL371" s="366">
        <f t="shared" si="269"/>
        <v>39.04</v>
      </c>
      <c r="AM371" s="365">
        <f t="shared" si="303"/>
        <v>24.65</v>
      </c>
      <c r="AN371" s="365">
        <f t="shared" si="304"/>
        <v>17.95</v>
      </c>
      <c r="AO371" s="365">
        <f t="shared" si="305"/>
        <v>0</v>
      </c>
      <c r="AP371" s="365">
        <f t="shared" si="306"/>
        <v>6.7</v>
      </c>
      <c r="AQ371" s="365">
        <f t="shared" si="307"/>
        <v>0</v>
      </c>
      <c r="AR371" s="365">
        <f t="shared" si="308"/>
        <v>0</v>
      </c>
      <c r="AS371" s="365">
        <f t="shared" si="295"/>
        <v>14.39</v>
      </c>
      <c r="AT371" s="365">
        <f t="shared" si="309"/>
        <v>4.03</v>
      </c>
      <c r="AU371" s="365">
        <f t="shared" si="310"/>
        <v>0</v>
      </c>
      <c r="AV371" s="365">
        <f t="shared" si="311"/>
        <v>0</v>
      </c>
      <c r="AW371" s="365">
        <f t="shared" si="312"/>
        <v>0</v>
      </c>
      <c r="AX371" s="365">
        <f t="shared" si="313"/>
        <v>0</v>
      </c>
      <c r="AY371" s="365">
        <f t="shared" si="314"/>
        <v>0</v>
      </c>
      <c r="AZ371" s="365">
        <f t="shared" si="315"/>
        <v>0</v>
      </c>
      <c r="BA371" s="365">
        <f t="shared" si="316"/>
        <v>6.36</v>
      </c>
      <c r="BB371" s="365">
        <f t="shared" si="317"/>
        <v>2</v>
      </c>
      <c r="BC371" s="365">
        <f t="shared" si="318"/>
        <v>2</v>
      </c>
      <c r="BD371" s="363"/>
      <c r="BE371">
        <v>2</v>
      </c>
    </row>
    <row r="372" ht="24" spans="1:56">
      <c r="A372" s="284" t="s">
        <v>665</v>
      </c>
      <c r="B372" s="284" t="s">
        <v>199</v>
      </c>
      <c r="C372" s="284" t="s">
        <v>671</v>
      </c>
      <c r="D372" s="284" t="s">
        <v>670</v>
      </c>
      <c r="E372" s="365">
        <f t="shared" si="299"/>
        <v>23.15</v>
      </c>
      <c r="F372" s="365">
        <f t="shared" ref="F372:F389" si="319">SUM(G372:K372)</f>
        <v>20.1</v>
      </c>
      <c r="G372" s="365">
        <v>15.01</v>
      </c>
      <c r="H372" s="365"/>
      <c r="I372" s="365">
        <v>5.09</v>
      </c>
      <c r="J372" s="365"/>
      <c r="K372" s="365"/>
      <c r="L372" s="365">
        <f t="shared" si="301"/>
        <v>3.05</v>
      </c>
      <c r="M372" s="365">
        <v>3.05</v>
      </c>
      <c r="N372" s="365"/>
      <c r="O372" s="365"/>
      <c r="P372" s="365"/>
      <c r="Q372" s="365"/>
      <c r="R372" s="365"/>
      <c r="S372" s="365"/>
      <c r="T372" s="366">
        <f t="shared" si="270"/>
        <v>-18.71</v>
      </c>
      <c r="U372" s="366">
        <f t="shared" si="294"/>
        <v>-16.17</v>
      </c>
      <c r="V372" s="366">
        <v>-11.93</v>
      </c>
      <c r="W372" s="366"/>
      <c r="X372" s="366">
        <v>-4.24</v>
      </c>
      <c r="Y372" s="366"/>
      <c r="Z372" s="366"/>
      <c r="AA372" s="365">
        <f t="shared" si="302"/>
        <v>-2.54</v>
      </c>
      <c r="AB372" s="365">
        <v>-2.54</v>
      </c>
      <c r="AC372" s="365"/>
      <c r="AD372" s="365"/>
      <c r="AE372" s="365"/>
      <c r="AF372" s="365"/>
      <c r="AG372" s="365"/>
      <c r="AH372" s="365">
        <v>0</v>
      </c>
      <c r="AI372" s="365"/>
      <c r="AJ372" s="365"/>
      <c r="AK372" s="365"/>
      <c r="AL372" s="366">
        <f t="shared" si="269"/>
        <v>4.44</v>
      </c>
      <c r="AM372" s="365">
        <f t="shared" si="303"/>
        <v>3.93</v>
      </c>
      <c r="AN372" s="365">
        <f t="shared" si="304"/>
        <v>3.08</v>
      </c>
      <c r="AO372" s="365">
        <f t="shared" si="305"/>
        <v>0</v>
      </c>
      <c r="AP372" s="365">
        <f t="shared" si="306"/>
        <v>0.85</v>
      </c>
      <c r="AQ372" s="365">
        <f t="shared" si="307"/>
        <v>0</v>
      </c>
      <c r="AR372" s="365">
        <f t="shared" si="308"/>
        <v>0</v>
      </c>
      <c r="AS372" s="365">
        <f t="shared" si="295"/>
        <v>0.51</v>
      </c>
      <c r="AT372" s="365">
        <f t="shared" si="309"/>
        <v>0.51</v>
      </c>
      <c r="AU372" s="365">
        <f t="shared" si="310"/>
        <v>0</v>
      </c>
      <c r="AV372" s="365">
        <f t="shared" si="311"/>
        <v>0</v>
      </c>
      <c r="AW372" s="365">
        <f t="shared" si="312"/>
        <v>0</v>
      </c>
      <c r="AX372" s="365">
        <f t="shared" si="313"/>
        <v>0</v>
      </c>
      <c r="AY372" s="365">
        <f t="shared" si="314"/>
        <v>0</v>
      </c>
      <c r="AZ372" s="365">
        <f t="shared" si="315"/>
        <v>0</v>
      </c>
      <c r="BA372" s="365">
        <f t="shared" si="316"/>
        <v>0</v>
      </c>
      <c r="BB372" s="365">
        <f t="shared" si="317"/>
        <v>0</v>
      </c>
      <c r="BC372" s="365">
        <f t="shared" si="318"/>
        <v>0</v>
      </c>
      <c r="BD372" s="363"/>
    </row>
    <row r="373" ht="24" spans="1:57">
      <c r="A373" s="284" t="s">
        <v>665</v>
      </c>
      <c r="B373" s="284" t="s">
        <v>199</v>
      </c>
      <c r="C373" s="284" t="s">
        <v>672</v>
      </c>
      <c r="D373" s="284" t="s">
        <v>670</v>
      </c>
      <c r="E373" s="365">
        <f t="shared" si="299"/>
        <v>290.71</v>
      </c>
      <c r="F373" s="365">
        <f t="shared" si="319"/>
        <v>145.63</v>
      </c>
      <c r="G373" s="365">
        <v>104.26</v>
      </c>
      <c r="H373" s="365"/>
      <c r="I373" s="365">
        <v>35.13</v>
      </c>
      <c r="J373" s="365">
        <v>6.24</v>
      </c>
      <c r="K373" s="365"/>
      <c r="L373" s="365">
        <f t="shared" si="301"/>
        <v>145.08</v>
      </c>
      <c r="M373" s="365">
        <v>21.08</v>
      </c>
      <c r="N373" s="365"/>
      <c r="O373" s="365"/>
      <c r="P373" s="365"/>
      <c r="Q373" s="365"/>
      <c r="R373" s="365"/>
      <c r="S373" s="366">
        <v>124</v>
      </c>
      <c r="T373" s="366">
        <f t="shared" si="270"/>
        <v>-55.56</v>
      </c>
      <c r="U373" s="366">
        <f t="shared" si="294"/>
        <v>4.38</v>
      </c>
      <c r="V373" s="366">
        <v>4.33</v>
      </c>
      <c r="W373" s="366"/>
      <c r="X373" s="366">
        <v>0.1</v>
      </c>
      <c r="Y373" s="366">
        <v>-0.05</v>
      </c>
      <c r="Z373" s="366"/>
      <c r="AA373" s="365">
        <f t="shared" si="302"/>
        <v>-59.94</v>
      </c>
      <c r="AB373" s="366">
        <v>-1.09</v>
      </c>
      <c r="AC373" s="366"/>
      <c r="AD373" s="366"/>
      <c r="AE373" s="366"/>
      <c r="AF373" s="366"/>
      <c r="AG373" s="366">
        <v>0.15</v>
      </c>
      <c r="AH373" s="365">
        <v>-124</v>
      </c>
      <c r="AI373" s="366">
        <v>34.5</v>
      </c>
      <c r="AJ373" s="366">
        <v>18</v>
      </c>
      <c r="AK373" s="365">
        <v>12.5</v>
      </c>
      <c r="AL373" s="366">
        <f t="shared" si="269"/>
        <v>235.15</v>
      </c>
      <c r="AM373" s="365">
        <f t="shared" si="303"/>
        <v>150.01</v>
      </c>
      <c r="AN373" s="365">
        <f t="shared" si="304"/>
        <v>108.59</v>
      </c>
      <c r="AO373" s="365">
        <f t="shared" si="305"/>
        <v>0</v>
      </c>
      <c r="AP373" s="365">
        <f t="shared" si="306"/>
        <v>35.23</v>
      </c>
      <c r="AQ373" s="365">
        <f t="shared" si="307"/>
        <v>6.19</v>
      </c>
      <c r="AR373" s="365">
        <f t="shared" si="308"/>
        <v>0</v>
      </c>
      <c r="AS373" s="365">
        <f t="shared" si="295"/>
        <v>85.14</v>
      </c>
      <c r="AT373" s="365">
        <f t="shared" si="309"/>
        <v>19.99</v>
      </c>
      <c r="AU373" s="365">
        <f t="shared" si="310"/>
        <v>0</v>
      </c>
      <c r="AV373" s="365">
        <f t="shared" si="311"/>
        <v>0</v>
      </c>
      <c r="AW373" s="365">
        <f t="shared" si="312"/>
        <v>0</v>
      </c>
      <c r="AX373" s="365">
        <f t="shared" si="313"/>
        <v>0</v>
      </c>
      <c r="AY373" s="365">
        <f t="shared" si="314"/>
        <v>0.15</v>
      </c>
      <c r="AZ373" s="365">
        <f t="shared" si="315"/>
        <v>0</v>
      </c>
      <c r="BA373" s="365">
        <f t="shared" si="316"/>
        <v>34.5</v>
      </c>
      <c r="BB373" s="365">
        <f t="shared" si="317"/>
        <v>18</v>
      </c>
      <c r="BC373" s="365">
        <f t="shared" si="318"/>
        <v>12.5</v>
      </c>
      <c r="BD373" s="363"/>
      <c r="BE373">
        <v>12</v>
      </c>
    </row>
    <row r="374" ht="24" spans="1:57">
      <c r="A374" s="284" t="s">
        <v>665</v>
      </c>
      <c r="B374" s="284" t="s">
        <v>199</v>
      </c>
      <c r="C374" s="284" t="s">
        <v>673</v>
      </c>
      <c r="D374" s="284" t="s">
        <v>670</v>
      </c>
      <c r="E374" s="365">
        <f t="shared" si="299"/>
        <v>34.5</v>
      </c>
      <c r="F374" s="365">
        <f t="shared" si="319"/>
        <v>16.92</v>
      </c>
      <c r="G374" s="365">
        <v>12.62</v>
      </c>
      <c r="H374" s="365"/>
      <c r="I374" s="365">
        <v>4.3</v>
      </c>
      <c r="J374" s="365"/>
      <c r="K374" s="365"/>
      <c r="L374" s="365">
        <f t="shared" si="301"/>
        <v>17.58</v>
      </c>
      <c r="M374" s="365">
        <v>2.58</v>
      </c>
      <c r="N374" s="365"/>
      <c r="O374" s="365"/>
      <c r="P374" s="365"/>
      <c r="Q374" s="365"/>
      <c r="R374" s="365"/>
      <c r="S374" s="366">
        <v>15</v>
      </c>
      <c r="T374" s="366">
        <f t="shared" si="270"/>
        <v>1.1</v>
      </c>
      <c r="U374" s="366">
        <f t="shared" si="294"/>
        <v>3.7</v>
      </c>
      <c r="V374" s="366">
        <v>3.49</v>
      </c>
      <c r="W374" s="366"/>
      <c r="X374" s="366">
        <v>0.21</v>
      </c>
      <c r="Y374" s="366"/>
      <c r="Z374" s="366"/>
      <c r="AA374" s="365">
        <f t="shared" si="302"/>
        <v>-2.6</v>
      </c>
      <c r="AB374" s="366">
        <v>0.13</v>
      </c>
      <c r="AC374" s="366"/>
      <c r="AD374" s="366"/>
      <c r="AE374" s="366"/>
      <c r="AF374" s="366"/>
      <c r="AG374" s="366">
        <v>0.15</v>
      </c>
      <c r="AH374" s="365">
        <v>-15</v>
      </c>
      <c r="AI374" s="366">
        <v>9.12</v>
      </c>
      <c r="AJ374" s="366"/>
      <c r="AK374" s="365">
        <v>3</v>
      </c>
      <c r="AL374" s="366">
        <f t="shared" si="269"/>
        <v>35.6</v>
      </c>
      <c r="AM374" s="365">
        <f t="shared" si="303"/>
        <v>20.62</v>
      </c>
      <c r="AN374" s="365">
        <f t="shared" si="304"/>
        <v>16.11</v>
      </c>
      <c r="AO374" s="365">
        <f t="shared" si="305"/>
        <v>0</v>
      </c>
      <c r="AP374" s="365">
        <f t="shared" si="306"/>
        <v>4.51</v>
      </c>
      <c r="AQ374" s="365">
        <f t="shared" si="307"/>
        <v>0</v>
      </c>
      <c r="AR374" s="365">
        <f t="shared" si="308"/>
        <v>0</v>
      </c>
      <c r="AS374" s="365">
        <f t="shared" si="295"/>
        <v>14.98</v>
      </c>
      <c r="AT374" s="365">
        <f t="shared" si="309"/>
        <v>2.71</v>
      </c>
      <c r="AU374" s="365">
        <f t="shared" si="310"/>
        <v>0</v>
      </c>
      <c r="AV374" s="365">
        <f t="shared" si="311"/>
        <v>0</v>
      </c>
      <c r="AW374" s="365">
        <f t="shared" si="312"/>
        <v>0</v>
      </c>
      <c r="AX374" s="365">
        <f t="shared" si="313"/>
        <v>0</v>
      </c>
      <c r="AY374" s="365">
        <f t="shared" si="314"/>
        <v>0.15</v>
      </c>
      <c r="AZ374" s="365">
        <f t="shared" si="315"/>
        <v>0</v>
      </c>
      <c r="BA374" s="365">
        <f t="shared" si="316"/>
        <v>9.12</v>
      </c>
      <c r="BB374" s="365">
        <f t="shared" si="317"/>
        <v>0</v>
      </c>
      <c r="BC374" s="365">
        <f t="shared" si="318"/>
        <v>3</v>
      </c>
      <c r="BD374" s="363"/>
      <c r="BE374">
        <v>3</v>
      </c>
    </row>
    <row r="375" ht="24" spans="1:57">
      <c r="A375" s="284" t="s">
        <v>665</v>
      </c>
      <c r="B375" s="284" t="s">
        <v>199</v>
      </c>
      <c r="C375" s="284" t="s">
        <v>674</v>
      </c>
      <c r="D375" s="284" t="s">
        <v>670</v>
      </c>
      <c r="E375" s="365">
        <f t="shared" si="299"/>
        <v>72.44</v>
      </c>
      <c r="F375" s="365">
        <f t="shared" si="319"/>
        <v>36.53</v>
      </c>
      <c r="G375" s="365">
        <v>26.68</v>
      </c>
      <c r="H375" s="365"/>
      <c r="I375" s="365">
        <v>9.85</v>
      </c>
      <c r="J375" s="365"/>
      <c r="K375" s="365"/>
      <c r="L375" s="365">
        <f t="shared" si="301"/>
        <v>35.91</v>
      </c>
      <c r="M375" s="365">
        <v>5.91</v>
      </c>
      <c r="N375" s="365"/>
      <c r="O375" s="365"/>
      <c r="P375" s="365"/>
      <c r="Q375" s="365"/>
      <c r="R375" s="365"/>
      <c r="S375" s="366">
        <v>30</v>
      </c>
      <c r="T375" s="366">
        <f t="shared" si="270"/>
        <v>-9.72</v>
      </c>
      <c r="U375" s="366">
        <f t="shared" si="294"/>
        <v>4.4</v>
      </c>
      <c r="V375" s="366">
        <v>4.2</v>
      </c>
      <c r="W375" s="366"/>
      <c r="X375" s="366">
        <v>0.2</v>
      </c>
      <c r="Y375" s="366"/>
      <c r="Z375" s="366"/>
      <c r="AA375" s="365">
        <f t="shared" si="302"/>
        <v>-14.12</v>
      </c>
      <c r="AB375" s="366">
        <v>0.13</v>
      </c>
      <c r="AC375" s="366"/>
      <c r="AD375" s="366"/>
      <c r="AE375" s="366"/>
      <c r="AF375" s="366"/>
      <c r="AG375" s="366"/>
      <c r="AH375" s="365">
        <v>-30</v>
      </c>
      <c r="AI375" s="366">
        <v>9.75</v>
      </c>
      <c r="AJ375" s="366">
        <v>3</v>
      </c>
      <c r="AK375" s="365">
        <v>3</v>
      </c>
      <c r="AL375" s="366">
        <f t="shared" si="269"/>
        <v>62.72</v>
      </c>
      <c r="AM375" s="365">
        <f t="shared" si="303"/>
        <v>40.93</v>
      </c>
      <c r="AN375" s="365">
        <f t="shared" si="304"/>
        <v>30.88</v>
      </c>
      <c r="AO375" s="365">
        <f t="shared" si="305"/>
        <v>0</v>
      </c>
      <c r="AP375" s="365">
        <f t="shared" si="306"/>
        <v>10.05</v>
      </c>
      <c r="AQ375" s="365">
        <f t="shared" si="307"/>
        <v>0</v>
      </c>
      <c r="AR375" s="365">
        <f t="shared" si="308"/>
        <v>0</v>
      </c>
      <c r="AS375" s="365">
        <f t="shared" si="295"/>
        <v>21.79</v>
      </c>
      <c r="AT375" s="365">
        <f t="shared" si="309"/>
        <v>6.04</v>
      </c>
      <c r="AU375" s="365">
        <f t="shared" si="310"/>
        <v>0</v>
      </c>
      <c r="AV375" s="365">
        <f t="shared" si="311"/>
        <v>0</v>
      </c>
      <c r="AW375" s="365">
        <f t="shared" si="312"/>
        <v>0</v>
      </c>
      <c r="AX375" s="365">
        <f t="shared" si="313"/>
        <v>0</v>
      </c>
      <c r="AY375" s="365">
        <f t="shared" si="314"/>
        <v>0</v>
      </c>
      <c r="AZ375" s="365">
        <f t="shared" si="315"/>
        <v>0</v>
      </c>
      <c r="BA375" s="365">
        <f t="shared" si="316"/>
        <v>9.75</v>
      </c>
      <c r="BB375" s="365">
        <f t="shared" si="317"/>
        <v>3</v>
      </c>
      <c r="BC375" s="365">
        <f t="shared" si="318"/>
        <v>3</v>
      </c>
      <c r="BD375" s="363"/>
      <c r="BE375">
        <v>3</v>
      </c>
    </row>
    <row r="376" ht="24" spans="1:57">
      <c r="A376" s="284" t="s">
        <v>665</v>
      </c>
      <c r="B376" s="284" t="s">
        <v>199</v>
      </c>
      <c r="C376" s="284" t="s">
        <v>675</v>
      </c>
      <c r="D376" s="284" t="s">
        <v>670</v>
      </c>
      <c r="E376" s="365">
        <f t="shared" si="299"/>
        <v>38.95</v>
      </c>
      <c r="F376" s="365">
        <f t="shared" si="319"/>
        <v>20.79</v>
      </c>
      <c r="G376" s="365">
        <v>15.52</v>
      </c>
      <c r="H376" s="365"/>
      <c r="I376" s="365">
        <v>5.27</v>
      </c>
      <c r="J376" s="365"/>
      <c r="K376" s="365"/>
      <c r="L376" s="365">
        <f t="shared" si="301"/>
        <v>18.16</v>
      </c>
      <c r="M376" s="365">
        <v>3.16</v>
      </c>
      <c r="N376" s="365"/>
      <c r="O376" s="365"/>
      <c r="P376" s="365"/>
      <c r="Q376" s="365"/>
      <c r="R376" s="365"/>
      <c r="S376" s="366">
        <v>15</v>
      </c>
      <c r="T376" s="366">
        <f t="shared" si="270"/>
        <v>-3.69</v>
      </c>
      <c r="U376" s="366">
        <f t="shared" si="294"/>
        <v>2.46</v>
      </c>
      <c r="V376" s="366">
        <v>2.36</v>
      </c>
      <c r="W376" s="366"/>
      <c r="X376" s="366">
        <v>0.1</v>
      </c>
      <c r="Y376" s="366"/>
      <c r="Z376" s="366"/>
      <c r="AA376" s="365">
        <f t="shared" si="302"/>
        <v>-6.15</v>
      </c>
      <c r="AB376" s="366">
        <v>0.07</v>
      </c>
      <c r="AC376" s="366"/>
      <c r="AD376" s="366"/>
      <c r="AE376" s="366"/>
      <c r="AF376" s="366"/>
      <c r="AG376" s="366">
        <v>0.3</v>
      </c>
      <c r="AH376" s="365">
        <v>-15</v>
      </c>
      <c r="AI376" s="366">
        <v>4.98</v>
      </c>
      <c r="AJ376" s="366">
        <v>2</v>
      </c>
      <c r="AK376" s="365">
        <v>1.5</v>
      </c>
      <c r="AL376" s="366">
        <f t="shared" si="269"/>
        <v>35.26</v>
      </c>
      <c r="AM376" s="365">
        <f t="shared" si="303"/>
        <v>23.25</v>
      </c>
      <c r="AN376" s="365">
        <f t="shared" si="304"/>
        <v>17.88</v>
      </c>
      <c r="AO376" s="365">
        <f t="shared" si="305"/>
        <v>0</v>
      </c>
      <c r="AP376" s="365">
        <f t="shared" si="306"/>
        <v>5.37</v>
      </c>
      <c r="AQ376" s="365">
        <f t="shared" si="307"/>
        <v>0</v>
      </c>
      <c r="AR376" s="365">
        <f t="shared" si="308"/>
        <v>0</v>
      </c>
      <c r="AS376" s="365">
        <f t="shared" si="295"/>
        <v>12.01</v>
      </c>
      <c r="AT376" s="365">
        <f t="shared" si="309"/>
        <v>3.23</v>
      </c>
      <c r="AU376" s="365">
        <f t="shared" si="310"/>
        <v>0</v>
      </c>
      <c r="AV376" s="365">
        <f t="shared" si="311"/>
        <v>0</v>
      </c>
      <c r="AW376" s="365">
        <f t="shared" si="312"/>
        <v>0</v>
      </c>
      <c r="AX376" s="365">
        <f t="shared" si="313"/>
        <v>0</v>
      </c>
      <c r="AY376" s="365">
        <f t="shared" si="314"/>
        <v>0.3</v>
      </c>
      <c r="AZ376" s="365">
        <f t="shared" si="315"/>
        <v>0</v>
      </c>
      <c r="BA376" s="365">
        <f t="shared" si="316"/>
        <v>4.98</v>
      </c>
      <c r="BB376" s="365">
        <f t="shared" si="317"/>
        <v>2</v>
      </c>
      <c r="BC376" s="365">
        <f t="shared" si="318"/>
        <v>1.5</v>
      </c>
      <c r="BD376" s="363"/>
      <c r="BE376">
        <v>1.5</v>
      </c>
    </row>
    <row r="377" ht="24" spans="1:57">
      <c r="A377" s="284" t="s">
        <v>665</v>
      </c>
      <c r="B377" s="284" t="s">
        <v>199</v>
      </c>
      <c r="C377" s="284" t="s">
        <v>676</v>
      </c>
      <c r="D377" s="284" t="s">
        <v>670</v>
      </c>
      <c r="E377" s="365">
        <f t="shared" si="299"/>
        <v>64.85</v>
      </c>
      <c r="F377" s="365">
        <f t="shared" si="319"/>
        <v>34.79</v>
      </c>
      <c r="G377" s="365">
        <v>25.74</v>
      </c>
      <c r="H377" s="365"/>
      <c r="I377" s="365">
        <v>8.43</v>
      </c>
      <c r="J377" s="365"/>
      <c r="K377" s="365">
        <v>0.62</v>
      </c>
      <c r="L377" s="365">
        <f t="shared" si="301"/>
        <v>30.06</v>
      </c>
      <c r="M377" s="365">
        <v>5.06</v>
      </c>
      <c r="N377" s="365"/>
      <c r="O377" s="365"/>
      <c r="P377" s="365"/>
      <c r="Q377" s="365"/>
      <c r="R377" s="365"/>
      <c r="S377" s="366">
        <v>25</v>
      </c>
      <c r="T377" s="366">
        <f t="shared" si="270"/>
        <v>-6.37</v>
      </c>
      <c r="U377" s="366">
        <f t="shared" si="294"/>
        <v>4.56</v>
      </c>
      <c r="V377" s="366">
        <v>4.23</v>
      </c>
      <c r="W377" s="366"/>
      <c r="X377" s="366">
        <v>0.33</v>
      </c>
      <c r="Y377" s="366"/>
      <c r="Z377" s="366"/>
      <c r="AA377" s="365">
        <f t="shared" si="302"/>
        <v>-10.93</v>
      </c>
      <c r="AB377" s="366">
        <v>0.2</v>
      </c>
      <c r="AC377" s="366"/>
      <c r="AD377" s="366"/>
      <c r="AE377" s="366"/>
      <c r="AF377" s="366"/>
      <c r="AG377" s="366"/>
      <c r="AH377" s="365">
        <v>-25</v>
      </c>
      <c r="AI377" s="366">
        <v>8.37</v>
      </c>
      <c r="AJ377" s="366">
        <v>3</v>
      </c>
      <c r="AK377" s="365">
        <v>2.5</v>
      </c>
      <c r="AL377" s="366">
        <f t="shared" si="269"/>
        <v>58.48</v>
      </c>
      <c r="AM377" s="365">
        <f t="shared" si="303"/>
        <v>39.35</v>
      </c>
      <c r="AN377" s="365">
        <f t="shared" si="304"/>
        <v>29.97</v>
      </c>
      <c r="AO377" s="365">
        <f t="shared" si="305"/>
        <v>0</v>
      </c>
      <c r="AP377" s="365">
        <f t="shared" si="306"/>
        <v>8.76</v>
      </c>
      <c r="AQ377" s="365">
        <f t="shared" si="307"/>
        <v>0</v>
      </c>
      <c r="AR377" s="365">
        <f t="shared" si="308"/>
        <v>0.62</v>
      </c>
      <c r="AS377" s="365">
        <f t="shared" si="295"/>
        <v>19.13</v>
      </c>
      <c r="AT377" s="365">
        <f t="shared" si="309"/>
        <v>5.26</v>
      </c>
      <c r="AU377" s="365">
        <f t="shared" si="310"/>
        <v>0</v>
      </c>
      <c r="AV377" s="365">
        <f t="shared" si="311"/>
        <v>0</v>
      </c>
      <c r="AW377" s="365">
        <f t="shared" si="312"/>
        <v>0</v>
      </c>
      <c r="AX377" s="365">
        <f t="shared" si="313"/>
        <v>0</v>
      </c>
      <c r="AY377" s="365">
        <f t="shared" si="314"/>
        <v>0</v>
      </c>
      <c r="AZ377" s="365">
        <f t="shared" si="315"/>
        <v>0</v>
      </c>
      <c r="BA377" s="365">
        <f t="shared" si="316"/>
        <v>8.37</v>
      </c>
      <c r="BB377" s="365">
        <f t="shared" si="317"/>
        <v>3</v>
      </c>
      <c r="BC377" s="365">
        <f t="shared" si="318"/>
        <v>2.5</v>
      </c>
      <c r="BD377" s="363"/>
      <c r="BE377">
        <v>2.5</v>
      </c>
    </row>
    <row r="378" ht="24" spans="1:56">
      <c r="A378" s="284" t="s">
        <v>665</v>
      </c>
      <c r="B378" s="284" t="s">
        <v>199</v>
      </c>
      <c r="C378" s="284" t="s">
        <v>677</v>
      </c>
      <c r="D378" s="284" t="s">
        <v>670</v>
      </c>
      <c r="E378" s="365">
        <f t="shared" si="299"/>
        <v>33.22</v>
      </c>
      <c r="F378" s="365">
        <f t="shared" si="319"/>
        <v>15.62</v>
      </c>
      <c r="G378" s="365">
        <v>11.29</v>
      </c>
      <c r="H378" s="365"/>
      <c r="I378" s="365">
        <v>4.33</v>
      </c>
      <c r="J378" s="365"/>
      <c r="K378" s="365"/>
      <c r="L378" s="365">
        <f t="shared" si="301"/>
        <v>17.6</v>
      </c>
      <c r="M378" s="365">
        <v>2.6</v>
      </c>
      <c r="N378" s="365"/>
      <c r="O378" s="365"/>
      <c r="P378" s="365"/>
      <c r="Q378" s="365"/>
      <c r="R378" s="365"/>
      <c r="S378" s="366">
        <v>15</v>
      </c>
      <c r="T378" s="366">
        <f t="shared" si="270"/>
        <v>-33.22</v>
      </c>
      <c r="U378" s="366">
        <f t="shared" si="294"/>
        <v>-15.62</v>
      </c>
      <c r="V378" s="366">
        <v>-11.29</v>
      </c>
      <c r="W378" s="366"/>
      <c r="X378" s="365">
        <v>-4.33</v>
      </c>
      <c r="Y378" s="366"/>
      <c r="Z378" s="366"/>
      <c r="AA378" s="365">
        <f t="shared" si="302"/>
        <v>-17.6</v>
      </c>
      <c r="AB378" s="366">
        <v>-2.6</v>
      </c>
      <c r="AC378" s="366"/>
      <c r="AD378" s="366"/>
      <c r="AE378" s="366"/>
      <c r="AF378" s="366"/>
      <c r="AG378" s="366"/>
      <c r="AH378" s="365">
        <v>-15</v>
      </c>
      <c r="AI378" s="366"/>
      <c r="AJ378" s="366"/>
      <c r="AK378" s="365"/>
      <c r="AL378" s="366">
        <f t="shared" si="269"/>
        <v>0</v>
      </c>
      <c r="AM378" s="365">
        <f t="shared" si="303"/>
        <v>0</v>
      </c>
      <c r="AN378" s="365">
        <f t="shared" si="304"/>
        <v>0</v>
      </c>
      <c r="AO378" s="365">
        <f t="shared" si="305"/>
        <v>0</v>
      </c>
      <c r="AP378" s="365">
        <f t="shared" si="306"/>
        <v>0</v>
      </c>
      <c r="AQ378" s="365">
        <f t="shared" si="307"/>
        <v>0</v>
      </c>
      <c r="AR378" s="365">
        <f t="shared" si="308"/>
        <v>0</v>
      </c>
      <c r="AS378" s="365">
        <f t="shared" si="295"/>
        <v>0</v>
      </c>
      <c r="AT378" s="365">
        <f t="shared" si="309"/>
        <v>0</v>
      </c>
      <c r="AU378" s="365">
        <f t="shared" si="310"/>
        <v>0</v>
      </c>
      <c r="AV378" s="365">
        <f t="shared" si="311"/>
        <v>0</v>
      </c>
      <c r="AW378" s="365">
        <f t="shared" si="312"/>
        <v>0</v>
      </c>
      <c r="AX378" s="365">
        <f t="shared" si="313"/>
        <v>0</v>
      </c>
      <c r="AY378" s="365">
        <f t="shared" si="314"/>
        <v>0</v>
      </c>
      <c r="AZ378" s="365">
        <f t="shared" si="315"/>
        <v>0</v>
      </c>
      <c r="BA378" s="365">
        <f t="shared" si="316"/>
        <v>0</v>
      </c>
      <c r="BB378" s="365">
        <f t="shared" si="317"/>
        <v>0</v>
      </c>
      <c r="BC378" s="365">
        <f t="shared" si="318"/>
        <v>0</v>
      </c>
      <c r="BD378" s="363"/>
    </row>
    <row r="379" ht="24" spans="1:57">
      <c r="A379" s="284" t="s">
        <v>665</v>
      </c>
      <c r="B379" s="284" t="s">
        <v>199</v>
      </c>
      <c r="C379" s="284" t="s">
        <v>678</v>
      </c>
      <c r="D379" s="284" t="s">
        <v>670</v>
      </c>
      <c r="E379" s="365">
        <f t="shared" si="299"/>
        <v>34.53</v>
      </c>
      <c r="F379" s="365">
        <f t="shared" si="319"/>
        <v>17.2</v>
      </c>
      <c r="G379" s="365">
        <v>13.31</v>
      </c>
      <c r="H379" s="365"/>
      <c r="I379" s="365">
        <v>3.89</v>
      </c>
      <c r="J379" s="365"/>
      <c r="K379" s="365"/>
      <c r="L379" s="365">
        <f t="shared" si="301"/>
        <v>17.33</v>
      </c>
      <c r="M379" s="365">
        <v>2.33</v>
      </c>
      <c r="N379" s="365"/>
      <c r="O379" s="365"/>
      <c r="P379" s="365"/>
      <c r="Q379" s="365"/>
      <c r="R379" s="365"/>
      <c r="S379" s="366">
        <v>15</v>
      </c>
      <c r="T379" s="366">
        <f t="shared" si="270"/>
        <v>-4.26</v>
      </c>
      <c r="U379" s="366">
        <f t="shared" si="294"/>
        <v>2.6</v>
      </c>
      <c r="V379" s="366">
        <v>0.11</v>
      </c>
      <c r="W379" s="366"/>
      <c r="X379" s="366">
        <v>2.49</v>
      </c>
      <c r="Y379" s="366"/>
      <c r="Z379" s="366"/>
      <c r="AA379" s="365">
        <f t="shared" si="302"/>
        <v>-6.86</v>
      </c>
      <c r="AB379" s="366">
        <v>0.35</v>
      </c>
      <c r="AC379" s="366"/>
      <c r="AD379" s="366"/>
      <c r="AE379" s="366"/>
      <c r="AF379" s="366"/>
      <c r="AG379" s="366">
        <v>0.15</v>
      </c>
      <c r="AH379" s="365">
        <v>-15</v>
      </c>
      <c r="AI379" s="366">
        <v>4.14</v>
      </c>
      <c r="AJ379" s="366">
        <v>2</v>
      </c>
      <c r="AK379" s="365">
        <v>1.5</v>
      </c>
      <c r="AL379" s="366">
        <f t="shared" si="269"/>
        <v>30.27</v>
      </c>
      <c r="AM379" s="365">
        <f t="shared" si="303"/>
        <v>19.8</v>
      </c>
      <c r="AN379" s="365">
        <f t="shared" si="304"/>
        <v>13.42</v>
      </c>
      <c r="AO379" s="365">
        <f t="shared" si="305"/>
        <v>0</v>
      </c>
      <c r="AP379" s="365">
        <f t="shared" si="306"/>
        <v>6.38</v>
      </c>
      <c r="AQ379" s="365">
        <f t="shared" si="307"/>
        <v>0</v>
      </c>
      <c r="AR379" s="365">
        <f t="shared" si="308"/>
        <v>0</v>
      </c>
      <c r="AS379" s="365">
        <f t="shared" si="295"/>
        <v>10.47</v>
      </c>
      <c r="AT379" s="365">
        <f t="shared" si="309"/>
        <v>2.68</v>
      </c>
      <c r="AU379" s="365">
        <f t="shared" si="310"/>
        <v>0</v>
      </c>
      <c r="AV379" s="365">
        <f t="shared" si="311"/>
        <v>0</v>
      </c>
      <c r="AW379" s="365">
        <f t="shared" si="312"/>
        <v>0</v>
      </c>
      <c r="AX379" s="365">
        <f t="shared" si="313"/>
        <v>0</v>
      </c>
      <c r="AY379" s="365">
        <f t="shared" si="314"/>
        <v>0.15</v>
      </c>
      <c r="AZ379" s="365">
        <f t="shared" si="315"/>
        <v>0</v>
      </c>
      <c r="BA379" s="365">
        <f t="shared" si="316"/>
        <v>4.14</v>
      </c>
      <c r="BB379" s="365">
        <f t="shared" si="317"/>
        <v>2</v>
      </c>
      <c r="BC379" s="365">
        <f t="shared" si="318"/>
        <v>1.5</v>
      </c>
      <c r="BD379" s="363"/>
      <c r="BE379">
        <v>1.5</v>
      </c>
    </row>
    <row r="380" ht="24" spans="1:57">
      <c r="A380" s="284" t="s">
        <v>665</v>
      </c>
      <c r="B380" s="284" t="s">
        <v>199</v>
      </c>
      <c r="C380" s="284" t="s">
        <v>679</v>
      </c>
      <c r="D380" s="284" t="s">
        <v>670</v>
      </c>
      <c r="E380" s="365">
        <f t="shared" si="299"/>
        <v>819.63</v>
      </c>
      <c r="F380" s="365">
        <f t="shared" si="319"/>
        <v>430.43</v>
      </c>
      <c r="G380" s="365">
        <v>312.6</v>
      </c>
      <c r="H380" s="365"/>
      <c r="I380" s="365">
        <v>103.67</v>
      </c>
      <c r="J380" s="365">
        <v>14.16</v>
      </c>
      <c r="K380" s="365"/>
      <c r="L380" s="365">
        <f t="shared" si="301"/>
        <v>389.2</v>
      </c>
      <c r="M380" s="365">
        <v>62.2</v>
      </c>
      <c r="N380" s="365"/>
      <c r="O380" s="365"/>
      <c r="P380" s="365"/>
      <c r="Q380" s="365"/>
      <c r="R380" s="365"/>
      <c r="S380" s="365">
        <v>327</v>
      </c>
      <c r="T380" s="366">
        <f t="shared" si="270"/>
        <v>-126.76</v>
      </c>
      <c r="U380" s="366">
        <f t="shared" si="294"/>
        <v>22.23</v>
      </c>
      <c r="V380" s="366">
        <v>14.13</v>
      </c>
      <c r="W380" s="366"/>
      <c r="X380" s="366">
        <v>7.57</v>
      </c>
      <c r="Y380" s="366">
        <v>0.53</v>
      </c>
      <c r="Z380" s="366"/>
      <c r="AA380" s="365">
        <f t="shared" si="302"/>
        <v>-148.99</v>
      </c>
      <c r="AB380" s="365">
        <v>-2.24</v>
      </c>
      <c r="AC380" s="365"/>
      <c r="AD380" s="365"/>
      <c r="AE380" s="365"/>
      <c r="AF380" s="365"/>
      <c r="AG380" s="365">
        <v>5.64</v>
      </c>
      <c r="AH380" s="365">
        <v>-327</v>
      </c>
      <c r="AI380" s="365">
        <v>99.91</v>
      </c>
      <c r="AJ380" s="365">
        <v>42</v>
      </c>
      <c r="AK380" s="365">
        <v>32.7</v>
      </c>
      <c r="AL380" s="366">
        <f t="shared" si="269"/>
        <v>692.87</v>
      </c>
      <c r="AM380" s="365">
        <f t="shared" si="303"/>
        <v>452.66</v>
      </c>
      <c r="AN380" s="365">
        <f t="shared" si="304"/>
        <v>326.73</v>
      </c>
      <c r="AO380" s="365">
        <f t="shared" si="305"/>
        <v>0</v>
      </c>
      <c r="AP380" s="365">
        <f t="shared" si="306"/>
        <v>111.24</v>
      </c>
      <c r="AQ380" s="365">
        <f t="shared" si="307"/>
        <v>14.69</v>
      </c>
      <c r="AR380" s="365">
        <f t="shared" si="308"/>
        <v>0</v>
      </c>
      <c r="AS380" s="365">
        <f t="shared" si="295"/>
        <v>240.21</v>
      </c>
      <c r="AT380" s="365">
        <f t="shared" si="309"/>
        <v>59.96</v>
      </c>
      <c r="AU380" s="365">
        <f t="shared" si="310"/>
        <v>0</v>
      </c>
      <c r="AV380" s="365">
        <f t="shared" si="311"/>
        <v>0</v>
      </c>
      <c r="AW380" s="365">
        <f t="shared" si="312"/>
        <v>0</v>
      </c>
      <c r="AX380" s="365">
        <f t="shared" si="313"/>
        <v>0</v>
      </c>
      <c r="AY380" s="365">
        <f t="shared" si="314"/>
        <v>5.64</v>
      </c>
      <c r="AZ380" s="365">
        <f t="shared" si="315"/>
        <v>0</v>
      </c>
      <c r="BA380" s="365">
        <f t="shared" si="316"/>
        <v>99.91</v>
      </c>
      <c r="BB380" s="365">
        <f t="shared" si="317"/>
        <v>42</v>
      </c>
      <c r="BC380" s="365">
        <f t="shared" si="318"/>
        <v>32.7</v>
      </c>
      <c r="BD380" s="363"/>
      <c r="BE380">
        <v>37.29</v>
      </c>
    </row>
    <row r="381" ht="24" spans="1:56">
      <c r="A381" s="284" t="s">
        <v>665</v>
      </c>
      <c r="B381" s="284" t="s">
        <v>199</v>
      </c>
      <c r="C381" s="284" t="s">
        <v>802</v>
      </c>
      <c r="D381" s="284" t="s">
        <v>670</v>
      </c>
      <c r="E381" s="365">
        <f t="shared" si="299"/>
        <v>0</v>
      </c>
      <c r="F381" s="365">
        <f t="shared" si="319"/>
        <v>0</v>
      </c>
      <c r="G381" s="365"/>
      <c r="H381" s="365"/>
      <c r="I381" s="365"/>
      <c r="J381" s="365"/>
      <c r="K381" s="365"/>
      <c r="L381" s="365">
        <f t="shared" si="301"/>
        <v>0</v>
      </c>
      <c r="M381" s="366">
        <v>0</v>
      </c>
      <c r="N381" s="365"/>
      <c r="O381" s="365"/>
      <c r="P381" s="365"/>
      <c r="Q381" s="365"/>
      <c r="R381" s="365"/>
      <c r="S381" s="365"/>
      <c r="T381" s="366">
        <f t="shared" si="270"/>
        <v>55.25</v>
      </c>
      <c r="U381" s="366">
        <f t="shared" si="294"/>
        <v>37.58</v>
      </c>
      <c r="V381" s="366">
        <v>24.11</v>
      </c>
      <c r="W381" s="366"/>
      <c r="X381" s="366">
        <v>13.47</v>
      </c>
      <c r="Y381" s="366"/>
      <c r="Z381" s="366"/>
      <c r="AA381" s="365">
        <f t="shared" si="302"/>
        <v>17.67</v>
      </c>
      <c r="AB381" s="365">
        <v>5.42</v>
      </c>
      <c r="AC381" s="365"/>
      <c r="AD381" s="365"/>
      <c r="AE381" s="365"/>
      <c r="AF381" s="365"/>
      <c r="AG381" s="365">
        <v>0.6</v>
      </c>
      <c r="AH381" s="365"/>
      <c r="AI381" s="365">
        <v>5.65</v>
      </c>
      <c r="AJ381" s="365">
        <v>6</v>
      </c>
      <c r="AK381" s="365"/>
      <c r="AL381" s="366">
        <f t="shared" si="269"/>
        <v>55.25</v>
      </c>
      <c r="AM381" s="365">
        <f t="shared" si="303"/>
        <v>37.58</v>
      </c>
      <c r="AN381" s="365">
        <f t="shared" si="304"/>
        <v>24.11</v>
      </c>
      <c r="AO381" s="365">
        <f t="shared" si="305"/>
        <v>0</v>
      </c>
      <c r="AP381" s="365">
        <f t="shared" si="306"/>
        <v>13.47</v>
      </c>
      <c r="AQ381" s="365">
        <f t="shared" si="307"/>
        <v>0</v>
      </c>
      <c r="AR381" s="365">
        <f t="shared" si="308"/>
        <v>0</v>
      </c>
      <c r="AS381" s="365">
        <f t="shared" si="295"/>
        <v>17.67</v>
      </c>
      <c r="AT381" s="365">
        <f t="shared" si="309"/>
        <v>5.42</v>
      </c>
      <c r="AU381" s="365">
        <f t="shared" si="310"/>
        <v>0</v>
      </c>
      <c r="AV381" s="365">
        <f t="shared" si="311"/>
        <v>0</v>
      </c>
      <c r="AW381" s="365">
        <f t="shared" si="312"/>
        <v>0</v>
      </c>
      <c r="AX381" s="365">
        <f t="shared" si="313"/>
        <v>0</v>
      </c>
      <c r="AY381" s="365">
        <f t="shared" si="314"/>
        <v>0.6</v>
      </c>
      <c r="AZ381" s="365">
        <f t="shared" si="315"/>
        <v>0</v>
      </c>
      <c r="BA381" s="365">
        <f t="shared" si="316"/>
        <v>5.65</v>
      </c>
      <c r="BB381" s="365">
        <f t="shared" si="317"/>
        <v>6</v>
      </c>
      <c r="BC381" s="365">
        <f t="shared" si="318"/>
        <v>0</v>
      </c>
      <c r="BD381" s="363"/>
    </row>
    <row r="382" ht="24" spans="1:57">
      <c r="A382" s="284" t="s">
        <v>640</v>
      </c>
      <c r="B382" s="284" t="s">
        <v>196</v>
      </c>
      <c r="C382" s="284" t="s">
        <v>682</v>
      </c>
      <c r="D382" s="284" t="s">
        <v>683</v>
      </c>
      <c r="E382" s="365">
        <f t="shared" si="299"/>
        <v>0</v>
      </c>
      <c r="F382" s="365">
        <f t="shared" si="319"/>
        <v>0</v>
      </c>
      <c r="G382" s="365"/>
      <c r="H382" s="365"/>
      <c r="I382" s="365"/>
      <c r="J382" s="365"/>
      <c r="K382" s="365"/>
      <c r="L382" s="365">
        <f t="shared" si="301"/>
        <v>0</v>
      </c>
      <c r="M382" s="365"/>
      <c r="N382" s="365"/>
      <c r="O382" s="365"/>
      <c r="P382" s="365"/>
      <c r="Q382" s="365"/>
      <c r="R382" s="365"/>
      <c r="S382" s="365"/>
      <c r="T382" s="366">
        <f t="shared" si="270"/>
        <v>4.01</v>
      </c>
      <c r="U382" s="366">
        <f t="shared" si="294"/>
        <v>4.01</v>
      </c>
      <c r="V382" s="366">
        <v>4.92</v>
      </c>
      <c r="W382" s="366"/>
      <c r="X382" s="366">
        <v>-0.91</v>
      </c>
      <c r="Y382" s="366"/>
      <c r="Z382" s="366"/>
      <c r="AA382" s="365">
        <f t="shared" si="302"/>
        <v>0</v>
      </c>
      <c r="AB382" s="365"/>
      <c r="AC382" s="365"/>
      <c r="AD382" s="365"/>
      <c r="AE382" s="365"/>
      <c r="AF382" s="365"/>
      <c r="AG382" s="365"/>
      <c r="AH382" s="365">
        <v>0</v>
      </c>
      <c r="AI382" s="365"/>
      <c r="AJ382" s="365"/>
      <c r="AK382" s="365"/>
      <c r="AL382" s="366">
        <f t="shared" si="269"/>
        <v>4.01</v>
      </c>
      <c r="AM382" s="365">
        <f t="shared" si="303"/>
        <v>4.01</v>
      </c>
      <c r="AN382" s="365">
        <f t="shared" si="304"/>
        <v>4.92</v>
      </c>
      <c r="AO382" s="365">
        <f t="shared" si="305"/>
        <v>0</v>
      </c>
      <c r="AP382" s="365">
        <f t="shared" si="306"/>
        <v>-0.91</v>
      </c>
      <c r="AQ382" s="365">
        <f t="shared" si="307"/>
        <v>0</v>
      </c>
      <c r="AR382" s="365">
        <f t="shared" si="308"/>
        <v>0</v>
      </c>
      <c r="AS382" s="365">
        <f t="shared" si="295"/>
        <v>0</v>
      </c>
      <c r="AT382" s="365">
        <f t="shared" si="309"/>
        <v>0</v>
      </c>
      <c r="AU382" s="365">
        <f t="shared" si="310"/>
        <v>0</v>
      </c>
      <c r="AV382" s="365">
        <f t="shared" si="311"/>
        <v>0</v>
      </c>
      <c r="AW382" s="365">
        <f t="shared" si="312"/>
        <v>0</v>
      </c>
      <c r="AX382" s="365">
        <f t="shared" si="313"/>
        <v>0</v>
      </c>
      <c r="AY382" s="365">
        <f t="shared" si="314"/>
        <v>0</v>
      </c>
      <c r="AZ382" s="365">
        <f t="shared" si="315"/>
        <v>0</v>
      </c>
      <c r="BA382" s="365">
        <f t="shared" si="316"/>
        <v>0</v>
      </c>
      <c r="BB382" s="365">
        <f t="shared" si="317"/>
        <v>0</v>
      </c>
      <c r="BC382" s="365">
        <f t="shared" si="318"/>
        <v>0</v>
      </c>
      <c r="BD382" s="363"/>
      <c r="BE382">
        <v>10.365</v>
      </c>
    </row>
    <row r="383" ht="24" spans="1:57">
      <c r="A383" s="284" t="s">
        <v>640</v>
      </c>
      <c r="B383" s="284" t="s">
        <v>199</v>
      </c>
      <c r="C383" s="284" t="s">
        <v>684</v>
      </c>
      <c r="D383" s="284" t="s">
        <v>685</v>
      </c>
      <c r="E383" s="365">
        <f t="shared" si="299"/>
        <v>105.89</v>
      </c>
      <c r="F383" s="365">
        <f t="shared" si="319"/>
        <v>52.33</v>
      </c>
      <c r="G383" s="365">
        <v>38.07</v>
      </c>
      <c r="H383" s="365"/>
      <c r="I383" s="365">
        <v>14.26</v>
      </c>
      <c r="J383" s="365"/>
      <c r="K383" s="365"/>
      <c r="L383" s="365">
        <f t="shared" si="301"/>
        <v>53.56</v>
      </c>
      <c r="M383" s="365">
        <v>8.56</v>
      </c>
      <c r="N383" s="365"/>
      <c r="O383" s="365"/>
      <c r="P383" s="365"/>
      <c r="Q383" s="365"/>
      <c r="R383" s="365"/>
      <c r="S383" s="365">
        <v>45</v>
      </c>
      <c r="T383" s="366">
        <f t="shared" si="270"/>
        <v>-13.18</v>
      </c>
      <c r="U383" s="366">
        <f t="shared" si="294"/>
        <v>6.7259</v>
      </c>
      <c r="V383" s="366">
        <v>6.3357</v>
      </c>
      <c r="W383" s="366"/>
      <c r="X383" s="366">
        <v>0.3902</v>
      </c>
      <c r="Y383" s="366"/>
      <c r="Z383" s="366"/>
      <c r="AA383" s="365">
        <f t="shared" si="302"/>
        <v>-19.9059</v>
      </c>
      <c r="AB383" s="365">
        <v>0.2341</v>
      </c>
      <c r="AC383" s="365"/>
      <c r="AD383" s="365"/>
      <c r="AE383" s="365"/>
      <c r="AF383" s="365"/>
      <c r="AG383" s="365">
        <v>0.3</v>
      </c>
      <c r="AH383" s="365">
        <v>-45</v>
      </c>
      <c r="AI383" s="365">
        <v>13.89</v>
      </c>
      <c r="AJ383" s="365">
        <v>6</v>
      </c>
      <c r="AK383" s="365">
        <v>4.67</v>
      </c>
      <c r="AL383" s="366">
        <f t="shared" si="269"/>
        <v>92.71</v>
      </c>
      <c r="AM383" s="365">
        <f t="shared" si="303"/>
        <v>59.0559</v>
      </c>
      <c r="AN383" s="365">
        <f t="shared" si="304"/>
        <v>44.4057</v>
      </c>
      <c r="AO383" s="365">
        <f t="shared" si="305"/>
        <v>0</v>
      </c>
      <c r="AP383" s="365">
        <f t="shared" si="306"/>
        <v>14.6502</v>
      </c>
      <c r="AQ383" s="365">
        <f t="shared" si="307"/>
        <v>0</v>
      </c>
      <c r="AR383" s="365">
        <f t="shared" si="308"/>
        <v>0</v>
      </c>
      <c r="AS383" s="365">
        <f t="shared" si="295"/>
        <v>33.6541</v>
      </c>
      <c r="AT383" s="365">
        <f t="shared" si="309"/>
        <v>8.7941</v>
      </c>
      <c r="AU383" s="365">
        <f t="shared" si="310"/>
        <v>0</v>
      </c>
      <c r="AV383" s="365">
        <f t="shared" si="311"/>
        <v>0</v>
      </c>
      <c r="AW383" s="365">
        <f t="shared" si="312"/>
        <v>0</v>
      </c>
      <c r="AX383" s="365">
        <f t="shared" si="313"/>
        <v>0</v>
      </c>
      <c r="AY383" s="365">
        <f t="shared" si="314"/>
        <v>0.3</v>
      </c>
      <c r="AZ383" s="365">
        <f t="shared" si="315"/>
        <v>0</v>
      </c>
      <c r="BA383" s="365">
        <f t="shared" si="316"/>
        <v>13.89</v>
      </c>
      <c r="BB383" s="365">
        <f t="shared" si="317"/>
        <v>6</v>
      </c>
      <c r="BC383" s="365">
        <f t="shared" si="318"/>
        <v>4.67</v>
      </c>
      <c r="BD383" s="363" t="s">
        <v>872</v>
      </c>
      <c r="BE383">
        <v>4.67</v>
      </c>
    </row>
    <row r="384" ht="24" spans="1:57">
      <c r="A384" s="284" t="s">
        <v>640</v>
      </c>
      <c r="B384" s="284" t="s">
        <v>199</v>
      </c>
      <c r="C384" s="284" t="s">
        <v>804</v>
      </c>
      <c r="D384" s="284" t="s">
        <v>685</v>
      </c>
      <c r="E384" s="365">
        <f t="shared" si="299"/>
        <v>31.94</v>
      </c>
      <c r="F384" s="365">
        <f t="shared" si="319"/>
        <v>14.3</v>
      </c>
      <c r="G384" s="365">
        <v>9.89</v>
      </c>
      <c r="H384" s="365"/>
      <c r="I384" s="365">
        <v>4.41</v>
      </c>
      <c r="J384" s="365"/>
      <c r="K384" s="365"/>
      <c r="L384" s="365">
        <f t="shared" si="301"/>
        <v>17.64</v>
      </c>
      <c r="M384" s="365">
        <v>2.64</v>
      </c>
      <c r="N384" s="365"/>
      <c r="O384" s="365"/>
      <c r="P384" s="365"/>
      <c r="Q384" s="365"/>
      <c r="R384" s="365"/>
      <c r="S384" s="365">
        <v>15</v>
      </c>
      <c r="T384" s="366">
        <f t="shared" si="270"/>
        <v>-5.1</v>
      </c>
      <c r="U384" s="366">
        <f t="shared" si="294"/>
        <v>1.41</v>
      </c>
      <c r="V384" s="366">
        <v>1.41</v>
      </c>
      <c r="W384" s="366"/>
      <c r="X384" s="366"/>
      <c r="Y384" s="366"/>
      <c r="Z384" s="366"/>
      <c r="AA384" s="365">
        <f t="shared" si="302"/>
        <v>-6.51</v>
      </c>
      <c r="AB384" s="365"/>
      <c r="AC384" s="365"/>
      <c r="AD384" s="365"/>
      <c r="AE384" s="365"/>
      <c r="AF384" s="365"/>
      <c r="AG384" s="365">
        <v>0.3</v>
      </c>
      <c r="AH384" s="365">
        <v>-15</v>
      </c>
      <c r="AI384" s="365">
        <v>4.35</v>
      </c>
      <c r="AJ384" s="365">
        <v>2</v>
      </c>
      <c r="AK384" s="365">
        <v>1.84</v>
      </c>
      <c r="AL384" s="366">
        <f t="shared" si="269"/>
        <v>26.84</v>
      </c>
      <c r="AM384" s="365">
        <f t="shared" si="303"/>
        <v>15.71</v>
      </c>
      <c r="AN384" s="365">
        <f t="shared" si="304"/>
        <v>11.3</v>
      </c>
      <c r="AO384" s="365">
        <f t="shared" si="305"/>
        <v>0</v>
      </c>
      <c r="AP384" s="365">
        <f t="shared" si="306"/>
        <v>4.41</v>
      </c>
      <c r="AQ384" s="365">
        <f t="shared" si="307"/>
        <v>0</v>
      </c>
      <c r="AR384" s="365">
        <f t="shared" si="308"/>
        <v>0</v>
      </c>
      <c r="AS384" s="365">
        <f t="shared" si="295"/>
        <v>11.13</v>
      </c>
      <c r="AT384" s="365">
        <f t="shared" si="309"/>
        <v>2.64</v>
      </c>
      <c r="AU384" s="365">
        <f t="shared" si="310"/>
        <v>0</v>
      </c>
      <c r="AV384" s="365">
        <f t="shared" si="311"/>
        <v>0</v>
      </c>
      <c r="AW384" s="365">
        <f t="shared" si="312"/>
        <v>0</v>
      </c>
      <c r="AX384" s="365">
        <f t="shared" si="313"/>
        <v>0</v>
      </c>
      <c r="AY384" s="365">
        <f t="shared" si="314"/>
        <v>0.3</v>
      </c>
      <c r="AZ384" s="365">
        <f t="shared" si="315"/>
        <v>0</v>
      </c>
      <c r="BA384" s="365">
        <f t="shared" si="316"/>
        <v>4.35</v>
      </c>
      <c r="BB384" s="365">
        <f t="shared" si="317"/>
        <v>2</v>
      </c>
      <c r="BC384" s="365">
        <f t="shared" si="318"/>
        <v>1.84</v>
      </c>
      <c r="BD384" s="363" t="s">
        <v>873</v>
      </c>
      <c r="BE384">
        <v>1.84</v>
      </c>
    </row>
    <row r="385" ht="36" spans="1:57">
      <c r="A385" s="284" t="s">
        <v>640</v>
      </c>
      <c r="B385" s="284" t="s">
        <v>199</v>
      </c>
      <c r="C385" s="284" t="s">
        <v>687</v>
      </c>
      <c r="D385" s="284" t="s">
        <v>685</v>
      </c>
      <c r="E385" s="365">
        <f t="shared" si="299"/>
        <v>254.88</v>
      </c>
      <c r="F385" s="365">
        <f t="shared" si="319"/>
        <v>120.11</v>
      </c>
      <c r="G385" s="365">
        <v>85.5</v>
      </c>
      <c r="H385" s="365"/>
      <c r="I385" s="365">
        <v>34.61</v>
      </c>
      <c r="J385" s="365"/>
      <c r="K385" s="365"/>
      <c r="L385" s="365">
        <f t="shared" si="301"/>
        <v>134.77</v>
      </c>
      <c r="M385" s="365">
        <v>20.77</v>
      </c>
      <c r="N385" s="365"/>
      <c r="O385" s="365"/>
      <c r="P385" s="365"/>
      <c r="Q385" s="365"/>
      <c r="R385" s="365"/>
      <c r="S385" s="365">
        <v>114</v>
      </c>
      <c r="T385" s="366">
        <f t="shared" si="270"/>
        <v>-40.3668</v>
      </c>
      <c r="U385" s="366">
        <f t="shared" si="294"/>
        <v>10.2339</v>
      </c>
      <c r="V385" s="366">
        <v>9.7685</v>
      </c>
      <c r="W385" s="366"/>
      <c r="X385" s="366">
        <v>0.4654</v>
      </c>
      <c r="Y385" s="366"/>
      <c r="Z385" s="366"/>
      <c r="AA385" s="365">
        <f t="shared" si="302"/>
        <v>-50.6007</v>
      </c>
      <c r="AB385" s="365">
        <v>0.2793</v>
      </c>
      <c r="AC385" s="365"/>
      <c r="AD385" s="365"/>
      <c r="AE385" s="365"/>
      <c r="AF385" s="365"/>
      <c r="AG385" s="365">
        <v>0.45</v>
      </c>
      <c r="AH385" s="365">
        <v>-114</v>
      </c>
      <c r="AI385" s="365">
        <v>35.46</v>
      </c>
      <c r="AJ385" s="365">
        <v>14</v>
      </c>
      <c r="AK385" s="365">
        <v>13.21</v>
      </c>
      <c r="AL385" s="366">
        <f t="shared" si="269"/>
        <v>214.5132</v>
      </c>
      <c r="AM385" s="365">
        <f t="shared" si="303"/>
        <v>130.3439</v>
      </c>
      <c r="AN385" s="365">
        <f t="shared" si="304"/>
        <v>95.2685</v>
      </c>
      <c r="AO385" s="365">
        <f t="shared" si="305"/>
        <v>0</v>
      </c>
      <c r="AP385" s="365">
        <f t="shared" si="306"/>
        <v>35.0754</v>
      </c>
      <c r="AQ385" s="365">
        <f t="shared" si="307"/>
        <v>0</v>
      </c>
      <c r="AR385" s="365">
        <f t="shared" si="308"/>
        <v>0</v>
      </c>
      <c r="AS385" s="365">
        <f t="shared" si="295"/>
        <v>84.1693</v>
      </c>
      <c r="AT385" s="365">
        <f t="shared" si="309"/>
        <v>21.0493</v>
      </c>
      <c r="AU385" s="365">
        <f t="shared" si="310"/>
        <v>0</v>
      </c>
      <c r="AV385" s="365">
        <f t="shared" si="311"/>
        <v>0</v>
      </c>
      <c r="AW385" s="365">
        <f t="shared" si="312"/>
        <v>0</v>
      </c>
      <c r="AX385" s="365">
        <f t="shared" si="313"/>
        <v>0</v>
      </c>
      <c r="AY385" s="365">
        <f t="shared" si="314"/>
        <v>0.45</v>
      </c>
      <c r="AZ385" s="365">
        <f t="shared" si="315"/>
        <v>0</v>
      </c>
      <c r="BA385" s="365">
        <f t="shared" si="316"/>
        <v>35.46</v>
      </c>
      <c r="BB385" s="365">
        <f t="shared" si="317"/>
        <v>14</v>
      </c>
      <c r="BC385" s="365">
        <f t="shared" si="318"/>
        <v>13.21</v>
      </c>
      <c r="BD385" s="363" t="s">
        <v>874</v>
      </c>
      <c r="BE385">
        <v>13.21</v>
      </c>
    </row>
    <row r="386" ht="24" spans="1:57">
      <c r="A386" s="284" t="s">
        <v>640</v>
      </c>
      <c r="B386" s="284" t="s">
        <v>199</v>
      </c>
      <c r="C386" s="284" t="s">
        <v>688</v>
      </c>
      <c r="D386" s="284" t="s">
        <v>685</v>
      </c>
      <c r="E386" s="365">
        <f t="shared" si="299"/>
        <v>116.11</v>
      </c>
      <c r="F386" s="365">
        <f t="shared" si="319"/>
        <v>52.97</v>
      </c>
      <c r="G386" s="365">
        <v>37.74</v>
      </c>
      <c r="H386" s="365"/>
      <c r="I386" s="365">
        <v>15.23</v>
      </c>
      <c r="J386" s="365"/>
      <c r="K386" s="365"/>
      <c r="L386" s="365">
        <f t="shared" si="301"/>
        <v>63.14</v>
      </c>
      <c r="M386" s="365">
        <v>9.14</v>
      </c>
      <c r="N386" s="365"/>
      <c r="O386" s="365"/>
      <c r="P386" s="365"/>
      <c r="Q386" s="365"/>
      <c r="R386" s="365"/>
      <c r="S386" s="365">
        <v>54</v>
      </c>
      <c r="T386" s="366">
        <f t="shared" si="270"/>
        <v>-25.475</v>
      </c>
      <c r="U386" s="366">
        <f t="shared" si="294"/>
        <v>0.0409999999999999</v>
      </c>
      <c r="V386" s="366">
        <v>1.351</v>
      </c>
      <c r="W386" s="366"/>
      <c r="X386" s="366">
        <v>-1.31</v>
      </c>
      <c r="Y386" s="366"/>
      <c r="Z386" s="366"/>
      <c r="AA386" s="365">
        <f t="shared" si="302"/>
        <v>-25.516</v>
      </c>
      <c r="AB386" s="365">
        <v>-0.786</v>
      </c>
      <c r="AC386" s="365"/>
      <c r="AD386" s="365"/>
      <c r="AE386" s="365"/>
      <c r="AF386" s="365"/>
      <c r="AG386" s="365">
        <v>0.15</v>
      </c>
      <c r="AH386" s="365">
        <v>-54</v>
      </c>
      <c r="AI386" s="365">
        <v>14.43</v>
      </c>
      <c r="AJ386" s="365">
        <v>9</v>
      </c>
      <c r="AK386" s="365">
        <v>5.69</v>
      </c>
      <c r="AL386" s="366">
        <f t="shared" si="269"/>
        <v>90.635</v>
      </c>
      <c r="AM386" s="365">
        <f t="shared" si="303"/>
        <v>53.011</v>
      </c>
      <c r="AN386" s="365">
        <f t="shared" si="304"/>
        <v>39.091</v>
      </c>
      <c r="AO386" s="365">
        <f t="shared" si="305"/>
        <v>0</v>
      </c>
      <c r="AP386" s="365">
        <f t="shared" si="306"/>
        <v>13.92</v>
      </c>
      <c r="AQ386" s="365">
        <f t="shared" si="307"/>
        <v>0</v>
      </c>
      <c r="AR386" s="365">
        <f t="shared" si="308"/>
        <v>0</v>
      </c>
      <c r="AS386" s="365">
        <f t="shared" si="295"/>
        <v>37.624</v>
      </c>
      <c r="AT386" s="365">
        <f t="shared" si="309"/>
        <v>8.354</v>
      </c>
      <c r="AU386" s="365">
        <f t="shared" si="310"/>
        <v>0</v>
      </c>
      <c r="AV386" s="365">
        <f t="shared" si="311"/>
        <v>0</v>
      </c>
      <c r="AW386" s="365">
        <f t="shared" si="312"/>
        <v>0</v>
      </c>
      <c r="AX386" s="365">
        <f t="shared" si="313"/>
        <v>0</v>
      </c>
      <c r="AY386" s="365">
        <f t="shared" si="314"/>
        <v>0.15</v>
      </c>
      <c r="AZ386" s="365">
        <f t="shared" si="315"/>
        <v>0</v>
      </c>
      <c r="BA386" s="365">
        <f t="shared" si="316"/>
        <v>14.43</v>
      </c>
      <c r="BB386" s="365">
        <f t="shared" si="317"/>
        <v>9</v>
      </c>
      <c r="BC386" s="365">
        <f t="shared" si="318"/>
        <v>5.69</v>
      </c>
      <c r="BD386" s="363" t="s">
        <v>875</v>
      </c>
      <c r="BE386">
        <v>5.69</v>
      </c>
    </row>
    <row r="387" ht="24" spans="1:57">
      <c r="A387" s="284" t="s">
        <v>640</v>
      </c>
      <c r="B387" s="284" t="s">
        <v>199</v>
      </c>
      <c r="C387" s="284" t="s">
        <v>689</v>
      </c>
      <c r="D387" s="284" t="s">
        <v>685</v>
      </c>
      <c r="E387" s="365">
        <f t="shared" si="299"/>
        <v>68.4</v>
      </c>
      <c r="F387" s="365">
        <f t="shared" si="319"/>
        <v>28.09</v>
      </c>
      <c r="G387" s="365">
        <v>19.24</v>
      </c>
      <c r="H387" s="365"/>
      <c r="I387" s="365">
        <v>8.85</v>
      </c>
      <c r="J387" s="365"/>
      <c r="K387" s="365"/>
      <c r="L387" s="365">
        <f t="shared" si="301"/>
        <v>40.31</v>
      </c>
      <c r="M387" s="365">
        <v>5.31</v>
      </c>
      <c r="N387" s="365"/>
      <c r="O387" s="365"/>
      <c r="P387" s="365"/>
      <c r="Q387" s="365"/>
      <c r="R387" s="365"/>
      <c r="S387" s="365">
        <v>35</v>
      </c>
      <c r="T387" s="366">
        <f t="shared" si="270"/>
        <v>-13.1505</v>
      </c>
      <c r="U387" s="366">
        <f t="shared" si="294"/>
        <v>3.2261</v>
      </c>
      <c r="V387" s="366">
        <v>2.9529</v>
      </c>
      <c r="W387" s="366"/>
      <c r="X387" s="366">
        <v>0.2732</v>
      </c>
      <c r="Y387" s="366"/>
      <c r="Z387" s="366"/>
      <c r="AA387" s="365">
        <f t="shared" si="302"/>
        <v>-16.3766</v>
      </c>
      <c r="AB387" s="365">
        <v>0.1634</v>
      </c>
      <c r="AC387" s="365"/>
      <c r="AD387" s="365"/>
      <c r="AE387" s="365"/>
      <c r="AF387" s="365"/>
      <c r="AG387" s="365">
        <v>0.3</v>
      </c>
      <c r="AH387" s="365">
        <v>-35</v>
      </c>
      <c r="AI387" s="365">
        <v>9.66</v>
      </c>
      <c r="AJ387" s="365">
        <v>5</v>
      </c>
      <c r="AK387" s="365">
        <v>3.5</v>
      </c>
      <c r="AL387" s="366">
        <f t="shared" si="269"/>
        <v>55.2495</v>
      </c>
      <c r="AM387" s="365">
        <f t="shared" si="303"/>
        <v>31.3161</v>
      </c>
      <c r="AN387" s="365">
        <f t="shared" si="304"/>
        <v>22.1929</v>
      </c>
      <c r="AO387" s="365">
        <f t="shared" si="305"/>
        <v>0</v>
      </c>
      <c r="AP387" s="365">
        <f t="shared" si="306"/>
        <v>9.1232</v>
      </c>
      <c r="AQ387" s="365">
        <f t="shared" si="307"/>
        <v>0</v>
      </c>
      <c r="AR387" s="365">
        <f t="shared" si="308"/>
        <v>0</v>
      </c>
      <c r="AS387" s="365">
        <f t="shared" si="295"/>
        <v>23.9334</v>
      </c>
      <c r="AT387" s="365">
        <f t="shared" si="309"/>
        <v>5.4734</v>
      </c>
      <c r="AU387" s="365">
        <f t="shared" si="310"/>
        <v>0</v>
      </c>
      <c r="AV387" s="365">
        <f t="shared" si="311"/>
        <v>0</v>
      </c>
      <c r="AW387" s="365">
        <f t="shared" si="312"/>
        <v>0</v>
      </c>
      <c r="AX387" s="365">
        <f t="shared" si="313"/>
        <v>0</v>
      </c>
      <c r="AY387" s="365">
        <f t="shared" si="314"/>
        <v>0.3</v>
      </c>
      <c r="AZ387" s="365">
        <f t="shared" si="315"/>
        <v>0</v>
      </c>
      <c r="BA387" s="365">
        <f t="shared" si="316"/>
        <v>9.66</v>
      </c>
      <c r="BB387" s="365">
        <f t="shared" si="317"/>
        <v>5</v>
      </c>
      <c r="BC387" s="365">
        <f t="shared" si="318"/>
        <v>3.5</v>
      </c>
      <c r="BD387" s="363" t="s">
        <v>876</v>
      </c>
      <c r="BE387">
        <v>3.5</v>
      </c>
    </row>
    <row r="388" ht="36" spans="1:57">
      <c r="A388" s="284" t="s">
        <v>640</v>
      </c>
      <c r="B388" s="284" t="s">
        <v>518</v>
      </c>
      <c r="C388" s="284" t="s">
        <v>690</v>
      </c>
      <c r="D388" s="284" t="s">
        <v>691</v>
      </c>
      <c r="E388" s="365">
        <f t="shared" si="299"/>
        <v>55.89</v>
      </c>
      <c r="F388" s="365">
        <f t="shared" si="319"/>
        <v>26.78</v>
      </c>
      <c r="G388" s="365">
        <v>19.92</v>
      </c>
      <c r="H388" s="365"/>
      <c r="I388" s="365">
        <v>6.86</v>
      </c>
      <c r="J388" s="365"/>
      <c r="K388" s="365"/>
      <c r="L388" s="365">
        <f t="shared" si="301"/>
        <v>29.11</v>
      </c>
      <c r="M388" s="365">
        <v>4.11</v>
      </c>
      <c r="N388" s="365"/>
      <c r="O388" s="365"/>
      <c r="P388" s="365"/>
      <c r="Q388" s="365"/>
      <c r="R388" s="365"/>
      <c r="S388" s="365">
        <v>25</v>
      </c>
      <c r="T388" s="366">
        <f t="shared" si="270"/>
        <v>-6.1175</v>
      </c>
      <c r="U388" s="366">
        <f t="shared" si="294"/>
        <v>2.4225</v>
      </c>
      <c r="V388" s="366">
        <v>2.4225</v>
      </c>
      <c r="W388" s="366"/>
      <c r="X388" s="366"/>
      <c r="Y388" s="366"/>
      <c r="Z388" s="366"/>
      <c r="AA388" s="365">
        <f t="shared" si="302"/>
        <v>-8.54</v>
      </c>
      <c r="AB388" s="365"/>
      <c r="AC388" s="365"/>
      <c r="AD388" s="365"/>
      <c r="AE388" s="365"/>
      <c r="AF388" s="365"/>
      <c r="AG388" s="365"/>
      <c r="AH388" s="365">
        <v>-25</v>
      </c>
      <c r="AI388" s="365">
        <v>6.9</v>
      </c>
      <c r="AJ388" s="365">
        <v>4</v>
      </c>
      <c r="AK388" s="365">
        <v>5.56</v>
      </c>
      <c r="AL388" s="366">
        <f t="shared" si="269"/>
        <v>49.7725</v>
      </c>
      <c r="AM388" s="365">
        <f t="shared" si="303"/>
        <v>29.2025</v>
      </c>
      <c r="AN388" s="365">
        <f t="shared" si="304"/>
        <v>22.3425</v>
      </c>
      <c r="AO388" s="365">
        <f t="shared" si="305"/>
        <v>0</v>
      </c>
      <c r="AP388" s="365">
        <f t="shared" si="306"/>
        <v>6.86</v>
      </c>
      <c r="AQ388" s="365">
        <f t="shared" si="307"/>
        <v>0</v>
      </c>
      <c r="AR388" s="365">
        <f t="shared" si="308"/>
        <v>0</v>
      </c>
      <c r="AS388" s="365">
        <f t="shared" si="295"/>
        <v>20.57</v>
      </c>
      <c r="AT388" s="365">
        <f t="shared" si="309"/>
        <v>4.11</v>
      </c>
      <c r="AU388" s="365">
        <f t="shared" si="310"/>
        <v>0</v>
      </c>
      <c r="AV388" s="365">
        <f t="shared" si="311"/>
        <v>0</v>
      </c>
      <c r="AW388" s="365">
        <f t="shared" si="312"/>
        <v>0</v>
      </c>
      <c r="AX388" s="365">
        <f t="shared" si="313"/>
        <v>0</v>
      </c>
      <c r="AY388" s="365">
        <f t="shared" si="314"/>
        <v>0</v>
      </c>
      <c r="AZ388" s="365">
        <f t="shared" si="315"/>
        <v>0</v>
      </c>
      <c r="BA388" s="365">
        <f t="shared" si="316"/>
        <v>6.9</v>
      </c>
      <c r="BB388" s="365">
        <f t="shared" si="317"/>
        <v>4</v>
      </c>
      <c r="BC388" s="365">
        <f t="shared" si="318"/>
        <v>5.56</v>
      </c>
      <c r="BD388" s="363"/>
      <c r="BE388">
        <v>5.56</v>
      </c>
    </row>
    <row r="389" ht="48" spans="1:57">
      <c r="A389" s="284" t="s">
        <v>640</v>
      </c>
      <c r="B389" s="284" t="s">
        <v>518</v>
      </c>
      <c r="C389" s="284" t="s">
        <v>692</v>
      </c>
      <c r="D389" s="284" t="s">
        <v>691</v>
      </c>
      <c r="E389" s="365">
        <f t="shared" si="299"/>
        <v>16.07</v>
      </c>
      <c r="F389" s="365">
        <f t="shared" si="319"/>
        <v>0</v>
      </c>
      <c r="G389" s="365"/>
      <c r="H389" s="365"/>
      <c r="I389" s="365"/>
      <c r="J389" s="365"/>
      <c r="K389" s="365"/>
      <c r="L389" s="365">
        <f t="shared" si="301"/>
        <v>16.07</v>
      </c>
      <c r="M389" s="365"/>
      <c r="N389" s="365"/>
      <c r="O389" s="365">
        <v>16.07</v>
      </c>
      <c r="P389" s="365"/>
      <c r="Q389" s="365"/>
      <c r="R389" s="365"/>
      <c r="S389" s="365"/>
      <c r="T389" s="366">
        <f t="shared" si="270"/>
        <v>8.01</v>
      </c>
      <c r="U389" s="366">
        <f t="shared" si="294"/>
        <v>0</v>
      </c>
      <c r="V389" s="366"/>
      <c r="W389" s="366"/>
      <c r="X389" s="366"/>
      <c r="Y389" s="366"/>
      <c r="Z389" s="366"/>
      <c r="AA389" s="365">
        <f t="shared" si="302"/>
        <v>8.01</v>
      </c>
      <c r="AB389" s="365"/>
      <c r="AC389" s="365"/>
      <c r="AD389" s="365">
        <v>1.06</v>
      </c>
      <c r="AE389" s="365"/>
      <c r="AF389" s="365"/>
      <c r="AG389" s="365"/>
      <c r="AH389" s="365">
        <v>0</v>
      </c>
      <c r="AI389" s="365">
        <v>3.05</v>
      </c>
      <c r="AJ389" s="365">
        <v>3</v>
      </c>
      <c r="AK389" s="365">
        <v>0.9</v>
      </c>
      <c r="AL389" s="366">
        <f t="shared" si="269"/>
        <v>24.08</v>
      </c>
      <c r="AM389" s="365">
        <f t="shared" si="303"/>
        <v>0</v>
      </c>
      <c r="AN389" s="365">
        <f t="shared" si="304"/>
        <v>0</v>
      </c>
      <c r="AO389" s="365">
        <f t="shared" si="305"/>
        <v>0</v>
      </c>
      <c r="AP389" s="365">
        <f t="shared" si="306"/>
        <v>0</v>
      </c>
      <c r="AQ389" s="365">
        <f t="shared" si="307"/>
        <v>0</v>
      </c>
      <c r="AR389" s="365">
        <f t="shared" si="308"/>
        <v>0</v>
      </c>
      <c r="AS389" s="365">
        <f t="shared" si="295"/>
        <v>24.08</v>
      </c>
      <c r="AT389" s="365">
        <f t="shared" si="309"/>
        <v>0</v>
      </c>
      <c r="AU389" s="365">
        <f t="shared" si="310"/>
        <v>0</v>
      </c>
      <c r="AV389" s="365">
        <f t="shared" si="311"/>
        <v>17.13</v>
      </c>
      <c r="AW389" s="365">
        <f t="shared" si="312"/>
        <v>0</v>
      </c>
      <c r="AX389" s="365">
        <f t="shared" si="313"/>
        <v>0</v>
      </c>
      <c r="AY389" s="365">
        <f t="shared" si="314"/>
        <v>0</v>
      </c>
      <c r="AZ389" s="365">
        <f t="shared" si="315"/>
        <v>0</v>
      </c>
      <c r="BA389" s="365">
        <f t="shared" si="316"/>
        <v>3.05</v>
      </c>
      <c r="BB389" s="365">
        <f t="shared" si="317"/>
        <v>3</v>
      </c>
      <c r="BC389" s="365">
        <f t="shared" si="318"/>
        <v>0.9</v>
      </c>
      <c r="BD389" s="363" t="s">
        <v>877</v>
      </c>
      <c r="BE389">
        <v>0.9</v>
      </c>
    </row>
    <row r="390" s="311" customFormat="1" ht="21" customHeight="1" spans="1:57">
      <c r="A390" s="328"/>
      <c r="B390" s="329" t="s">
        <v>753</v>
      </c>
      <c r="C390" s="329" t="s">
        <v>142</v>
      </c>
      <c r="D390" s="329">
        <v>214</v>
      </c>
      <c r="E390" s="364">
        <f t="shared" ref="E390:S390" si="320">SUM(E391:E398)</f>
        <v>608.75</v>
      </c>
      <c r="F390" s="364">
        <f t="shared" si="320"/>
        <v>272.55</v>
      </c>
      <c r="G390" s="364">
        <f t="shared" si="320"/>
        <v>196.17</v>
      </c>
      <c r="H390" s="364">
        <f t="shared" si="320"/>
        <v>22.12</v>
      </c>
      <c r="I390" s="364">
        <f t="shared" si="320"/>
        <v>54.26</v>
      </c>
      <c r="J390" s="364">
        <f t="shared" si="320"/>
        <v>0</v>
      </c>
      <c r="K390" s="364">
        <f t="shared" si="320"/>
        <v>0</v>
      </c>
      <c r="L390" s="364">
        <f t="shared" si="320"/>
        <v>336.2</v>
      </c>
      <c r="M390" s="364">
        <f t="shared" si="320"/>
        <v>45.49</v>
      </c>
      <c r="N390" s="364">
        <f t="shared" si="320"/>
        <v>0</v>
      </c>
      <c r="O390" s="364">
        <f t="shared" si="320"/>
        <v>0</v>
      </c>
      <c r="P390" s="364">
        <f t="shared" si="320"/>
        <v>29.71</v>
      </c>
      <c r="Q390" s="364">
        <f t="shared" si="320"/>
        <v>0</v>
      </c>
      <c r="R390" s="364">
        <f t="shared" si="320"/>
        <v>0</v>
      </c>
      <c r="S390" s="364">
        <f t="shared" si="320"/>
        <v>261</v>
      </c>
      <c r="T390" s="364">
        <f t="shared" si="270"/>
        <v>-109.9682</v>
      </c>
      <c r="U390" s="364">
        <f t="shared" ref="U390:AK390" si="321">SUM(U391:U398)</f>
        <v>17.74</v>
      </c>
      <c r="V390" s="364">
        <f t="shared" si="321"/>
        <v>17.74</v>
      </c>
      <c r="W390" s="364">
        <f t="shared" si="321"/>
        <v>0</v>
      </c>
      <c r="X390" s="364">
        <f t="shared" si="321"/>
        <v>0</v>
      </c>
      <c r="Y390" s="364">
        <f t="shared" si="321"/>
        <v>0</v>
      </c>
      <c r="Z390" s="364">
        <f t="shared" si="321"/>
        <v>0</v>
      </c>
      <c r="AA390" s="364">
        <f t="shared" si="321"/>
        <v>-127.7082</v>
      </c>
      <c r="AB390" s="364">
        <f t="shared" si="321"/>
        <v>0.48</v>
      </c>
      <c r="AC390" s="364">
        <f t="shared" si="321"/>
        <v>0</v>
      </c>
      <c r="AD390" s="364">
        <f t="shared" si="321"/>
        <v>0</v>
      </c>
      <c r="AE390" s="364">
        <f t="shared" si="321"/>
        <v>0</v>
      </c>
      <c r="AF390" s="364">
        <f t="shared" si="321"/>
        <v>0</v>
      </c>
      <c r="AG390" s="364">
        <f t="shared" si="321"/>
        <v>1.2</v>
      </c>
      <c r="AH390" s="364">
        <f t="shared" si="321"/>
        <v>-261</v>
      </c>
      <c r="AI390" s="364">
        <f t="shared" si="321"/>
        <v>63.09</v>
      </c>
      <c r="AJ390" s="364">
        <f t="shared" si="321"/>
        <v>41</v>
      </c>
      <c r="AK390" s="364">
        <f t="shared" si="321"/>
        <v>27.5218</v>
      </c>
      <c r="AL390" s="364">
        <f t="shared" si="269"/>
        <v>498.7818</v>
      </c>
      <c r="AM390" s="364">
        <f t="shared" ref="AM390:BC390" si="322">SUM(AM391:AM398)</f>
        <v>290.29</v>
      </c>
      <c r="AN390" s="364">
        <f t="shared" si="322"/>
        <v>213.91</v>
      </c>
      <c r="AO390" s="364">
        <f t="shared" si="322"/>
        <v>22.12</v>
      </c>
      <c r="AP390" s="364">
        <f t="shared" si="322"/>
        <v>54.26</v>
      </c>
      <c r="AQ390" s="364">
        <f t="shared" si="322"/>
        <v>0</v>
      </c>
      <c r="AR390" s="364">
        <f t="shared" si="322"/>
        <v>0</v>
      </c>
      <c r="AS390" s="364">
        <f t="shared" si="322"/>
        <v>208.4918</v>
      </c>
      <c r="AT390" s="364">
        <f t="shared" si="322"/>
        <v>45.97</v>
      </c>
      <c r="AU390" s="364">
        <f t="shared" si="322"/>
        <v>0</v>
      </c>
      <c r="AV390" s="364">
        <f t="shared" si="322"/>
        <v>0</v>
      </c>
      <c r="AW390" s="364">
        <f t="shared" si="322"/>
        <v>29.71</v>
      </c>
      <c r="AX390" s="364">
        <f t="shared" si="322"/>
        <v>0</v>
      </c>
      <c r="AY390" s="364">
        <f t="shared" si="322"/>
        <v>1.2</v>
      </c>
      <c r="AZ390" s="364">
        <f t="shared" si="322"/>
        <v>0</v>
      </c>
      <c r="BA390" s="364">
        <f t="shared" si="322"/>
        <v>63.09</v>
      </c>
      <c r="BB390" s="364">
        <f t="shared" si="322"/>
        <v>41</v>
      </c>
      <c r="BC390" s="364">
        <f t="shared" si="322"/>
        <v>27.5218</v>
      </c>
      <c r="BD390" s="372"/>
      <c r="BE390" s="373"/>
    </row>
    <row r="391" ht="24" spans="1:57">
      <c r="A391" s="284" t="s">
        <v>290</v>
      </c>
      <c r="B391" s="284" t="s">
        <v>196</v>
      </c>
      <c r="C391" s="284" t="s">
        <v>693</v>
      </c>
      <c r="D391" s="284" t="s">
        <v>694</v>
      </c>
      <c r="E391" s="365">
        <f t="shared" ref="E391:E398" si="323">F391+L391</f>
        <v>0</v>
      </c>
      <c r="F391" s="365">
        <f t="shared" ref="F391:F398" si="324">SUM(G391:K391)</f>
        <v>0</v>
      </c>
      <c r="G391" s="365"/>
      <c r="H391" s="365"/>
      <c r="I391" s="365"/>
      <c r="J391" s="365"/>
      <c r="K391" s="365"/>
      <c r="L391" s="365">
        <f t="shared" ref="L391:L398" si="325">SUM(M391:S391)</f>
        <v>0</v>
      </c>
      <c r="M391" s="365"/>
      <c r="N391" s="365"/>
      <c r="O391" s="365"/>
      <c r="P391" s="365"/>
      <c r="Q391" s="365"/>
      <c r="R391" s="365"/>
      <c r="S391" s="365"/>
      <c r="T391" s="366">
        <f t="shared" si="270"/>
        <v>0</v>
      </c>
      <c r="U391" s="366">
        <f t="shared" ref="U391:U398" si="326">SUM(V391:Z391)</f>
        <v>0</v>
      </c>
      <c r="V391" s="366"/>
      <c r="W391" s="366"/>
      <c r="X391" s="366"/>
      <c r="Y391" s="366"/>
      <c r="Z391" s="366"/>
      <c r="AA391" s="365">
        <f t="shared" ref="AA391:AA398" si="327">SUM(AB391:AK391)</f>
        <v>0</v>
      </c>
      <c r="AB391" s="365"/>
      <c r="AC391" s="365"/>
      <c r="AD391" s="365"/>
      <c r="AE391" s="365"/>
      <c r="AF391" s="365"/>
      <c r="AG391" s="365"/>
      <c r="AH391" s="365">
        <v>0</v>
      </c>
      <c r="AI391" s="365"/>
      <c r="AJ391" s="365"/>
      <c r="AK391" s="365"/>
      <c r="AL391" s="366">
        <f t="shared" ref="AL391:AL424" si="328">AM391+AS391</f>
        <v>0</v>
      </c>
      <c r="AM391" s="365">
        <f t="shared" ref="AM391:AM398" si="329">SUM(AN391:AR391)</f>
        <v>0</v>
      </c>
      <c r="AN391" s="365">
        <f t="shared" ref="AN391:AN398" si="330">G391+V391</f>
        <v>0</v>
      </c>
      <c r="AO391" s="365">
        <f t="shared" ref="AO391:AO398" si="331">H391+W391</f>
        <v>0</v>
      </c>
      <c r="AP391" s="365">
        <f t="shared" ref="AP391:AP398" si="332">I391+X391</f>
        <v>0</v>
      </c>
      <c r="AQ391" s="365">
        <f t="shared" ref="AQ391:AQ398" si="333">J391+Y391</f>
        <v>0</v>
      </c>
      <c r="AR391" s="365">
        <f t="shared" ref="AR391:AR398" si="334">K391+Z391</f>
        <v>0</v>
      </c>
      <c r="AS391" s="365">
        <f t="shared" ref="AS391:AS398" si="335">SUM(AT391:BC391)</f>
        <v>0</v>
      </c>
      <c r="AT391" s="365">
        <f t="shared" ref="AT391:AT398" si="336">M391+AB391</f>
        <v>0</v>
      </c>
      <c r="AU391" s="365">
        <f t="shared" ref="AU391:AU398" si="337">N391+AC391</f>
        <v>0</v>
      </c>
      <c r="AV391" s="365">
        <f t="shared" ref="AV391:AV398" si="338">O391+AD391</f>
        <v>0</v>
      </c>
      <c r="AW391" s="365">
        <f t="shared" ref="AW391:AW398" si="339">P391+AE391</f>
        <v>0</v>
      </c>
      <c r="AX391" s="365">
        <f t="shared" ref="AX391:AX398" si="340">Q391+AF391</f>
        <v>0</v>
      </c>
      <c r="AY391" s="365">
        <f t="shared" ref="AY391:AY398" si="341">R391+AG391</f>
        <v>0</v>
      </c>
      <c r="AZ391" s="365">
        <f t="shared" ref="AZ391:AZ398" si="342">S391+AH391</f>
        <v>0</v>
      </c>
      <c r="BA391" s="365">
        <f t="shared" ref="BA391:BA398" si="343">AI391</f>
        <v>0</v>
      </c>
      <c r="BB391" s="365">
        <f t="shared" ref="BB391:BB398" si="344">AJ391</f>
        <v>0</v>
      </c>
      <c r="BC391" s="365">
        <f t="shared" ref="BC391:BC398" si="345">AK391</f>
        <v>0</v>
      </c>
      <c r="BD391" s="363"/>
      <c r="BE391">
        <v>15.2548</v>
      </c>
    </row>
    <row r="392" ht="24" spans="1:57">
      <c r="A392" s="284" t="s">
        <v>290</v>
      </c>
      <c r="B392" s="284" t="s">
        <v>196</v>
      </c>
      <c r="C392" s="284" t="s">
        <v>695</v>
      </c>
      <c r="D392" s="284" t="s">
        <v>694</v>
      </c>
      <c r="E392" s="365">
        <f t="shared" si="323"/>
        <v>0</v>
      </c>
      <c r="F392" s="365">
        <f t="shared" si="324"/>
        <v>0</v>
      </c>
      <c r="G392" s="365"/>
      <c r="H392" s="365"/>
      <c r="I392" s="365"/>
      <c r="J392" s="365"/>
      <c r="K392" s="365"/>
      <c r="L392" s="365">
        <f t="shared" si="325"/>
        <v>0</v>
      </c>
      <c r="M392" s="365"/>
      <c r="N392" s="365"/>
      <c r="O392" s="365"/>
      <c r="P392" s="365"/>
      <c r="Q392" s="365"/>
      <c r="R392" s="365"/>
      <c r="S392" s="365"/>
      <c r="T392" s="366">
        <f t="shared" ref="T392:T424" si="346">U392+AA392</f>
        <v>0</v>
      </c>
      <c r="U392" s="366">
        <f t="shared" si="326"/>
        <v>0</v>
      </c>
      <c r="V392" s="366"/>
      <c r="W392" s="366"/>
      <c r="X392" s="366"/>
      <c r="Y392" s="366"/>
      <c r="Z392" s="366"/>
      <c r="AA392" s="365">
        <f t="shared" si="327"/>
        <v>0</v>
      </c>
      <c r="AB392" s="365"/>
      <c r="AC392" s="365"/>
      <c r="AD392" s="365"/>
      <c r="AE392" s="365"/>
      <c r="AF392" s="365"/>
      <c r="AG392" s="365"/>
      <c r="AH392" s="365">
        <v>0</v>
      </c>
      <c r="AI392" s="365"/>
      <c r="AJ392" s="365"/>
      <c r="AK392" s="365"/>
      <c r="AL392" s="366">
        <f t="shared" si="328"/>
        <v>0</v>
      </c>
      <c r="AM392" s="365">
        <f t="shared" si="329"/>
        <v>0</v>
      </c>
      <c r="AN392" s="365">
        <f t="shared" si="330"/>
        <v>0</v>
      </c>
      <c r="AO392" s="365">
        <f t="shared" si="331"/>
        <v>0</v>
      </c>
      <c r="AP392" s="365">
        <f t="shared" si="332"/>
        <v>0</v>
      </c>
      <c r="AQ392" s="365">
        <f t="shared" si="333"/>
        <v>0</v>
      </c>
      <c r="AR392" s="365">
        <f t="shared" si="334"/>
        <v>0</v>
      </c>
      <c r="AS392" s="365">
        <f t="shared" si="335"/>
        <v>0</v>
      </c>
      <c r="AT392" s="365">
        <f t="shared" si="336"/>
        <v>0</v>
      </c>
      <c r="AU392" s="365">
        <f t="shared" si="337"/>
        <v>0</v>
      </c>
      <c r="AV392" s="365">
        <f t="shared" si="338"/>
        <v>0</v>
      </c>
      <c r="AW392" s="365">
        <f t="shared" si="339"/>
        <v>0</v>
      </c>
      <c r="AX392" s="365">
        <f t="shared" si="340"/>
        <v>0</v>
      </c>
      <c r="AY392" s="365">
        <f t="shared" si="341"/>
        <v>0</v>
      </c>
      <c r="AZ392" s="365">
        <f t="shared" si="342"/>
        <v>0</v>
      </c>
      <c r="BA392" s="365">
        <f t="shared" si="343"/>
        <v>0</v>
      </c>
      <c r="BB392" s="365">
        <f t="shared" si="344"/>
        <v>0</v>
      </c>
      <c r="BC392" s="365">
        <f t="shared" si="345"/>
        <v>0</v>
      </c>
      <c r="BD392" s="363"/>
      <c r="BE392">
        <v>5.8524</v>
      </c>
    </row>
    <row r="393" ht="36" spans="1:57">
      <c r="A393" s="284" t="s">
        <v>290</v>
      </c>
      <c r="B393" s="284" t="s">
        <v>199</v>
      </c>
      <c r="C393" s="284" t="s">
        <v>696</v>
      </c>
      <c r="D393" s="284" t="s">
        <v>697</v>
      </c>
      <c r="E393" s="365">
        <f t="shared" si="323"/>
        <v>171.73</v>
      </c>
      <c r="F393" s="365">
        <f t="shared" si="324"/>
        <v>83.76</v>
      </c>
      <c r="G393" s="365">
        <v>60.48</v>
      </c>
      <c r="H393" s="365"/>
      <c r="I393" s="365">
        <v>23.28</v>
      </c>
      <c r="J393" s="365"/>
      <c r="K393" s="365"/>
      <c r="L393" s="365">
        <f t="shared" si="325"/>
        <v>87.97</v>
      </c>
      <c r="M393" s="365">
        <v>13.97</v>
      </c>
      <c r="N393" s="365"/>
      <c r="O393" s="365"/>
      <c r="P393" s="365"/>
      <c r="Q393" s="365"/>
      <c r="R393" s="365"/>
      <c r="S393" s="365">
        <v>74</v>
      </c>
      <c r="T393" s="366">
        <f t="shared" si="346"/>
        <v>-18.2049</v>
      </c>
      <c r="U393" s="366">
        <f t="shared" si="326"/>
        <v>11.73</v>
      </c>
      <c r="V393" s="366">
        <v>11.73</v>
      </c>
      <c r="W393" s="366"/>
      <c r="X393" s="366"/>
      <c r="Y393" s="366"/>
      <c r="Z393" s="366"/>
      <c r="AA393" s="365">
        <f t="shared" si="327"/>
        <v>-29.9349</v>
      </c>
      <c r="AB393" s="365">
        <v>1.38</v>
      </c>
      <c r="AC393" s="365"/>
      <c r="AD393" s="365"/>
      <c r="AE393" s="365"/>
      <c r="AF393" s="365"/>
      <c r="AG393" s="365">
        <v>0.15</v>
      </c>
      <c r="AH393" s="365">
        <v>-74</v>
      </c>
      <c r="AI393" s="365">
        <v>21.54</v>
      </c>
      <c r="AJ393" s="365">
        <v>12</v>
      </c>
      <c r="AK393" s="365">
        <v>8.9951</v>
      </c>
      <c r="AL393" s="366">
        <f t="shared" si="328"/>
        <v>153.5251</v>
      </c>
      <c r="AM393" s="365">
        <f t="shared" si="329"/>
        <v>95.49</v>
      </c>
      <c r="AN393" s="365">
        <f t="shared" si="330"/>
        <v>72.21</v>
      </c>
      <c r="AO393" s="365">
        <f t="shared" si="331"/>
        <v>0</v>
      </c>
      <c r="AP393" s="365">
        <f t="shared" si="332"/>
        <v>23.28</v>
      </c>
      <c r="AQ393" s="365">
        <f t="shared" si="333"/>
        <v>0</v>
      </c>
      <c r="AR393" s="365">
        <f t="shared" si="334"/>
        <v>0</v>
      </c>
      <c r="AS393" s="365">
        <f t="shared" si="335"/>
        <v>58.0351</v>
      </c>
      <c r="AT393" s="365">
        <f t="shared" si="336"/>
        <v>15.35</v>
      </c>
      <c r="AU393" s="365">
        <f t="shared" si="337"/>
        <v>0</v>
      </c>
      <c r="AV393" s="365">
        <f t="shared" si="338"/>
        <v>0</v>
      </c>
      <c r="AW393" s="365">
        <f t="shared" si="339"/>
        <v>0</v>
      </c>
      <c r="AX393" s="365">
        <f t="shared" si="340"/>
        <v>0</v>
      </c>
      <c r="AY393" s="365">
        <f t="shared" si="341"/>
        <v>0.15</v>
      </c>
      <c r="AZ393" s="365">
        <f t="shared" si="342"/>
        <v>0</v>
      </c>
      <c r="BA393" s="365">
        <f t="shared" si="343"/>
        <v>21.54</v>
      </c>
      <c r="BB393" s="365">
        <f t="shared" si="344"/>
        <v>12</v>
      </c>
      <c r="BC393" s="365">
        <f t="shared" si="345"/>
        <v>8.9951</v>
      </c>
      <c r="BD393" s="363" t="s">
        <v>869</v>
      </c>
      <c r="BE393">
        <v>8.9951</v>
      </c>
    </row>
    <row r="394" ht="36" spans="1:57">
      <c r="A394" s="284" t="s">
        <v>290</v>
      </c>
      <c r="B394" s="284" t="s">
        <v>199</v>
      </c>
      <c r="C394" s="284" t="s">
        <v>698</v>
      </c>
      <c r="D394" s="284" t="s">
        <v>697</v>
      </c>
      <c r="E394" s="365">
        <f t="shared" si="323"/>
        <v>106.74</v>
      </c>
      <c r="F394" s="365">
        <f t="shared" si="324"/>
        <v>53.59</v>
      </c>
      <c r="G394" s="365">
        <v>40.01</v>
      </c>
      <c r="H394" s="365"/>
      <c r="I394" s="365">
        <v>13.58</v>
      </c>
      <c r="J394" s="365"/>
      <c r="K394" s="365"/>
      <c r="L394" s="365">
        <f t="shared" si="325"/>
        <v>53.15</v>
      </c>
      <c r="M394" s="365">
        <v>8.15</v>
      </c>
      <c r="N394" s="365"/>
      <c r="O394" s="365"/>
      <c r="P394" s="365"/>
      <c r="Q394" s="365"/>
      <c r="R394" s="365"/>
      <c r="S394" s="365">
        <v>45</v>
      </c>
      <c r="T394" s="366">
        <f t="shared" si="346"/>
        <v>-17.05</v>
      </c>
      <c r="U394" s="366">
        <f t="shared" si="326"/>
        <v>4.46</v>
      </c>
      <c r="V394" s="366">
        <v>4.46</v>
      </c>
      <c r="W394" s="366"/>
      <c r="X394" s="366"/>
      <c r="Y394" s="366"/>
      <c r="Z394" s="366"/>
      <c r="AA394" s="365">
        <f t="shared" si="327"/>
        <v>-21.51</v>
      </c>
      <c r="AB394" s="365">
        <v>0.14</v>
      </c>
      <c r="AC394" s="365"/>
      <c r="AD394" s="365"/>
      <c r="AE394" s="365"/>
      <c r="AF394" s="365"/>
      <c r="AG394" s="365">
        <v>0.45</v>
      </c>
      <c r="AH394" s="365">
        <v>-45</v>
      </c>
      <c r="AI394" s="365">
        <v>11.4</v>
      </c>
      <c r="AJ394" s="365">
        <v>7</v>
      </c>
      <c r="AK394" s="365">
        <v>4.5</v>
      </c>
      <c r="AL394" s="366">
        <f t="shared" si="328"/>
        <v>89.69</v>
      </c>
      <c r="AM394" s="365">
        <f t="shared" si="329"/>
        <v>58.05</v>
      </c>
      <c r="AN394" s="365">
        <f t="shared" si="330"/>
        <v>44.47</v>
      </c>
      <c r="AO394" s="365">
        <f t="shared" si="331"/>
        <v>0</v>
      </c>
      <c r="AP394" s="365">
        <f t="shared" si="332"/>
        <v>13.58</v>
      </c>
      <c r="AQ394" s="365">
        <f t="shared" si="333"/>
        <v>0</v>
      </c>
      <c r="AR394" s="365">
        <f t="shared" si="334"/>
        <v>0</v>
      </c>
      <c r="AS394" s="365">
        <f t="shared" si="335"/>
        <v>31.64</v>
      </c>
      <c r="AT394" s="365">
        <f t="shared" si="336"/>
        <v>8.29</v>
      </c>
      <c r="AU394" s="365">
        <f t="shared" si="337"/>
        <v>0</v>
      </c>
      <c r="AV394" s="365">
        <f t="shared" si="338"/>
        <v>0</v>
      </c>
      <c r="AW394" s="365">
        <f t="shared" si="339"/>
        <v>0</v>
      </c>
      <c r="AX394" s="365">
        <f t="shared" si="340"/>
        <v>0</v>
      </c>
      <c r="AY394" s="365">
        <f t="shared" si="341"/>
        <v>0.45</v>
      </c>
      <c r="AZ394" s="365">
        <f t="shared" si="342"/>
        <v>0</v>
      </c>
      <c r="BA394" s="365">
        <f t="shared" si="343"/>
        <v>11.4</v>
      </c>
      <c r="BB394" s="365">
        <f t="shared" si="344"/>
        <v>7</v>
      </c>
      <c r="BC394" s="365">
        <f t="shared" si="345"/>
        <v>4.5</v>
      </c>
      <c r="BD394" s="363" t="s">
        <v>878</v>
      </c>
      <c r="BE394">
        <v>4.5</v>
      </c>
    </row>
    <row r="395" ht="36" spans="1:57">
      <c r="A395" s="284" t="s">
        <v>290</v>
      </c>
      <c r="B395" s="284" t="s">
        <v>199</v>
      </c>
      <c r="C395" s="284" t="s">
        <v>699</v>
      </c>
      <c r="D395" s="284" t="s">
        <v>697</v>
      </c>
      <c r="E395" s="365">
        <f t="shared" si="323"/>
        <v>30.66</v>
      </c>
      <c r="F395" s="365">
        <f t="shared" si="324"/>
        <v>13.06</v>
      </c>
      <c r="G395" s="365">
        <v>8.73</v>
      </c>
      <c r="H395" s="365"/>
      <c r="I395" s="365">
        <v>4.33</v>
      </c>
      <c r="J395" s="365"/>
      <c r="K395" s="365"/>
      <c r="L395" s="365">
        <f t="shared" si="325"/>
        <v>17.6</v>
      </c>
      <c r="M395" s="365">
        <v>2.6</v>
      </c>
      <c r="N395" s="365"/>
      <c r="O395" s="365"/>
      <c r="P395" s="365"/>
      <c r="Q395" s="365"/>
      <c r="R395" s="365"/>
      <c r="S395" s="365">
        <v>15</v>
      </c>
      <c r="T395" s="366">
        <f t="shared" si="346"/>
        <v>-6.04</v>
      </c>
      <c r="U395" s="366">
        <f t="shared" si="326"/>
        <v>0.86</v>
      </c>
      <c r="V395" s="366">
        <v>0.86</v>
      </c>
      <c r="W395" s="366"/>
      <c r="X395" s="366"/>
      <c r="Y395" s="366"/>
      <c r="Z395" s="366"/>
      <c r="AA395" s="365">
        <f t="shared" si="327"/>
        <v>-6.9</v>
      </c>
      <c r="AB395" s="365"/>
      <c r="AC395" s="365"/>
      <c r="AD395" s="365"/>
      <c r="AE395" s="365"/>
      <c r="AF395" s="365"/>
      <c r="AG395" s="365">
        <v>0.15</v>
      </c>
      <c r="AH395" s="365">
        <v>-15</v>
      </c>
      <c r="AI395" s="365">
        <v>3.45</v>
      </c>
      <c r="AJ395" s="365">
        <v>3</v>
      </c>
      <c r="AK395" s="365">
        <v>1.5</v>
      </c>
      <c r="AL395" s="366">
        <f t="shared" si="328"/>
        <v>24.62</v>
      </c>
      <c r="AM395" s="365">
        <f t="shared" si="329"/>
        <v>13.92</v>
      </c>
      <c r="AN395" s="365">
        <f t="shared" si="330"/>
        <v>9.59</v>
      </c>
      <c r="AO395" s="365">
        <f t="shared" si="331"/>
        <v>0</v>
      </c>
      <c r="AP395" s="365">
        <f t="shared" si="332"/>
        <v>4.33</v>
      </c>
      <c r="AQ395" s="365">
        <f t="shared" si="333"/>
        <v>0</v>
      </c>
      <c r="AR395" s="365">
        <f t="shared" si="334"/>
        <v>0</v>
      </c>
      <c r="AS395" s="365">
        <f t="shared" si="335"/>
        <v>10.7</v>
      </c>
      <c r="AT395" s="365">
        <f t="shared" si="336"/>
        <v>2.6</v>
      </c>
      <c r="AU395" s="365">
        <f t="shared" si="337"/>
        <v>0</v>
      </c>
      <c r="AV395" s="365">
        <f t="shared" si="338"/>
        <v>0</v>
      </c>
      <c r="AW395" s="365">
        <f t="shared" si="339"/>
        <v>0</v>
      </c>
      <c r="AX395" s="365">
        <f t="shared" si="340"/>
        <v>0</v>
      </c>
      <c r="AY395" s="365">
        <f t="shared" si="341"/>
        <v>0.15</v>
      </c>
      <c r="AZ395" s="365">
        <f t="shared" si="342"/>
        <v>0</v>
      </c>
      <c r="BA395" s="365">
        <f t="shared" si="343"/>
        <v>3.45</v>
      </c>
      <c r="BB395" s="365">
        <f t="shared" si="344"/>
        <v>3</v>
      </c>
      <c r="BC395" s="365">
        <f t="shared" si="345"/>
        <v>1.5</v>
      </c>
      <c r="BD395" s="363" t="s">
        <v>869</v>
      </c>
      <c r="BE395">
        <v>1.5</v>
      </c>
    </row>
    <row r="396" ht="36" spans="1:57">
      <c r="A396" s="284" t="s">
        <v>290</v>
      </c>
      <c r="B396" s="284" t="s">
        <v>199</v>
      </c>
      <c r="C396" s="284" t="s">
        <v>700</v>
      </c>
      <c r="D396" s="284" t="s">
        <v>701</v>
      </c>
      <c r="E396" s="365">
        <f t="shared" si="323"/>
        <v>81.69</v>
      </c>
      <c r="F396" s="365">
        <f t="shared" si="324"/>
        <v>33.83</v>
      </c>
      <c r="G396" s="365">
        <v>23.71</v>
      </c>
      <c r="H396" s="365"/>
      <c r="I396" s="365">
        <v>10.12</v>
      </c>
      <c r="J396" s="365"/>
      <c r="K396" s="365"/>
      <c r="L396" s="365">
        <f t="shared" si="325"/>
        <v>47.86</v>
      </c>
      <c r="M396" s="366">
        <v>6.86</v>
      </c>
      <c r="N396" s="365"/>
      <c r="O396" s="365"/>
      <c r="P396" s="365"/>
      <c r="Q396" s="365"/>
      <c r="R396" s="365"/>
      <c r="S396" s="366">
        <v>41</v>
      </c>
      <c r="T396" s="366">
        <f t="shared" si="346"/>
        <v>-25.3833</v>
      </c>
      <c r="U396" s="366">
        <f t="shared" si="326"/>
        <v>0.13</v>
      </c>
      <c r="V396" s="366">
        <v>0.13</v>
      </c>
      <c r="W396" s="366"/>
      <c r="X396" s="366"/>
      <c r="Y396" s="366"/>
      <c r="Z396" s="366"/>
      <c r="AA396" s="365">
        <f t="shared" si="327"/>
        <v>-25.5133</v>
      </c>
      <c r="AB396" s="366">
        <v>-0.22</v>
      </c>
      <c r="AC396" s="366"/>
      <c r="AD396" s="366"/>
      <c r="AE396" s="366"/>
      <c r="AF396" s="366"/>
      <c r="AG396" s="366"/>
      <c r="AH396" s="365">
        <v>-41</v>
      </c>
      <c r="AI396" s="366">
        <v>8.19</v>
      </c>
      <c r="AJ396" s="366">
        <v>4</v>
      </c>
      <c r="AK396" s="365">
        <v>3.5167</v>
      </c>
      <c r="AL396" s="366">
        <f t="shared" si="328"/>
        <v>56.3067</v>
      </c>
      <c r="AM396" s="365">
        <f t="shared" si="329"/>
        <v>33.96</v>
      </c>
      <c r="AN396" s="365">
        <f t="shared" si="330"/>
        <v>23.84</v>
      </c>
      <c r="AO396" s="365">
        <f t="shared" si="331"/>
        <v>0</v>
      </c>
      <c r="AP396" s="365">
        <f t="shared" si="332"/>
        <v>10.12</v>
      </c>
      <c r="AQ396" s="365">
        <f t="shared" si="333"/>
        <v>0</v>
      </c>
      <c r="AR396" s="365">
        <f t="shared" si="334"/>
        <v>0</v>
      </c>
      <c r="AS396" s="365">
        <f t="shared" si="335"/>
        <v>22.3467</v>
      </c>
      <c r="AT396" s="365">
        <f t="shared" si="336"/>
        <v>6.64</v>
      </c>
      <c r="AU396" s="365">
        <f t="shared" si="337"/>
        <v>0</v>
      </c>
      <c r="AV396" s="365">
        <f t="shared" si="338"/>
        <v>0</v>
      </c>
      <c r="AW396" s="365">
        <f t="shared" si="339"/>
        <v>0</v>
      </c>
      <c r="AX396" s="365">
        <f t="shared" si="340"/>
        <v>0</v>
      </c>
      <c r="AY396" s="365">
        <f t="shared" si="341"/>
        <v>0</v>
      </c>
      <c r="AZ396" s="365">
        <f t="shared" si="342"/>
        <v>0</v>
      </c>
      <c r="BA396" s="365">
        <f t="shared" si="343"/>
        <v>8.19</v>
      </c>
      <c r="BB396" s="365">
        <f t="shared" si="344"/>
        <v>4</v>
      </c>
      <c r="BC396" s="365">
        <f t="shared" si="345"/>
        <v>3.5167</v>
      </c>
      <c r="BD396" s="363"/>
      <c r="BE396">
        <v>3.5167</v>
      </c>
    </row>
    <row r="397" ht="36" spans="1:57">
      <c r="A397" s="284" t="s">
        <v>195</v>
      </c>
      <c r="B397" s="284" t="s">
        <v>199</v>
      </c>
      <c r="C397" s="369" t="s">
        <v>702</v>
      </c>
      <c r="D397" s="284" t="s">
        <v>703</v>
      </c>
      <c r="E397" s="365">
        <f t="shared" si="323"/>
        <v>24.61</v>
      </c>
      <c r="F397" s="365">
        <f t="shared" si="324"/>
        <v>10.84</v>
      </c>
      <c r="G397" s="365">
        <v>7.89</v>
      </c>
      <c r="H397" s="365"/>
      <c r="I397" s="365">
        <v>2.95</v>
      </c>
      <c r="J397" s="365"/>
      <c r="K397" s="365"/>
      <c r="L397" s="365">
        <f t="shared" si="325"/>
        <v>13.77</v>
      </c>
      <c r="M397" s="365">
        <v>1.77</v>
      </c>
      <c r="N397" s="365"/>
      <c r="O397" s="365"/>
      <c r="P397" s="365"/>
      <c r="Q397" s="365"/>
      <c r="R397" s="365"/>
      <c r="S397" s="365">
        <v>12</v>
      </c>
      <c r="T397" s="366">
        <f t="shared" si="346"/>
        <v>-5.99</v>
      </c>
      <c r="U397" s="366">
        <f t="shared" si="326"/>
        <v>1.04</v>
      </c>
      <c r="V397" s="366">
        <v>1.04</v>
      </c>
      <c r="W397" s="366"/>
      <c r="X397" s="366"/>
      <c r="Y397" s="366"/>
      <c r="Z397" s="366"/>
      <c r="AA397" s="365">
        <f t="shared" si="327"/>
        <v>-7.03</v>
      </c>
      <c r="AB397" s="365"/>
      <c r="AC397" s="365"/>
      <c r="AD397" s="365"/>
      <c r="AE397" s="365"/>
      <c r="AF397" s="365"/>
      <c r="AG397" s="365"/>
      <c r="AH397" s="365">
        <v>-12</v>
      </c>
      <c r="AI397" s="365">
        <v>2.97</v>
      </c>
      <c r="AJ397" s="365">
        <v>1</v>
      </c>
      <c r="AK397" s="365">
        <v>1</v>
      </c>
      <c r="AL397" s="366">
        <f t="shared" si="328"/>
        <v>18.62</v>
      </c>
      <c r="AM397" s="365">
        <f t="shared" si="329"/>
        <v>11.88</v>
      </c>
      <c r="AN397" s="365">
        <f t="shared" si="330"/>
        <v>8.93</v>
      </c>
      <c r="AO397" s="365">
        <f t="shared" si="331"/>
        <v>0</v>
      </c>
      <c r="AP397" s="365">
        <f t="shared" si="332"/>
        <v>2.95</v>
      </c>
      <c r="AQ397" s="365">
        <f t="shared" si="333"/>
        <v>0</v>
      </c>
      <c r="AR397" s="365">
        <f t="shared" si="334"/>
        <v>0</v>
      </c>
      <c r="AS397" s="365">
        <f t="shared" si="335"/>
        <v>6.74</v>
      </c>
      <c r="AT397" s="365">
        <f t="shared" si="336"/>
        <v>1.77</v>
      </c>
      <c r="AU397" s="365">
        <f t="shared" si="337"/>
        <v>0</v>
      </c>
      <c r="AV397" s="365">
        <f t="shared" si="338"/>
        <v>0</v>
      </c>
      <c r="AW397" s="365">
        <f t="shared" si="339"/>
        <v>0</v>
      </c>
      <c r="AX397" s="365">
        <f t="shared" si="340"/>
        <v>0</v>
      </c>
      <c r="AY397" s="365">
        <f t="shared" si="341"/>
        <v>0</v>
      </c>
      <c r="AZ397" s="365">
        <f t="shared" si="342"/>
        <v>0</v>
      </c>
      <c r="BA397" s="365">
        <f t="shared" si="343"/>
        <v>2.97</v>
      </c>
      <c r="BB397" s="365">
        <f t="shared" si="344"/>
        <v>1</v>
      </c>
      <c r="BC397" s="365">
        <f t="shared" si="345"/>
        <v>1</v>
      </c>
      <c r="BD397" s="363"/>
      <c r="BE397">
        <v>1</v>
      </c>
    </row>
    <row r="398" ht="36" spans="1:57">
      <c r="A398" s="284" t="s">
        <v>290</v>
      </c>
      <c r="B398" s="284" t="s">
        <v>199</v>
      </c>
      <c r="C398" s="284" t="s">
        <v>704</v>
      </c>
      <c r="D398" s="284" t="s">
        <v>703</v>
      </c>
      <c r="E398" s="365">
        <f t="shared" si="323"/>
        <v>193.32</v>
      </c>
      <c r="F398" s="365">
        <f t="shared" si="324"/>
        <v>77.47</v>
      </c>
      <c r="G398" s="365">
        <v>55.35</v>
      </c>
      <c r="H398" s="365">
        <v>22.12</v>
      </c>
      <c r="I398" s="365"/>
      <c r="J398" s="365"/>
      <c r="K398" s="365"/>
      <c r="L398" s="365">
        <f t="shared" si="325"/>
        <v>115.85</v>
      </c>
      <c r="M398" s="365">
        <v>12.14</v>
      </c>
      <c r="N398" s="365"/>
      <c r="O398" s="365"/>
      <c r="P398" s="365">
        <v>29.71</v>
      </c>
      <c r="Q398" s="365"/>
      <c r="R398" s="365"/>
      <c r="S398" s="366">
        <v>74</v>
      </c>
      <c r="T398" s="366">
        <f t="shared" si="346"/>
        <v>-37.3</v>
      </c>
      <c r="U398" s="366">
        <f t="shared" si="326"/>
        <v>-0.48</v>
      </c>
      <c r="V398" s="366">
        <v>-0.48</v>
      </c>
      <c r="W398" s="366"/>
      <c r="X398" s="366"/>
      <c r="Y398" s="366"/>
      <c r="Z398" s="366"/>
      <c r="AA398" s="365">
        <f t="shared" si="327"/>
        <v>-36.82</v>
      </c>
      <c r="AB398" s="366">
        <v>-0.82</v>
      </c>
      <c r="AC398" s="366"/>
      <c r="AD398" s="366"/>
      <c r="AE398" s="366"/>
      <c r="AF398" s="366"/>
      <c r="AG398" s="366">
        <v>0.45</v>
      </c>
      <c r="AH398" s="365">
        <v>-74</v>
      </c>
      <c r="AI398" s="366">
        <v>15.54</v>
      </c>
      <c r="AJ398" s="366">
        <v>14</v>
      </c>
      <c r="AK398" s="365">
        <v>8.01</v>
      </c>
      <c r="AL398" s="366">
        <f t="shared" si="328"/>
        <v>156.02</v>
      </c>
      <c r="AM398" s="365">
        <f t="shared" si="329"/>
        <v>76.99</v>
      </c>
      <c r="AN398" s="365">
        <f t="shared" si="330"/>
        <v>54.87</v>
      </c>
      <c r="AO398" s="365">
        <f t="shared" si="331"/>
        <v>22.12</v>
      </c>
      <c r="AP398" s="365">
        <f t="shared" si="332"/>
        <v>0</v>
      </c>
      <c r="AQ398" s="365">
        <f t="shared" si="333"/>
        <v>0</v>
      </c>
      <c r="AR398" s="365">
        <f t="shared" si="334"/>
        <v>0</v>
      </c>
      <c r="AS398" s="365">
        <f t="shared" si="335"/>
        <v>79.03</v>
      </c>
      <c r="AT398" s="365">
        <f t="shared" si="336"/>
        <v>11.32</v>
      </c>
      <c r="AU398" s="365">
        <f t="shared" si="337"/>
        <v>0</v>
      </c>
      <c r="AV398" s="365">
        <f t="shared" si="338"/>
        <v>0</v>
      </c>
      <c r="AW398" s="365">
        <f t="shared" si="339"/>
        <v>29.71</v>
      </c>
      <c r="AX398" s="365">
        <f t="shared" si="340"/>
        <v>0</v>
      </c>
      <c r="AY398" s="365">
        <f t="shared" si="341"/>
        <v>0.45</v>
      </c>
      <c r="AZ398" s="365">
        <f t="shared" si="342"/>
        <v>0</v>
      </c>
      <c r="BA398" s="365">
        <f t="shared" si="343"/>
        <v>15.54</v>
      </c>
      <c r="BB398" s="365">
        <f t="shared" si="344"/>
        <v>14</v>
      </c>
      <c r="BC398" s="365">
        <f t="shared" si="345"/>
        <v>8.01</v>
      </c>
      <c r="BD398" s="363" t="s">
        <v>878</v>
      </c>
      <c r="BE398">
        <v>8.01</v>
      </c>
    </row>
    <row r="399" s="311" customFormat="1" ht="21" customHeight="1" spans="1:57">
      <c r="A399" s="328"/>
      <c r="B399" s="329" t="s">
        <v>754</v>
      </c>
      <c r="C399" s="329" t="s">
        <v>144</v>
      </c>
      <c r="D399" s="329">
        <v>216</v>
      </c>
      <c r="E399" s="364">
        <f t="shared" ref="E399:S399" si="347">SUM(E400:E401)</f>
        <v>26.466</v>
      </c>
      <c r="F399" s="364">
        <f t="shared" si="347"/>
        <v>14.466</v>
      </c>
      <c r="G399" s="364">
        <f t="shared" si="347"/>
        <v>9.57</v>
      </c>
      <c r="H399" s="364">
        <f t="shared" si="347"/>
        <v>3.06</v>
      </c>
      <c r="I399" s="364">
        <f t="shared" si="347"/>
        <v>1.836</v>
      </c>
      <c r="J399" s="364">
        <f t="shared" si="347"/>
        <v>0</v>
      </c>
      <c r="K399" s="364">
        <f t="shared" si="347"/>
        <v>0</v>
      </c>
      <c r="L399" s="364">
        <f t="shared" si="347"/>
        <v>12</v>
      </c>
      <c r="M399" s="364">
        <f t="shared" si="347"/>
        <v>0</v>
      </c>
      <c r="N399" s="364">
        <f t="shared" si="347"/>
        <v>0</v>
      </c>
      <c r="O399" s="364">
        <f t="shared" si="347"/>
        <v>0</v>
      </c>
      <c r="P399" s="364">
        <f t="shared" si="347"/>
        <v>0</v>
      </c>
      <c r="Q399" s="364">
        <f t="shared" si="347"/>
        <v>0</v>
      </c>
      <c r="R399" s="364">
        <f t="shared" si="347"/>
        <v>0</v>
      </c>
      <c r="S399" s="364">
        <f t="shared" si="347"/>
        <v>12</v>
      </c>
      <c r="T399" s="364">
        <f t="shared" si="346"/>
        <v>-7.65</v>
      </c>
      <c r="U399" s="364">
        <f t="shared" ref="U399:AK399" si="348">SUM(U400:U401)</f>
        <v>-1.02</v>
      </c>
      <c r="V399" s="364">
        <f t="shared" si="348"/>
        <v>-1.02</v>
      </c>
      <c r="W399" s="364">
        <f t="shared" si="348"/>
        <v>0</v>
      </c>
      <c r="X399" s="364">
        <f t="shared" si="348"/>
        <v>0</v>
      </c>
      <c r="Y399" s="364">
        <f t="shared" si="348"/>
        <v>0</v>
      </c>
      <c r="Z399" s="364">
        <f t="shared" si="348"/>
        <v>0</v>
      </c>
      <c r="AA399" s="364">
        <f t="shared" si="348"/>
        <v>-6.63</v>
      </c>
      <c r="AB399" s="364">
        <f t="shared" si="348"/>
        <v>0</v>
      </c>
      <c r="AC399" s="364">
        <f t="shared" si="348"/>
        <v>0</v>
      </c>
      <c r="AD399" s="364">
        <f t="shared" si="348"/>
        <v>0</v>
      </c>
      <c r="AE399" s="364">
        <f t="shared" si="348"/>
        <v>0</v>
      </c>
      <c r="AF399" s="364">
        <f t="shared" si="348"/>
        <v>0</v>
      </c>
      <c r="AG399" s="364">
        <f t="shared" si="348"/>
        <v>0</v>
      </c>
      <c r="AH399" s="364">
        <f t="shared" si="348"/>
        <v>-12</v>
      </c>
      <c r="AI399" s="364">
        <f t="shared" si="348"/>
        <v>2.37</v>
      </c>
      <c r="AJ399" s="364">
        <f t="shared" si="348"/>
        <v>2</v>
      </c>
      <c r="AK399" s="364">
        <f t="shared" si="348"/>
        <v>1</v>
      </c>
      <c r="AL399" s="364">
        <f t="shared" si="328"/>
        <v>18.816</v>
      </c>
      <c r="AM399" s="364">
        <f t="shared" ref="AM399:BC399" si="349">SUM(AM400:AM401)</f>
        <v>13.446</v>
      </c>
      <c r="AN399" s="364">
        <f t="shared" si="349"/>
        <v>8.55</v>
      </c>
      <c r="AO399" s="364">
        <f t="shared" si="349"/>
        <v>3.06</v>
      </c>
      <c r="AP399" s="364">
        <f t="shared" si="349"/>
        <v>1.836</v>
      </c>
      <c r="AQ399" s="364">
        <f t="shared" si="349"/>
        <v>0</v>
      </c>
      <c r="AR399" s="364">
        <f t="shared" si="349"/>
        <v>0</v>
      </c>
      <c r="AS399" s="364">
        <f t="shared" si="349"/>
        <v>5.37</v>
      </c>
      <c r="AT399" s="364">
        <f t="shared" si="349"/>
        <v>0</v>
      </c>
      <c r="AU399" s="364">
        <f t="shared" si="349"/>
        <v>0</v>
      </c>
      <c r="AV399" s="364">
        <f t="shared" si="349"/>
        <v>0</v>
      </c>
      <c r="AW399" s="364">
        <f t="shared" si="349"/>
        <v>0</v>
      </c>
      <c r="AX399" s="364">
        <f t="shared" si="349"/>
        <v>0</v>
      </c>
      <c r="AY399" s="364">
        <f t="shared" si="349"/>
        <v>0</v>
      </c>
      <c r="AZ399" s="364">
        <f t="shared" si="349"/>
        <v>0</v>
      </c>
      <c r="BA399" s="364">
        <f t="shared" si="349"/>
        <v>2.37</v>
      </c>
      <c r="BB399" s="364">
        <f t="shared" si="349"/>
        <v>2</v>
      </c>
      <c r="BC399" s="364">
        <f t="shared" si="349"/>
        <v>1</v>
      </c>
      <c r="BD399" s="372"/>
      <c r="BE399" s="373"/>
    </row>
    <row r="400" ht="24" spans="1:57">
      <c r="A400" s="284" t="s">
        <v>290</v>
      </c>
      <c r="B400" s="284" t="s">
        <v>196</v>
      </c>
      <c r="C400" s="284" t="s">
        <v>705</v>
      </c>
      <c r="D400" s="284" t="s">
        <v>706</v>
      </c>
      <c r="E400" s="365">
        <f t="shared" ref="E400:E413" si="350">F400+L400</f>
        <v>0</v>
      </c>
      <c r="F400" s="365">
        <f t="shared" ref="F400:F413" si="351">SUM(G400:K400)</f>
        <v>0</v>
      </c>
      <c r="G400" s="365"/>
      <c r="H400" s="365"/>
      <c r="I400" s="365"/>
      <c r="J400" s="365"/>
      <c r="K400" s="365"/>
      <c r="L400" s="365">
        <f t="shared" ref="L400:L413" si="352">SUM(M400:S400)</f>
        <v>0</v>
      </c>
      <c r="M400" s="365"/>
      <c r="N400" s="365"/>
      <c r="O400" s="365"/>
      <c r="P400" s="365"/>
      <c r="Q400" s="365"/>
      <c r="R400" s="365"/>
      <c r="S400" s="365"/>
      <c r="T400" s="366">
        <f t="shared" si="346"/>
        <v>0</v>
      </c>
      <c r="U400" s="366">
        <f>SUM(V400:Z400)</f>
        <v>0</v>
      </c>
      <c r="V400" s="366"/>
      <c r="W400" s="366"/>
      <c r="X400" s="366"/>
      <c r="Y400" s="366"/>
      <c r="Z400" s="366"/>
      <c r="AA400" s="365">
        <f t="shared" ref="AA400:AA413" si="353">SUM(AB400:AK400)</f>
        <v>0</v>
      </c>
      <c r="AB400" s="365"/>
      <c r="AC400" s="365"/>
      <c r="AD400" s="365"/>
      <c r="AE400" s="365"/>
      <c r="AF400" s="365"/>
      <c r="AG400" s="365"/>
      <c r="AH400" s="365">
        <v>0</v>
      </c>
      <c r="AI400" s="365"/>
      <c r="AJ400" s="365"/>
      <c r="AK400" s="365"/>
      <c r="AL400" s="366">
        <f t="shared" si="328"/>
        <v>0</v>
      </c>
      <c r="AM400" s="365">
        <f t="shared" ref="AM400:AM413" si="354">SUM(AN400:AR400)</f>
        <v>0</v>
      </c>
      <c r="AN400" s="365">
        <f t="shared" ref="AN400:AR400" si="355">G400+V400</f>
        <v>0</v>
      </c>
      <c r="AO400" s="365">
        <f t="shared" si="355"/>
        <v>0</v>
      </c>
      <c r="AP400" s="365">
        <f t="shared" si="355"/>
        <v>0</v>
      </c>
      <c r="AQ400" s="365">
        <f t="shared" si="355"/>
        <v>0</v>
      </c>
      <c r="AR400" s="365">
        <f t="shared" si="355"/>
        <v>0</v>
      </c>
      <c r="AS400" s="365">
        <f>SUM(AT400:BC400)</f>
        <v>0</v>
      </c>
      <c r="AT400" s="365">
        <f t="shared" ref="AT400:AZ400" si="356">M400+AB400</f>
        <v>0</v>
      </c>
      <c r="AU400" s="365">
        <f t="shared" si="356"/>
        <v>0</v>
      </c>
      <c r="AV400" s="365">
        <f t="shared" si="356"/>
        <v>0</v>
      </c>
      <c r="AW400" s="365">
        <f t="shared" si="356"/>
        <v>0</v>
      </c>
      <c r="AX400" s="365">
        <f t="shared" si="356"/>
        <v>0</v>
      </c>
      <c r="AY400" s="365">
        <f t="shared" si="356"/>
        <v>0</v>
      </c>
      <c r="AZ400" s="365">
        <f t="shared" si="356"/>
        <v>0</v>
      </c>
      <c r="BA400" s="365">
        <f t="shared" ref="BA400:BA413" si="357">AI400</f>
        <v>0</v>
      </c>
      <c r="BB400" s="365">
        <f>AJ400</f>
        <v>0</v>
      </c>
      <c r="BC400" s="365">
        <f t="shared" ref="BC400:BC413" si="358">AK400</f>
        <v>0</v>
      </c>
      <c r="BD400" s="363"/>
      <c r="BE400">
        <v>14.8448</v>
      </c>
    </row>
    <row r="401" ht="24" spans="1:57">
      <c r="A401" s="284" t="s">
        <v>290</v>
      </c>
      <c r="B401" s="284" t="s">
        <v>199</v>
      </c>
      <c r="C401" s="284" t="s">
        <v>707</v>
      </c>
      <c r="D401" s="284" t="s">
        <v>708</v>
      </c>
      <c r="E401" s="365">
        <f t="shared" si="350"/>
        <v>26.466</v>
      </c>
      <c r="F401" s="365">
        <f t="shared" si="351"/>
        <v>14.466</v>
      </c>
      <c r="G401" s="365">
        <v>9.57</v>
      </c>
      <c r="H401" s="365">
        <v>3.06</v>
      </c>
      <c r="I401" s="365">
        <v>1.836</v>
      </c>
      <c r="J401" s="365"/>
      <c r="K401" s="365"/>
      <c r="L401" s="365">
        <f t="shared" si="352"/>
        <v>12</v>
      </c>
      <c r="M401" s="365"/>
      <c r="N401" s="365"/>
      <c r="O401" s="365"/>
      <c r="P401" s="365"/>
      <c r="Q401" s="365"/>
      <c r="R401" s="365"/>
      <c r="S401" s="366">
        <v>12</v>
      </c>
      <c r="T401" s="366">
        <f t="shared" si="346"/>
        <v>-7.65</v>
      </c>
      <c r="U401" s="366">
        <f>SUM(V401:Z401)</f>
        <v>-1.02</v>
      </c>
      <c r="V401" s="366">
        <v>-1.02</v>
      </c>
      <c r="W401" s="366"/>
      <c r="X401" s="366"/>
      <c r="Y401" s="366"/>
      <c r="Z401" s="366"/>
      <c r="AA401" s="365">
        <f t="shared" si="353"/>
        <v>-6.63</v>
      </c>
      <c r="AB401" s="366"/>
      <c r="AC401" s="366"/>
      <c r="AD401" s="366"/>
      <c r="AE401" s="366"/>
      <c r="AF401" s="366"/>
      <c r="AG401" s="366"/>
      <c r="AH401" s="365">
        <v>-12</v>
      </c>
      <c r="AI401" s="366">
        <v>2.37</v>
      </c>
      <c r="AJ401" s="366">
        <v>2</v>
      </c>
      <c r="AK401" s="365">
        <v>1</v>
      </c>
      <c r="AL401" s="366">
        <f t="shared" si="328"/>
        <v>18.816</v>
      </c>
      <c r="AM401" s="365">
        <f t="shared" si="354"/>
        <v>13.446</v>
      </c>
      <c r="AN401" s="365">
        <f t="shared" ref="AN401:AR401" si="359">G401+V401</f>
        <v>8.55</v>
      </c>
      <c r="AO401" s="365">
        <f t="shared" si="359"/>
        <v>3.06</v>
      </c>
      <c r="AP401" s="365">
        <f t="shared" si="359"/>
        <v>1.836</v>
      </c>
      <c r="AQ401" s="365">
        <f t="shared" si="359"/>
        <v>0</v>
      </c>
      <c r="AR401" s="365">
        <f t="shared" si="359"/>
        <v>0</v>
      </c>
      <c r="AS401" s="365">
        <f>SUM(AT401:BC401)</f>
        <v>5.37</v>
      </c>
      <c r="AT401" s="365">
        <f t="shared" ref="AT401:AZ401" si="360">M401+AB401</f>
        <v>0</v>
      </c>
      <c r="AU401" s="365">
        <f t="shared" si="360"/>
        <v>0</v>
      </c>
      <c r="AV401" s="365">
        <f t="shared" si="360"/>
        <v>0</v>
      </c>
      <c r="AW401" s="365">
        <f t="shared" si="360"/>
        <v>0</v>
      </c>
      <c r="AX401" s="365">
        <f t="shared" si="360"/>
        <v>0</v>
      </c>
      <c r="AY401" s="365">
        <f t="shared" si="360"/>
        <v>0</v>
      </c>
      <c r="AZ401" s="365">
        <f t="shared" si="360"/>
        <v>0</v>
      </c>
      <c r="BA401" s="365">
        <f t="shared" si="357"/>
        <v>2.37</v>
      </c>
      <c r="BB401" s="365">
        <f>AJ401</f>
        <v>2</v>
      </c>
      <c r="BC401" s="365">
        <f t="shared" si="358"/>
        <v>1</v>
      </c>
      <c r="BD401" s="363"/>
      <c r="BE401">
        <v>1</v>
      </c>
    </row>
    <row r="402" s="311" customFormat="1" ht="21" customHeight="1" spans="1:57">
      <c r="A402" s="328"/>
      <c r="B402" s="329" t="s">
        <v>755</v>
      </c>
      <c r="C402" s="329" t="s">
        <v>146</v>
      </c>
      <c r="D402" s="329">
        <v>220</v>
      </c>
      <c r="E402" s="364">
        <f t="shared" ref="E402:S402" si="361">SUM(E403:E413)</f>
        <v>699.72</v>
      </c>
      <c r="F402" s="364">
        <f t="shared" si="361"/>
        <v>339.7</v>
      </c>
      <c r="G402" s="364">
        <f t="shared" si="361"/>
        <v>231.34</v>
      </c>
      <c r="H402" s="364">
        <f t="shared" si="361"/>
        <v>13.21</v>
      </c>
      <c r="I402" s="364">
        <f t="shared" si="361"/>
        <v>94.99</v>
      </c>
      <c r="J402" s="364">
        <f t="shared" si="361"/>
        <v>0.16</v>
      </c>
      <c r="K402" s="364">
        <f t="shared" si="361"/>
        <v>0</v>
      </c>
      <c r="L402" s="364">
        <f t="shared" si="361"/>
        <v>360.02</v>
      </c>
      <c r="M402" s="364">
        <f t="shared" si="361"/>
        <v>75.11</v>
      </c>
      <c r="N402" s="364">
        <f t="shared" si="361"/>
        <v>0</v>
      </c>
      <c r="O402" s="364">
        <f t="shared" si="361"/>
        <v>0</v>
      </c>
      <c r="P402" s="364">
        <f t="shared" si="361"/>
        <v>81.71</v>
      </c>
      <c r="Q402" s="364">
        <f t="shared" si="361"/>
        <v>0</v>
      </c>
      <c r="R402" s="364">
        <f t="shared" si="361"/>
        <v>9.7</v>
      </c>
      <c r="S402" s="364">
        <f t="shared" si="361"/>
        <v>193.5</v>
      </c>
      <c r="T402" s="364">
        <f t="shared" si="346"/>
        <v>205.335</v>
      </c>
      <c r="U402" s="364">
        <f t="shared" ref="U402:AK402" si="362">SUM(U403:U413)</f>
        <v>166.79</v>
      </c>
      <c r="V402" s="364">
        <f t="shared" si="362"/>
        <v>153.66</v>
      </c>
      <c r="W402" s="364">
        <f t="shared" si="362"/>
        <v>13.13</v>
      </c>
      <c r="X402" s="364">
        <f t="shared" si="362"/>
        <v>0</v>
      </c>
      <c r="Y402" s="364">
        <f t="shared" si="362"/>
        <v>0</v>
      </c>
      <c r="Z402" s="364">
        <f t="shared" si="362"/>
        <v>0</v>
      </c>
      <c r="AA402" s="364">
        <f t="shared" si="362"/>
        <v>38.545</v>
      </c>
      <c r="AB402" s="364">
        <f t="shared" si="362"/>
        <v>19.14</v>
      </c>
      <c r="AC402" s="364">
        <f t="shared" si="362"/>
        <v>0</v>
      </c>
      <c r="AD402" s="364">
        <f t="shared" si="362"/>
        <v>0</v>
      </c>
      <c r="AE402" s="364">
        <f t="shared" si="362"/>
        <v>-4.95</v>
      </c>
      <c r="AF402" s="364">
        <f t="shared" si="362"/>
        <v>0</v>
      </c>
      <c r="AG402" s="364">
        <f t="shared" si="362"/>
        <v>0.75</v>
      </c>
      <c r="AH402" s="364">
        <f t="shared" si="362"/>
        <v>-193.5</v>
      </c>
      <c r="AI402" s="364">
        <f t="shared" si="362"/>
        <v>128.29</v>
      </c>
      <c r="AJ402" s="364">
        <f t="shared" si="362"/>
        <v>56</v>
      </c>
      <c r="AK402" s="364">
        <f t="shared" si="362"/>
        <v>32.815</v>
      </c>
      <c r="AL402" s="364">
        <f t="shared" si="328"/>
        <v>905.055</v>
      </c>
      <c r="AM402" s="364">
        <f t="shared" ref="AM402:BC402" si="363">SUM(AM403:AM413)</f>
        <v>506.49</v>
      </c>
      <c r="AN402" s="364">
        <f t="shared" si="363"/>
        <v>385</v>
      </c>
      <c r="AO402" s="364">
        <f t="shared" si="363"/>
        <v>26.34</v>
      </c>
      <c r="AP402" s="364">
        <f t="shared" si="363"/>
        <v>94.99</v>
      </c>
      <c r="AQ402" s="364">
        <f t="shared" si="363"/>
        <v>0.16</v>
      </c>
      <c r="AR402" s="364">
        <f t="shared" si="363"/>
        <v>0</v>
      </c>
      <c r="AS402" s="364">
        <f t="shared" si="363"/>
        <v>398.565</v>
      </c>
      <c r="AT402" s="364">
        <f t="shared" si="363"/>
        <v>94.25</v>
      </c>
      <c r="AU402" s="364">
        <f t="shared" si="363"/>
        <v>0</v>
      </c>
      <c r="AV402" s="364">
        <f t="shared" si="363"/>
        <v>0</v>
      </c>
      <c r="AW402" s="364">
        <f t="shared" si="363"/>
        <v>76.76</v>
      </c>
      <c r="AX402" s="364">
        <f t="shared" si="363"/>
        <v>0</v>
      </c>
      <c r="AY402" s="364">
        <f t="shared" si="363"/>
        <v>10.45</v>
      </c>
      <c r="AZ402" s="364">
        <f t="shared" si="363"/>
        <v>0</v>
      </c>
      <c r="BA402" s="364">
        <f t="shared" si="363"/>
        <v>128.29</v>
      </c>
      <c r="BB402" s="364">
        <f t="shared" si="363"/>
        <v>56</v>
      </c>
      <c r="BC402" s="364">
        <f t="shared" si="363"/>
        <v>32.815</v>
      </c>
      <c r="BD402" s="372"/>
      <c r="BE402" s="373"/>
    </row>
    <row r="403" ht="24" spans="1:57">
      <c r="A403" s="284" t="s">
        <v>665</v>
      </c>
      <c r="B403" s="284" t="s">
        <v>196</v>
      </c>
      <c r="C403" s="284" t="s">
        <v>709</v>
      </c>
      <c r="D403" s="284" t="s">
        <v>710</v>
      </c>
      <c r="E403" s="365">
        <f t="shared" si="350"/>
        <v>0</v>
      </c>
      <c r="F403" s="365">
        <f t="shared" si="351"/>
        <v>0</v>
      </c>
      <c r="G403" s="365"/>
      <c r="H403" s="365"/>
      <c r="I403" s="365"/>
      <c r="J403" s="365"/>
      <c r="K403" s="365"/>
      <c r="L403" s="365">
        <f t="shared" si="352"/>
        <v>0</v>
      </c>
      <c r="M403" s="365"/>
      <c r="N403" s="365"/>
      <c r="O403" s="365"/>
      <c r="P403" s="365"/>
      <c r="Q403" s="365"/>
      <c r="R403" s="365"/>
      <c r="S403" s="365"/>
      <c r="T403" s="366">
        <f t="shared" si="346"/>
        <v>0</v>
      </c>
      <c r="U403" s="366">
        <f t="shared" ref="U403:U413" si="364">SUM(V403:Z403)</f>
        <v>0</v>
      </c>
      <c r="V403" s="366"/>
      <c r="W403" s="366"/>
      <c r="X403" s="366"/>
      <c r="Y403" s="366"/>
      <c r="Z403" s="366"/>
      <c r="AA403" s="365">
        <f t="shared" si="353"/>
        <v>0</v>
      </c>
      <c r="AB403" s="365"/>
      <c r="AC403" s="365"/>
      <c r="AD403" s="365"/>
      <c r="AE403" s="365"/>
      <c r="AF403" s="365"/>
      <c r="AG403" s="365"/>
      <c r="AH403" s="365">
        <v>0</v>
      </c>
      <c r="AI403" s="365"/>
      <c r="AJ403" s="365"/>
      <c r="AK403" s="365"/>
      <c r="AL403" s="366">
        <f t="shared" si="328"/>
        <v>0</v>
      </c>
      <c r="AM403" s="365">
        <f t="shared" si="354"/>
        <v>0</v>
      </c>
      <c r="AN403" s="365">
        <f t="shared" ref="AN403:AN413" si="365">G403+V403</f>
        <v>0</v>
      </c>
      <c r="AO403" s="365">
        <f t="shared" ref="AO403:AO413" si="366">H403+W403</f>
        <v>0</v>
      </c>
      <c r="AP403" s="365">
        <f t="shared" ref="AP403:AP413" si="367">I403+X403</f>
        <v>0</v>
      </c>
      <c r="AQ403" s="365">
        <f t="shared" ref="AQ403:AQ413" si="368">J403+Y403</f>
        <v>0</v>
      </c>
      <c r="AR403" s="365">
        <f t="shared" ref="AR403:AR413" si="369">K403+Z403</f>
        <v>0</v>
      </c>
      <c r="AS403" s="365">
        <f t="shared" ref="AS403:AS413" si="370">SUM(AT403:BC403)</f>
        <v>0</v>
      </c>
      <c r="AT403" s="365">
        <f t="shared" ref="AT403:AT413" si="371">M403+AB403</f>
        <v>0</v>
      </c>
      <c r="AU403" s="365">
        <f t="shared" ref="AU403:AU413" si="372">N403+AC403</f>
        <v>0</v>
      </c>
      <c r="AV403" s="365">
        <f t="shared" ref="AV403:AV413" si="373">O403+AD403</f>
        <v>0</v>
      </c>
      <c r="AW403" s="365">
        <f t="shared" ref="AW403:AW413" si="374">P403+AE403</f>
        <v>0</v>
      </c>
      <c r="AX403" s="365">
        <f t="shared" ref="AX403:AX413" si="375">Q403+AF403</f>
        <v>0</v>
      </c>
      <c r="AY403" s="365">
        <f t="shared" ref="AY403:AY413" si="376">R403+AG403</f>
        <v>0</v>
      </c>
      <c r="AZ403" s="365">
        <f t="shared" ref="AZ403:AZ413" si="377">S403+AH403</f>
        <v>0</v>
      </c>
      <c r="BA403" s="365">
        <f t="shared" si="357"/>
        <v>0</v>
      </c>
      <c r="BB403" s="365">
        <f t="shared" ref="BB403:BB413" si="378">AJ403</f>
        <v>0</v>
      </c>
      <c r="BC403" s="365">
        <f t="shared" si="358"/>
        <v>0</v>
      </c>
      <c r="BD403" s="363"/>
      <c r="BE403">
        <v>52.8255</v>
      </c>
    </row>
    <row r="404" ht="24" spans="1:56">
      <c r="A404" s="284" t="s">
        <v>665</v>
      </c>
      <c r="B404" s="284" t="s">
        <v>196</v>
      </c>
      <c r="C404" s="284" t="s">
        <v>807</v>
      </c>
      <c r="D404" s="284" t="s">
        <v>710</v>
      </c>
      <c r="E404" s="365">
        <f t="shared" si="350"/>
        <v>0</v>
      </c>
      <c r="F404" s="365">
        <f t="shared" si="351"/>
        <v>0</v>
      </c>
      <c r="G404" s="365"/>
      <c r="H404" s="365"/>
      <c r="I404" s="365"/>
      <c r="J404" s="365"/>
      <c r="K404" s="365"/>
      <c r="L404" s="365">
        <f t="shared" si="352"/>
        <v>0</v>
      </c>
      <c r="M404" s="365"/>
      <c r="N404" s="365"/>
      <c r="O404" s="365"/>
      <c r="P404" s="365"/>
      <c r="Q404" s="365"/>
      <c r="R404" s="365"/>
      <c r="S404" s="365"/>
      <c r="T404" s="366">
        <f t="shared" si="346"/>
        <v>0</v>
      </c>
      <c r="U404" s="366">
        <f t="shared" si="364"/>
        <v>0</v>
      </c>
      <c r="V404" s="366"/>
      <c r="W404" s="366"/>
      <c r="X404" s="366"/>
      <c r="Y404" s="366"/>
      <c r="Z404" s="366"/>
      <c r="AA404" s="365">
        <f t="shared" si="353"/>
        <v>0</v>
      </c>
      <c r="AB404" s="365"/>
      <c r="AC404" s="365"/>
      <c r="AD404" s="365"/>
      <c r="AE404" s="365"/>
      <c r="AF404" s="365"/>
      <c r="AG404" s="365"/>
      <c r="AH404" s="365">
        <v>0</v>
      </c>
      <c r="AI404" s="365"/>
      <c r="AJ404" s="365"/>
      <c r="AK404" s="365"/>
      <c r="AL404" s="366">
        <f t="shared" si="328"/>
        <v>0</v>
      </c>
      <c r="AM404" s="365">
        <f t="shared" si="354"/>
        <v>0</v>
      </c>
      <c r="AN404" s="365">
        <f t="shared" si="365"/>
        <v>0</v>
      </c>
      <c r="AO404" s="365">
        <f t="shared" si="366"/>
        <v>0</v>
      </c>
      <c r="AP404" s="365">
        <f t="shared" si="367"/>
        <v>0</v>
      </c>
      <c r="AQ404" s="365">
        <f t="shared" si="368"/>
        <v>0</v>
      </c>
      <c r="AR404" s="365">
        <f t="shared" si="369"/>
        <v>0</v>
      </c>
      <c r="AS404" s="365">
        <f t="shared" si="370"/>
        <v>0</v>
      </c>
      <c r="AT404" s="365">
        <f t="shared" si="371"/>
        <v>0</v>
      </c>
      <c r="AU404" s="365">
        <f t="shared" si="372"/>
        <v>0</v>
      </c>
      <c r="AV404" s="365">
        <f t="shared" si="373"/>
        <v>0</v>
      </c>
      <c r="AW404" s="365">
        <f t="shared" si="374"/>
        <v>0</v>
      </c>
      <c r="AX404" s="365">
        <f t="shared" si="375"/>
        <v>0</v>
      </c>
      <c r="AY404" s="365">
        <f t="shared" si="376"/>
        <v>0</v>
      </c>
      <c r="AZ404" s="365">
        <f t="shared" si="377"/>
        <v>0</v>
      </c>
      <c r="BA404" s="365">
        <f t="shared" si="357"/>
        <v>0</v>
      </c>
      <c r="BB404" s="365">
        <f t="shared" si="378"/>
        <v>0</v>
      </c>
      <c r="BC404" s="365">
        <f t="shared" si="358"/>
        <v>0</v>
      </c>
      <c r="BD404" s="363"/>
    </row>
    <row r="405" ht="24" spans="1:56">
      <c r="A405" s="284" t="s">
        <v>665</v>
      </c>
      <c r="B405" s="284" t="s">
        <v>196</v>
      </c>
      <c r="C405" s="284" t="s">
        <v>712</v>
      </c>
      <c r="D405" s="284" t="s">
        <v>710</v>
      </c>
      <c r="E405" s="365">
        <f t="shared" si="350"/>
        <v>0</v>
      </c>
      <c r="F405" s="365">
        <f t="shared" si="351"/>
        <v>0</v>
      </c>
      <c r="G405" s="365"/>
      <c r="H405" s="365"/>
      <c r="I405" s="365"/>
      <c r="J405" s="365"/>
      <c r="K405" s="365"/>
      <c r="L405" s="365">
        <f t="shared" si="352"/>
        <v>0</v>
      </c>
      <c r="M405" s="365"/>
      <c r="N405" s="365"/>
      <c r="O405" s="365"/>
      <c r="P405" s="365"/>
      <c r="Q405" s="365"/>
      <c r="R405" s="365"/>
      <c r="S405" s="365"/>
      <c r="T405" s="366">
        <f t="shared" si="346"/>
        <v>0</v>
      </c>
      <c r="U405" s="366">
        <f t="shared" si="364"/>
        <v>0</v>
      </c>
      <c r="V405" s="366"/>
      <c r="W405" s="366"/>
      <c r="X405" s="366"/>
      <c r="Y405" s="366"/>
      <c r="Z405" s="366"/>
      <c r="AA405" s="365">
        <f t="shared" si="353"/>
        <v>0</v>
      </c>
      <c r="AB405" s="365"/>
      <c r="AC405" s="365"/>
      <c r="AD405" s="365"/>
      <c r="AE405" s="365"/>
      <c r="AF405" s="365"/>
      <c r="AG405" s="365"/>
      <c r="AH405" s="365">
        <v>0</v>
      </c>
      <c r="AI405" s="365"/>
      <c r="AJ405" s="365"/>
      <c r="AK405" s="365"/>
      <c r="AL405" s="366">
        <f t="shared" si="328"/>
        <v>0</v>
      </c>
      <c r="AM405" s="365">
        <f t="shared" si="354"/>
        <v>0</v>
      </c>
      <c r="AN405" s="365">
        <f t="shared" si="365"/>
        <v>0</v>
      </c>
      <c r="AO405" s="365">
        <f t="shared" si="366"/>
        <v>0</v>
      </c>
      <c r="AP405" s="365">
        <f t="shared" si="367"/>
        <v>0</v>
      </c>
      <c r="AQ405" s="365">
        <f t="shared" si="368"/>
        <v>0</v>
      </c>
      <c r="AR405" s="365">
        <f t="shared" si="369"/>
        <v>0</v>
      </c>
      <c r="AS405" s="365">
        <f t="shared" si="370"/>
        <v>0</v>
      </c>
      <c r="AT405" s="365">
        <f t="shared" si="371"/>
        <v>0</v>
      </c>
      <c r="AU405" s="365">
        <f t="shared" si="372"/>
        <v>0</v>
      </c>
      <c r="AV405" s="365">
        <f t="shared" si="373"/>
        <v>0</v>
      </c>
      <c r="AW405" s="365">
        <f t="shared" si="374"/>
        <v>0</v>
      </c>
      <c r="AX405" s="365">
        <f t="shared" si="375"/>
        <v>0</v>
      </c>
      <c r="AY405" s="365">
        <f t="shared" si="376"/>
        <v>0</v>
      </c>
      <c r="AZ405" s="365">
        <f t="shared" si="377"/>
        <v>0</v>
      </c>
      <c r="BA405" s="365">
        <f t="shared" si="357"/>
        <v>0</v>
      </c>
      <c r="BB405" s="365">
        <f t="shared" si="378"/>
        <v>0</v>
      </c>
      <c r="BC405" s="365">
        <f t="shared" si="358"/>
        <v>0</v>
      </c>
      <c r="BD405" s="363"/>
    </row>
    <row r="406" ht="24" spans="1:56">
      <c r="A406" s="284" t="s">
        <v>665</v>
      </c>
      <c r="B406" s="284" t="s">
        <v>199</v>
      </c>
      <c r="C406" s="284" t="s">
        <v>713</v>
      </c>
      <c r="D406" s="284" t="s">
        <v>714</v>
      </c>
      <c r="E406" s="365">
        <f t="shared" si="350"/>
        <v>23.1</v>
      </c>
      <c r="F406" s="365">
        <f t="shared" si="351"/>
        <v>19.59</v>
      </c>
      <c r="G406" s="365">
        <v>13.75</v>
      </c>
      <c r="H406" s="365"/>
      <c r="I406" s="365">
        <v>5.84</v>
      </c>
      <c r="J406" s="365"/>
      <c r="K406" s="365"/>
      <c r="L406" s="365">
        <f t="shared" si="352"/>
        <v>3.51</v>
      </c>
      <c r="M406" s="365">
        <v>3.51</v>
      </c>
      <c r="N406" s="365"/>
      <c r="O406" s="365"/>
      <c r="P406" s="365"/>
      <c r="Q406" s="365"/>
      <c r="R406" s="365"/>
      <c r="S406" s="365"/>
      <c r="T406" s="366">
        <f t="shared" si="346"/>
        <v>21.26</v>
      </c>
      <c r="U406" s="366">
        <f t="shared" si="364"/>
        <v>9.84</v>
      </c>
      <c r="V406" s="366">
        <v>9.09</v>
      </c>
      <c r="W406" s="366">
        <v>0.75</v>
      </c>
      <c r="X406" s="366"/>
      <c r="Y406" s="366"/>
      <c r="Z406" s="366"/>
      <c r="AA406" s="365">
        <f t="shared" si="353"/>
        <v>11.42</v>
      </c>
      <c r="AB406" s="366">
        <v>1.51</v>
      </c>
      <c r="AC406" s="365"/>
      <c r="AD406" s="365"/>
      <c r="AE406" s="365"/>
      <c r="AF406" s="365"/>
      <c r="AG406" s="365"/>
      <c r="AH406" s="365">
        <v>0</v>
      </c>
      <c r="AI406" s="365">
        <v>8.91</v>
      </c>
      <c r="AJ406" s="365">
        <v>1</v>
      </c>
      <c r="AK406" s="365">
        <v>0</v>
      </c>
      <c r="AL406" s="366">
        <f t="shared" si="328"/>
        <v>44.36</v>
      </c>
      <c r="AM406" s="365">
        <f t="shared" si="354"/>
        <v>29.43</v>
      </c>
      <c r="AN406" s="365">
        <f t="shared" si="365"/>
        <v>22.84</v>
      </c>
      <c r="AO406" s="365">
        <f t="shared" si="366"/>
        <v>0.75</v>
      </c>
      <c r="AP406" s="365">
        <f t="shared" si="367"/>
        <v>5.84</v>
      </c>
      <c r="AQ406" s="365">
        <f t="shared" si="368"/>
        <v>0</v>
      </c>
      <c r="AR406" s="365">
        <f t="shared" si="369"/>
        <v>0</v>
      </c>
      <c r="AS406" s="365">
        <f t="shared" si="370"/>
        <v>14.93</v>
      </c>
      <c r="AT406" s="365">
        <f t="shared" si="371"/>
        <v>5.02</v>
      </c>
      <c r="AU406" s="365">
        <f t="shared" si="372"/>
        <v>0</v>
      </c>
      <c r="AV406" s="365">
        <f t="shared" si="373"/>
        <v>0</v>
      </c>
      <c r="AW406" s="365">
        <f t="shared" si="374"/>
        <v>0</v>
      </c>
      <c r="AX406" s="365">
        <f t="shared" si="375"/>
        <v>0</v>
      </c>
      <c r="AY406" s="365">
        <f t="shared" si="376"/>
        <v>0</v>
      </c>
      <c r="AZ406" s="365">
        <f t="shared" si="377"/>
        <v>0</v>
      </c>
      <c r="BA406" s="365">
        <f t="shared" si="357"/>
        <v>8.91</v>
      </c>
      <c r="BB406" s="365">
        <f t="shared" si="378"/>
        <v>1</v>
      </c>
      <c r="BC406" s="365">
        <f t="shared" si="358"/>
        <v>0</v>
      </c>
      <c r="BD406" s="363"/>
    </row>
    <row r="407" ht="24" spans="1:57">
      <c r="A407" s="284" t="s">
        <v>665</v>
      </c>
      <c r="B407" s="284" t="s">
        <v>199</v>
      </c>
      <c r="C407" s="284" t="s">
        <v>715</v>
      </c>
      <c r="D407" s="284" t="s">
        <v>714</v>
      </c>
      <c r="E407" s="365">
        <f t="shared" si="350"/>
        <v>110.16</v>
      </c>
      <c r="F407" s="365">
        <f t="shared" si="351"/>
        <v>51.48</v>
      </c>
      <c r="G407" s="365">
        <v>37.02</v>
      </c>
      <c r="H407" s="365"/>
      <c r="I407" s="365">
        <v>14.46</v>
      </c>
      <c r="J407" s="365"/>
      <c r="K407" s="365"/>
      <c r="L407" s="365">
        <f t="shared" si="352"/>
        <v>58.68</v>
      </c>
      <c r="M407" s="365">
        <v>8.68</v>
      </c>
      <c r="N407" s="365"/>
      <c r="O407" s="365"/>
      <c r="P407" s="365"/>
      <c r="Q407" s="365"/>
      <c r="R407" s="374">
        <v>0.5</v>
      </c>
      <c r="S407" s="365">
        <f>50-0.5</f>
        <v>49.5</v>
      </c>
      <c r="T407" s="366">
        <f t="shared" si="346"/>
        <v>-16.285</v>
      </c>
      <c r="U407" s="366">
        <f t="shared" si="364"/>
        <v>5.76</v>
      </c>
      <c r="V407" s="366">
        <v>4.26</v>
      </c>
      <c r="W407" s="366">
        <v>1.5</v>
      </c>
      <c r="X407" s="366"/>
      <c r="Y407" s="366"/>
      <c r="Z407" s="366"/>
      <c r="AA407" s="365">
        <f t="shared" si="353"/>
        <v>-22.045</v>
      </c>
      <c r="AB407" s="366">
        <v>0.29</v>
      </c>
      <c r="AC407" s="365"/>
      <c r="AD407" s="365"/>
      <c r="AE407" s="365"/>
      <c r="AF407" s="365"/>
      <c r="AG407" s="365">
        <v>0.3</v>
      </c>
      <c r="AH407" s="365">
        <v>-49.5</v>
      </c>
      <c r="AI407" s="365">
        <v>14.73</v>
      </c>
      <c r="AJ407" s="365">
        <v>7</v>
      </c>
      <c r="AK407" s="365">
        <v>5.135</v>
      </c>
      <c r="AL407" s="366">
        <f t="shared" si="328"/>
        <v>93.875</v>
      </c>
      <c r="AM407" s="365">
        <f t="shared" si="354"/>
        <v>57.24</v>
      </c>
      <c r="AN407" s="365">
        <f t="shared" si="365"/>
        <v>41.28</v>
      </c>
      <c r="AO407" s="365">
        <f t="shared" si="366"/>
        <v>1.5</v>
      </c>
      <c r="AP407" s="365">
        <f t="shared" si="367"/>
        <v>14.46</v>
      </c>
      <c r="AQ407" s="365">
        <f t="shared" si="368"/>
        <v>0</v>
      </c>
      <c r="AR407" s="365">
        <f t="shared" si="369"/>
        <v>0</v>
      </c>
      <c r="AS407" s="365">
        <f t="shared" si="370"/>
        <v>36.635</v>
      </c>
      <c r="AT407" s="365">
        <f t="shared" si="371"/>
        <v>8.97</v>
      </c>
      <c r="AU407" s="365">
        <f t="shared" si="372"/>
        <v>0</v>
      </c>
      <c r="AV407" s="365">
        <f t="shared" si="373"/>
        <v>0</v>
      </c>
      <c r="AW407" s="365">
        <f t="shared" si="374"/>
        <v>0</v>
      </c>
      <c r="AX407" s="365">
        <f t="shared" si="375"/>
        <v>0</v>
      </c>
      <c r="AY407" s="365">
        <f t="shared" si="376"/>
        <v>0.8</v>
      </c>
      <c r="AZ407" s="365">
        <f t="shared" si="377"/>
        <v>0</v>
      </c>
      <c r="BA407" s="365">
        <f t="shared" si="357"/>
        <v>14.73</v>
      </c>
      <c r="BB407" s="365">
        <f t="shared" si="378"/>
        <v>7</v>
      </c>
      <c r="BC407" s="365">
        <f t="shared" si="358"/>
        <v>5.135</v>
      </c>
      <c r="BD407" s="363"/>
      <c r="BE407">
        <v>5.135</v>
      </c>
    </row>
    <row r="408" ht="24" spans="1:57">
      <c r="A408" s="284" t="s">
        <v>665</v>
      </c>
      <c r="B408" s="284" t="s">
        <v>199</v>
      </c>
      <c r="C408" s="284" t="s">
        <v>716</v>
      </c>
      <c r="D408" s="284" t="s">
        <v>714</v>
      </c>
      <c r="E408" s="365">
        <f t="shared" si="350"/>
        <v>104.61</v>
      </c>
      <c r="F408" s="365">
        <f t="shared" si="351"/>
        <v>9.86</v>
      </c>
      <c r="G408" s="365">
        <v>6.86</v>
      </c>
      <c r="H408" s="365"/>
      <c r="I408" s="365">
        <v>2.84</v>
      </c>
      <c r="J408" s="365">
        <v>0.16</v>
      </c>
      <c r="K408" s="365"/>
      <c r="L408" s="365">
        <f t="shared" si="352"/>
        <v>94.75</v>
      </c>
      <c r="M408" s="366">
        <v>20.47</v>
      </c>
      <c r="N408" s="365"/>
      <c r="O408" s="365"/>
      <c r="P408" s="365">
        <v>74.28</v>
      </c>
      <c r="Q408" s="365"/>
      <c r="R408" s="365"/>
      <c r="S408" s="366"/>
      <c r="T408" s="366">
        <f t="shared" si="346"/>
        <v>210.53</v>
      </c>
      <c r="U408" s="366">
        <f t="shared" si="364"/>
        <v>142.79</v>
      </c>
      <c r="V408" s="366">
        <v>139.04</v>
      </c>
      <c r="W408" s="366">
        <v>3.75</v>
      </c>
      <c r="X408" s="366"/>
      <c r="Y408" s="366"/>
      <c r="Z408" s="366"/>
      <c r="AA408" s="365">
        <f t="shared" si="353"/>
        <v>67.74</v>
      </c>
      <c r="AB408" s="366">
        <v>3.7</v>
      </c>
      <c r="AC408" s="366"/>
      <c r="AD408" s="366"/>
      <c r="AE408" s="366">
        <v>-4.95</v>
      </c>
      <c r="AF408" s="366"/>
      <c r="AG408" s="366">
        <v>0.3</v>
      </c>
      <c r="AH408" s="365">
        <v>0</v>
      </c>
      <c r="AI408" s="366">
        <v>43.19</v>
      </c>
      <c r="AJ408" s="366">
        <v>13</v>
      </c>
      <c r="AK408" s="365">
        <v>12.5</v>
      </c>
      <c r="AL408" s="366">
        <f t="shared" si="328"/>
        <v>315.14</v>
      </c>
      <c r="AM408" s="365">
        <f t="shared" si="354"/>
        <v>152.65</v>
      </c>
      <c r="AN408" s="365">
        <f t="shared" si="365"/>
        <v>145.9</v>
      </c>
      <c r="AO408" s="365">
        <f t="shared" si="366"/>
        <v>3.75</v>
      </c>
      <c r="AP408" s="365">
        <f t="shared" si="367"/>
        <v>2.84</v>
      </c>
      <c r="AQ408" s="365">
        <f t="shared" si="368"/>
        <v>0.16</v>
      </c>
      <c r="AR408" s="365">
        <f t="shared" si="369"/>
        <v>0</v>
      </c>
      <c r="AS408" s="365">
        <f t="shared" si="370"/>
        <v>162.49</v>
      </c>
      <c r="AT408" s="365">
        <f t="shared" si="371"/>
        <v>24.17</v>
      </c>
      <c r="AU408" s="365">
        <f t="shared" si="372"/>
        <v>0</v>
      </c>
      <c r="AV408" s="365">
        <f t="shared" si="373"/>
        <v>0</v>
      </c>
      <c r="AW408" s="365">
        <f t="shared" si="374"/>
        <v>69.33</v>
      </c>
      <c r="AX408" s="365">
        <f t="shared" si="375"/>
        <v>0</v>
      </c>
      <c r="AY408" s="365">
        <f t="shared" si="376"/>
        <v>0.3</v>
      </c>
      <c r="AZ408" s="365">
        <f t="shared" si="377"/>
        <v>0</v>
      </c>
      <c r="BA408" s="365">
        <f t="shared" si="357"/>
        <v>43.19</v>
      </c>
      <c r="BB408" s="365">
        <f t="shared" si="378"/>
        <v>13</v>
      </c>
      <c r="BC408" s="365">
        <f t="shared" si="358"/>
        <v>12.5</v>
      </c>
      <c r="BD408" s="363"/>
      <c r="BE408">
        <v>12.5</v>
      </c>
    </row>
    <row r="409" ht="24" spans="1:57">
      <c r="A409" s="284" t="s">
        <v>665</v>
      </c>
      <c r="B409" s="284" t="s">
        <v>199</v>
      </c>
      <c r="C409" s="284" t="s">
        <v>717</v>
      </c>
      <c r="D409" s="284" t="s">
        <v>714</v>
      </c>
      <c r="E409" s="365">
        <f t="shared" si="350"/>
        <v>78.28</v>
      </c>
      <c r="F409" s="365">
        <f t="shared" si="351"/>
        <v>35.55</v>
      </c>
      <c r="G409" s="365">
        <v>13.5</v>
      </c>
      <c r="H409" s="365">
        <v>13.21</v>
      </c>
      <c r="I409" s="365">
        <v>8.84</v>
      </c>
      <c r="J409" s="365"/>
      <c r="K409" s="365"/>
      <c r="L409" s="365">
        <f t="shared" si="352"/>
        <v>42.73</v>
      </c>
      <c r="M409" s="366">
        <v>5.3</v>
      </c>
      <c r="N409" s="365"/>
      <c r="O409" s="365"/>
      <c r="P409" s="365">
        <v>7.43</v>
      </c>
      <c r="Q409" s="365"/>
      <c r="R409" s="365"/>
      <c r="S409" s="365">
        <v>30</v>
      </c>
      <c r="T409" s="366">
        <f t="shared" si="346"/>
        <v>14.66</v>
      </c>
      <c r="U409" s="366">
        <f t="shared" si="364"/>
        <v>24.03</v>
      </c>
      <c r="V409" s="366">
        <v>23.13</v>
      </c>
      <c r="W409" s="366">
        <v>0.9</v>
      </c>
      <c r="X409" s="366"/>
      <c r="Y409" s="366"/>
      <c r="Z409" s="366"/>
      <c r="AA409" s="365">
        <f t="shared" si="353"/>
        <v>-9.37</v>
      </c>
      <c r="AB409" s="366">
        <v>2.99</v>
      </c>
      <c r="AC409" s="365"/>
      <c r="AD409" s="365"/>
      <c r="AE409" s="365"/>
      <c r="AF409" s="365"/>
      <c r="AG409" s="365"/>
      <c r="AH409" s="365">
        <v>-30</v>
      </c>
      <c r="AI409" s="365">
        <v>14.64</v>
      </c>
      <c r="AJ409" s="365"/>
      <c r="AK409" s="365">
        <v>3</v>
      </c>
      <c r="AL409" s="366">
        <f t="shared" si="328"/>
        <v>92.94</v>
      </c>
      <c r="AM409" s="365">
        <f t="shared" si="354"/>
        <v>59.58</v>
      </c>
      <c r="AN409" s="365">
        <f t="shared" si="365"/>
        <v>36.63</v>
      </c>
      <c r="AO409" s="365">
        <f t="shared" si="366"/>
        <v>14.11</v>
      </c>
      <c r="AP409" s="365">
        <f t="shared" si="367"/>
        <v>8.84</v>
      </c>
      <c r="AQ409" s="365">
        <f t="shared" si="368"/>
        <v>0</v>
      </c>
      <c r="AR409" s="365">
        <f t="shared" si="369"/>
        <v>0</v>
      </c>
      <c r="AS409" s="365">
        <f t="shared" si="370"/>
        <v>33.36</v>
      </c>
      <c r="AT409" s="365">
        <f t="shared" si="371"/>
        <v>8.29</v>
      </c>
      <c r="AU409" s="365">
        <f t="shared" si="372"/>
        <v>0</v>
      </c>
      <c r="AV409" s="365">
        <f t="shared" si="373"/>
        <v>0</v>
      </c>
      <c r="AW409" s="365">
        <f t="shared" si="374"/>
        <v>7.43</v>
      </c>
      <c r="AX409" s="365">
        <f t="shared" si="375"/>
        <v>0</v>
      </c>
      <c r="AY409" s="365">
        <f t="shared" si="376"/>
        <v>0</v>
      </c>
      <c r="AZ409" s="365">
        <f t="shared" si="377"/>
        <v>0</v>
      </c>
      <c r="BA409" s="365">
        <f t="shared" si="357"/>
        <v>14.64</v>
      </c>
      <c r="BB409" s="365">
        <f t="shared" si="378"/>
        <v>0</v>
      </c>
      <c r="BC409" s="365">
        <f t="shared" si="358"/>
        <v>3</v>
      </c>
      <c r="BD409" s="363"/>
      <c r="BE409">
        <v>3</v>
      </c>
    </row>
    <row r="410" ht="24" spans="1:56">
      <c r="A410" s="284" t="s">
        <v>665</v>
      </c>
      <c r="B410" s="284" t="s">
        <v>199</v>
      </c>
      <c r="C410" s="284" t="s">
        <v>718</v>
      </c>
      <c r="D410" s="284" t="s">
        <v>714</v>
      </c>
      <c r="E410" s="365">
        <f t="shared" si="350"/>
        <v>41.71</v>
      </c>
      <c r="F410" s="365">
        <f t="shared" si="351"/>
        <v>35.81</v>
      </c>
      <c r="G410" s="365">
        <v>25.98</v>
      </c>
      <c r="H410" s="365"/>
      <c r="I410" s="365">
        <v>9.83</v>
      </c>
      <c r="J410" s="365"/>
      <c r="K410" s="365"/>
      <c r="L410" s="365">
        <f t="shared" si="352"/>
        <v>5.9</v>
      </c>
      <c r="M410" s="366">
        <v>5.9</v>
      </c>
      <c r="N410" s="365"/>
      <c r="O410" s="365"/>
      <c r="P410" s="365"/>
      <c r="Q410" s="365"/>
      <c r="R410" s="365"/>
      <c r="S410" s="365"/>
      <c r="T410" s="366">
        <f t="shared" si="346"/>
        <v>20.93</v>
      </c>
      <c r="U410" s="366">
        <f t="shared" si="364"/>
        <v>5.27</v>
      </c>
      <c r="V410" s="366">
        <v>4.22</v>
      </c>
      <c r="W410" s="366">
        <v>1.05</v>
      </c>
      <c r="X410" s="366"/>
      <c r="Y410" s="366"/>
      <c r="Z410" s="366"/>
      <c r="AA410" s="365">
        <f t="shared" si="353"/>
        <v>15.66</v>
      </c>
      <c r="AB410" s="366">
        <v>0.43</v>
      </c>
      <c r="AC410" s="365"/>
      <c r="AD410" s="365"/>
      <c r="AE410" s="365"/>
      <c r="AF410" s="365"/>
      <c r="AG410" s="365"/>
      <c r="AH410" s="365">
        <v>0</v>
      </c>
      <c r="AI410" s="365">
        <v>10.23</v>
      </c>
      <c r="AJ410" s="365">
        <v>5</v>
      </c>
      <c r="AK410" s="365">
        <v>0</v>
      </c>
      <c r="AL410" s="366">
        <f t="shared" si="328"/>
        <v>62.64</v>
      </c>
      <c r="AM410" s="365">
        <f t="shared" si="354"/>
        <v>41.08</v>
      </c>
      <c r="AN410" s="365">
        <f t="shared" si="365"/>
        <v>30.2</v>
      </c>
      <c r="AO410" s="365">
        <f t="shared" si="366"/>
        <v>1.05</v>
      </c>
      <c r="AP410" s="365">
        <f t="shared" si="367"/>
        <v>9.83</v>
      </c>
      <c r="AQ410" s="365">
        <f t="shared" si="368"/>
        <v>0</v>
      </c>
      <c r="AR410" s="365">
        <f t="shared" si="369"/>
        <v>0</v>
      </c>
      <c r="AS410" s="365">
        <f t="shared" si="370"/>
        <v>21.56</v>
      </c>
      <c r="AT410" s="365">
        <f t="shared" si="371"/>
        <v>6.33</v>
      </c>
      <c r="AU410" s="365">
        <f t="shared" si="372"/>
        <v>0</v>
      </c>
      <c r="AV410" s="365">
        <f t="shared" si="373"/>
        <v>0</v>
      </c>
      <c r="AW410" s="365">
        <f t="shared" si="374"/>
        <v>0</v>
      </c>
      <c r="AX410" s="365">
        <f t="shared" si="375"/>
        <v>0</v>
      </c>
      <c r="AY410" s="365">
        <f t="shared" si="376"/>
        <v>0</v>
      </c>
      <c r="AZ410" s="365">
        <f t="shared" si="377"/>
        <v>0</v>
      </c>
      <c r="BA410" s="365">
        <f t="shared" si="357"/>
        <v>10.23</v>
      </c>
      <c r="BB410" s="365">
        <f t="shared" si="378"/>
        <v>5</v>
      </c>
      <c r="BC410" s="365">
        <f t="shared" si="358"/>
        <v>0</v>
      </c>
      <c r="BD410" s="363"/>
    </row>
    <row r="411" ht="24" spans="1:56">
      <c r="A411" s="284" t="s">
        <v>665</v>
      </c>
      <c r="B411" s="284" t="s">
        <v>199</v>
      </c>
      <c r="C411" s="284" t="s">
        <v>719</v>
      </c>
      <c r="D411" s="284" t="s">
        <v>714</v>
      </c>
      <c r="E411" s="365">
        <f t="shared" si="350"/>
        <v>68.98</v>
      </c>
      <c r="F411" s="365">
        <f t="shared" si="351"/>
        <v>59.14</v>
      </c>
      <c r="G411" s="365">
        <v>41.64</v>
      </c>
      <c r="H411" s="365"/>
      <c r="I411" s="365">
        <v>17.5</v>
      </c>
      <c r="J411" s="365"/>
      <c r="K411" s="365"/>
      <c r="L411" s="365">
        <f t="shared" si="352"/>
        <v>9.84</v>
      </c>
      <c r="M411" s="366">
        <v>9.84</v>
      </c>
      <c r="N411" s="365"/>
      <c r="O411" s="365"/>
      <c r="P411" s="365"/>
      <c r="Q411" s="365"/>
      <c r="R411" s="365"/>
      <c r="S411" s="365"/>
      <c r="T411" s="366">
        <f t="shared" si="346"/>
        <v>32.84</v>
      </c>
      <c r="U411" s="366">
        <f t="shared" si="364"/>
        <v>10.14</v>
      </c>
      <c r="V411" s="366">
        <v>8.41</v>
      </c>
      <c r="W411" s="366">
        <v>1.73</v>
      </c>
      <c r="X411" s="366"/>
      <c r="Y411" s="366"/>
      <c r="Z411" s="366"/>
      <c r="AA411" s="365">
        <f t="shared" si="353"/>
        <v>22.7</v>
      </c>
      <c r="AB411" s="366">
        <v>1.32</v>
      </c>
      <c r="AC411" s="365"/>
      <c r="AD411" s="365"/>
      <c r="AE411" s="365"/>
      <c r="AF411" s="365"/>
      <c r="AG411" s="365"/>
      <c r="AH411" s="365">
        <v>0</v>
      </c>
      <c r="AI411" s="365">
        <v>15.38</v>
      </c>
      <c r="AJ411" s="365">
        <v>6</v>
      </c>
      <c r="AK411" s="365">
        <v>0</v>
      </c>
      <c r="AL411" s="366">
        <f t="shared" si="328"/>
        <v>101.82</v>
      </c>
      <c r="AM411" s="365">
        <f t="shared" si="354"/>
        <v>69.28</v>
      </c>
      <c r="AN411" s="365">
        <f t="shared" si="365"/>
        <v>50.05</v>
      </c>
      <c r="AO411" s="365">
        <f t="shared" si="366"/>
        <v>1.73</v>
      </c>
      <c r="AP411" s="365">
        <f t="shared" si="367"/>
        <v>17.5</v>
      </c>
      <c r="AQ411" s="365">
        <f t="shared" si="368"/>
        <v>0</v>
      </c>
      <c r="AR411" s="365">
        <f t="shared" si="369"/>
        <v>0</v>
      </c>
      <c r="AS411" s="365">
        <f t="shared" si="370"/>
        <v>32.54</v>
      </c>
      <c r="AT411" s="365">
        <f t="shared" si="371"/>
        <v>11.16</v>
      </c>
      <c r="AU411" s="365">
        <f t="shared" si="372"/>
        <v>0</v>
      </c>
      <c r="AV411" s="365">
        <f t="shared" si="373"/>
        <v>0</v>
      </c>
      <c r="AW411" s="365">
        <f t="shared" si="374"/>
        <v>0</v>
      </c>
      <c r="AX411" s="365">
        <f t="shared" si="375"/>
        <v>0</v>
      </c>
      <c r="AY411" s="365">
        <f t="shared" si="376"/>
        <v>0</v>
      </c>
      <c r="AZ411" s="365">
        <f t="shared" si="377"/>
        <v>0</v>
      </c>
      <c r="BA411" s="365">
        <f t="shared" si="357"/>
        <v>15.38</v>
      </c>
      <c r="BB411" s="365">
        <f t="shared" si="378"/>
        <v>6</v>
      </c>
      <c r="BC411" s="365">
        <f t="shared" si="358"/>
        <v>0</v>
      </c>
      <c r="BD411" s="363"/>
    </row>
    <row r="412" ht="36" spans="1:57">
      <c r="A412" s="284" t="s">
        <v>665</v>
      </c>
      <c r="B412" s="284" t="s">
        <v>199</v>
      </c>
      <c r="C412" s="284" t="s">
        <v>808</v>
      </c>
      <c r="D412" s="284" t="s">
        <v>721</v>
      </c>
      <c r="E412" s="365">
        <f t="shared" si="350"/>
        <v>272.88</v>
      </c>
      <c r="F412" s="365">
        <f t="shared" si="351"/>
        <v>128.27</v>
      </c>
      <c r="G412" s="365">
        <v>92.59</v>
      </c>
      <c r="H412" s="365"/>
      <c r="I412" s="365">
        <v>35.68</v>
      </c>
      <c r="J412" s="365"/>
      <c r="K412" s="365"/>
      <c r="L412" s="365">
        <f t="shared" si="352"/>
        <v>144.61</v>
      </c>
      <c r="M412" s="366">
        <v>21.41</v>
      </c>
      <c r="N412" s="365"/>
      <c r="O412" s="365"/>
      <c r="P412" s="365"/>
      <c r="Q412" s="365"/>
      <c r="R412" s="374">
        <v>9.2</v>
      </c>
      <c r="S412" s="365">
        <v>114</v>
      </c>
      <c r="T412" s="366">
        <f t="shared" si="346"/>
        <v>-94.19</v>
      </c>
      <c r="U412" s="366">
        <f t="shared" si="364"/>
        <v>-31.04</v>
      </c>
      <c r="V412" s="366">
        <v>-34.49</v>
      </c>
      <c r="W412" s="366">
        <v>3.45</v>
      </c>
      <c r="X412" s="366"/>
      <c r="Y412" s="366"/>
      <c r="Z412" s="366"/>
      <c r="AA412" s="365">
        <f t="shared" si="353"/>
        <v>-63.15</v>
      </c>
      <c r="AB412" s="366">
        <v>-6.69</v>
      </c>
      <c r="AC412" s="365"/>
      <c r="AD412" s="365"/>
      <c r="AE412" s="365"/>
      <c r="AF412" s="365"/>
      <c r="AG412" s="365">
        <v>0.15</v>
      </c>
      <c r="AH412" s="365">
        <v>-114</v>
      </c>
      <c r="AI412" s="365">
        <v>21.21</v>
      </c>
      <c r="AJ412" s="365">
        <v>24</v>
      </c>
      <c r="AK412" s="365">
        <v>12.18</v>
      </c>
      <c r="AL412" s="366">
        <f t="shared" si="328"/>
        <v>178.69</v>
      </c>
      <c r="AM412" s="365">
        <f t="shared" si="354"/>
        <v>97.23</v>
      </c>
      <c r="AN412" s="365">
        <f t="shared" si="365"/>
        <v>58.1</v>
      </c>
      <c r="AO412" s="365">
        <f t="shared" si="366"/>
        <v>3.45</v>
      </c>
      <c r="AP412" s="365">
        <f t="shared" si="367"/>
        <v>35.68</v>
      </c>
      <c r="AQ412" s="365">
        <f t="shared" si="368"/>
        <v>0</v>
      </c>
      <c r="AR412" s="365">
        <f t="shared" si="369"/>
        <v>0</v>
      </c>
      <c r="AS412" s="365">
        <f t="shared" si="370"/>
        <v>81.46</v>
      </c>
      <c r="AT412" s="365">
        <f t="shared" si="371"/>
        <v>14.72</v>
      </c>
      <c r="AU412" s="365">
        <f t="shared" si="372"/>
        <v>0</v>
      </c>
      <c r="AV412" s="365">
        <f t="shared" si="373"/>
        <v>0</v>
      </c>
      <c r="AW412" s="365">
        <f t="shared" si="374"/>
        <v>0</v>
      </c>
      <c r="AX412" s="365">
        <f t="shared" si="375"/>
        <v>0</v>
      </c>
      <c r="AY412" s="365">
        <f t="shared" si="376"/>
        <v>9.35</v>
      </c>
      <c r="AZ412" s="365">
        <f t="shared" si="377"/>
        <v>0</v>
      </c>
      <c r="BA412" s="365">
        <f t="shared" si="357"/>
        <v>21.21</v>
      </c>
      <c r="BB412" s="365">
        <f t="shared" si="378"/>
        <v>24</v>
      </c>
      <c r="BC412" s="365">
        <f t="shared" si="358"/>
        <v>12.18</v>
      </c>
      <c r="BD412" s="363"/>
      <c r="BE412">
        <v>12.18</v>
      </c>
    </row>
    <row r="413" ht="36" spans="1:56">
      <c r="A413" s="284" t="s">
        <v>640</v>
      </c>
      <c r="B413" s="284" t="s">
        <v>196</v>
      </c>
      <c r="C413" s="284" t="s">
        <v>722</v>
      </c>
      <c r="D413" s="284" t="s">
        <v>723</v>
      </c>
      <c r="E413" s="365">
        <f t="shared" si="350"/>
        <v>0</v>
      </c>
      <c r="F413" s="365">
        <f t="shared" si="351"/>
        <v>0</v>
      </c>
      <c r="G413" s="365"/>
      <c r="H413" s="365"/>
      <c r="I413" s="365"/>
      <c r="J413" s="365"/>
      <c r="K413" s="365"/>
      <c r="L413" s="365">
        <f t="shared" si="352"/>
        <v>0</v>
      </c>
      <c r="M413" s="366">
        <v>0</v>
      </c>
      <c r="N413" s="365"/>
      <c r="O413" s="365"/>
      <c r="P413" s="365"/>
      <c r="Q413" s="365"/>
      <c r="R413" s="365"/>
      <c r="S413" s="365"/>
      <c r="T413" s="366">
        <f t="shared" si="346"/>
        <v>15.59</v>
      </c>
      <c r="U413" s="366">
        <f t="shared" si="364"/>
        <v>0</v>
      </c>
      <c r="V413" s="366"/>
      <c r="W413" s="366"/>
      <c r="X413" s="366"/>
      <c r="Y413" s="366"/>
      <c r="Z413" s="366"/>
      <c r="AA413" s="365">
        <f t="shared" si="353"/>
        <v>15.59</v>
      </c>
      <c r="AB413" s="365">
        <v>15.59</v>
      </c>
      <c r="AC413" s="365"/>
      <c r="AD413" s="365"/>
      <c r="AE413" s="365"/>
      <c r="AF413" s="365"/>
      <c r="AG413" s="365"/>
      <c r="AH413" s="365">
        <v>0</v>
      </c>
      <c r="AI413" s="365"/>
      <c r="AJ413" s="365"/>
      <c r="AK413" s="365"/>
      <c r="AL413" s="366">
        <f t="shared" si="328"/>
        <v>15.59</v>
      </c>
      <c r="AM413" s="365">
        <f t="shared" si="354"/>
        <v>0</v>
      </c>
      <c r="AN413" s="365">
        <f t="shared" si="365"/>
        <v>0</v>
      </c>
      <c r="AO413" s="365">
        <f t="shared" si="366"/>
        <v>0</v>
      </c>
      <c r="AP413" s="365">
        <f t="shared" si="367"/>
        <v>0</v>
      </c>
      <c r="AQ413" s="365">
        <f t="shared" si="368"/>
        <v>0</v>
      </c>
      <c r="AR413" s="365">
        <f t="shared" si="369"/>
        <v>0</v>
      </c>
      <c r="AS413" s="365">
        <f t="shared" si="370"/>
        <v>15.59</v>
      </c>
      <c r="AT413" s="365">
        <f t="shared" si="371"/>
        <v>15.59</v>
      </c>
      <c r="AU413" s="365">
        <f t="shared" si="372"/>
        <v>0</v>
      </c>
      <c r="AV413" s="365">
        <f t="shared" si="373"/>
        <v>0</v>
      </c>
      <c r="AW413" s="365">
        <f t="shared" si="374"/>
        <v>0</v>
      </c>
      <c r="AX413" s="365">
        <f t="shared" si="375"/>
        <v>0</v>
      </c>
      <c r="AY413" s="365">
        <f t="shared" si="376"/>
        <v>0</v>
      </c>
      <c r="AZ413" s="365">
        <f t="shared" si="377"/>
        <v>0</v>
      </c>
      <c r="BA413" s="365">
        <f t="shared" si="357"/>
        <v>0</v>
      </c>
      <c r="BB413" s="365">
        <f t="shared" si="378"/>
        <v>0</v>
      </c>
      <c r="BC413" s="365">
        <f t="shared" si="358"/>
        <v>0</v>
      </c>
      <c r="BD413" s="363"/>
    </row>
    <row r="414" s="311" customFormat="1" ht="21" customHeight="1" spans="1:57">
      <c r="A414" s="328"/>
      <c r="B414" s="329" t="s">
        <v>756</v>
      </c>
      <c r="C414" s="329" t="s">
        <v>148</v>
      </c>
      <c r="D414" s="329">
        <v>224</v>
      </c>
      <c r="E414" s="364">
        <f t="shared" ref="E414:S414" si="379">SUM(E415:E424)</f>
        <v>327.318</v>
      </c>
      <c r="F414" s="364">
        <f t="shared" si="379"/>
        <v>149.57</v>
      </c>
      <c r="G414" s="364">
        <f t="shared" si="379"/>
        <v>108.31</v>
      </c>
      <c r="H414" s="364">
        <f t="shared" si="379"/>
        <v>0</v>
      </c>
      <c r="I414" s="364">
        <f t="shared" si="379"/>
        <v>41.26</v>
      </c>
      <c r="J414" s="364">
        <f t="shared" si="379"/>
        <v>0</v>
      </c>
      <c r="K414" s="364">
        <f t="shared" si="379"/>
        <v>0</v>
      </c>
      <c r="L414" s="364">
        <f t="shared" si="379"/>
        <v>177.748</v>
      </c>
      <c r="M414" s="364">
        <f t="shared" si="379"/>
        <v>24.75</v>
      </c>
      <c r="N414" s="364">
        <f t="shared" si="379"/>
        <v>0</v>
      </c>
      <c r="O414" s="364">
        <f t="shared" si="379"/>
        <v>0</v>
      </c>
      <c r="P414" s="364">
        <f t="shared" si="379"/>
        <v>0</v>
      </c>
      <c r="Q414" s="364">
        <f t="shared" si="379"/>
        <v>0</v>
      </c>
      <c r="R414" s="364">
        <f t="shared" si="379"/>
        <v>2.998</v>
      </c>
      <c r="S414" s="364">
        <f t="shared" si="379"/>
        <v>150</v>
      </c>
      <c r="T414" s="364">
        <f t="shared" si="346"/>
        <v>-53.21</v>
      </c>
      <c r="U414" s="364">
        <f t="shared" ref="U414:AK414" si="380">SUM(U415:U424)</f>
        <v>14.09</v>
      </c>
      <c r="V414" s="364">
        <f t="shared" si="380"/>
        <v>14.21</v>
      </c>
      <c r="W414" s="364">
        <f t="shared" si="380"/>
        <v>0</v>
      </c>
      <c r="X414" s="364">
        <f t="shared" si="380"/>
        <v>-0.12</v>
      </c>
      <c r="Y414" s="364">
        <f t="shared" si="380"/>
        <v>0</v>
      </c>
      <c r="Z414" s="364">
        <f t="shared" si="380"/>
        <v>0</v>
      </c>
      <c r="AA414" s="364">
        <f t="shared" si="380"/>
        <v>-67.3</v>
      </c>
      <c r="AB414" s="364">
        <f t="shared" si="380"/>
        <v>0.06</v>
      </c>
      <c r="AC414" s="364">
        <f t="shared" si="380"/>
        <v>0</v>
      </c>
      <c r="AD414" s="364">
        <f t="shared" si="380"/>
        <v>0</v>
      </c>
      <c r="AE414" s="364">
        <f t="shared" si="380"/>
        <v>7.95</v>
      </c>
      <c r="AF414" s="364">
        <f t="shared" si="380"/>
        <v>0</v>
      </c>
      <c r="AG414" s="364">
        <f t="shared" si="380"/>
        <v>0.45</v>
      </c>
      <c r="AH414" s="364">
        <f t="shared" si="380"/>
        <v>-150</v>
      </c>
      <c r="AI414" s="364">
        <f t="shared" si="380"/>
        <v>33.24</v>
      </c>
      <c r="AJ414" s="364">
        <f t="shared" si="380"/>
        <v>27</v>
      </c>
      <c r="AK414" s="364">
        <f t="shared" si="380"/>
        <v>14</v>
      </c>
      <c r="AL414" s="364">
        <f t="shared" si="328"/>
        <v>274.108</v>
      </c>
      <c r="AM414" s="364">
        <f t="shared" ref="AM414:BC414" si="381">SUM(AM415:AM424)</f>
        <v>163.66</v>
      </c>
      <c r="AN414" s="364">
        <f t="shared" si="381"/>
        <v>122.52</v>
      </c>
      <c r="AO414" s="364">
        <f t="shared" si="381"/>
        <v>0</v>
      </c>
      <c r="AP414" s="364">
        <f t="shared" si="381"/>
        <v>41.14</v>
      </c>
      <c r="AQ414" s="364">
        <f t="shared" si="381"/>
        <v>0</v>
      </c>
      <c r="AR414" s="364">
        <f t="shared" si="381"/>
        <v>0</v>
      </c>
      <c r="AS414" s="364">
        <f t="shared" si="381"/>
        <v>110.448</v>
      </c>
      <c r="AT414" s="364">
        <f t="shared" si="381"/>
        <v>24.81</v>
      </c>
      <c r="AU414" s="364">
        <f t="shared" si="381"/>
        <v>0</v>
      </c>
      <c r="AV414" s="364">
        <f t="shared" si="381"/>
        <v>0</v>
      </c>
      <c r="AW414" s="364">
        <f t="shared" si="381"/>
        <v>7.95</v>
      </c>
      <c r="AX414" s="364">
        <f t="shared" si="381"/>
        <v>0</v>
      </c>
      <c r="AY414" s="364">
        <f t="shared" si="381"/>
        <v>3.448</v>
      </c>
      <c r="AZ414" s="364">
        <f t="shared" si="381"/>
        <v>0</v>
      </c>
      <c r="BA414" s="364">
        <f t="shared" si="381"/>
        <v>33.24</v>
      </c>
      <c r="BB414" s="364">
        <f t="shared" si="381"/>
        <v>27</v>
      </c>
      <c r="BC414" s="364">
        <f t="shared" si="381"/>
        <v>14</v>
      </c>
      <c r="BD414" s="372"/>
      <c r="BE414" s="373"/>
    </row>
    <row r="415" ht="24" spans="1:57">
      <c r="A415" s="284" t="s">
        <v>290</v>
      </c>
      <c r="B415" s="284" t="s">
        <v>196</v>
      </c>
      <c r="C415" s="284" t="s">
        <v>724</v>
      </c>
      <c r="D415" s="284" t="s">
        <v>725</v>
      </c>
      <c r="E415" s="365">
        <f t="shared" ref="E415:E424" si="382">F415+L415</f>
        <v>0</v>
      </c>
      <c r="F415" s="365">
        <f t="shared" ref="F415:F424" si="383">SUM(G415:K415)</f>
        <v>0</v>
      </c>
      <c r="G415" s="365"/>
      <c r="H415" s="365"/>
      <c r="I415" s="365"/>
      <c r="J415" s="365"/>
      <c r="K415" s="365"/>
      <c r="L415" s="365">
        <f t="shared" ref="L415:L424" si="384">SUM(M415:S415)</f>
        <v>0</v>
      </c>
      <c r="M415" s="365"/>
      <c r="N415" s="365"/>
      <c r="O415" s="365"/>
      <c r="P415" s="365"/>
      <c r="Q415" s="365"/>
      <c r="R415" s="365"/>
      <c r="S415" s="365"/>
      <c r="T415" s="365">
        <f t="shared" si="346"/>
        <v>0</v>
      </c>
      <c r="U415" s="365">
        <f t="shared" ref="U415:U424" si="385">SUM(V415:Z415)</f>
        <v>0</v>
      </c>
      <c r="V415" s="365"/>
      <c r="W415" s="365"/>
      <c r="X415" s="365"/>
      <c r="Y415" s="365"/>
      <c r="Z415" s="365"/>
      <c r="AA415" s="365">
        <f t="shared" ref="AA415:AA424" si="386">SUM(AB415:AK415)</f>
        <v>0</v>
      </c>
      <c r="AB415" s="365"/>
      <c r="AC415" s="365"/>
      <c r="AD415" s="365"/>
      <c r="AE415" s="365"/>
      <c r="AF415" s="365"/>
      <c r="AG415" s="365"/>
      <c r="AH415" s="365">
        <v>0</v>
      </c>
      <c r="AI415" s="365"/>
      <c r="AJ415" s="365"/>
      <c r="AK415" s="365"/>
      <c r="AL415" s="365">
        <f t="shared" si="328"/>
        <v>0</v>
      </c>
      <c r="AM415" s="365">
        <f t="shared" ref="AM415:AM424" si="387">SUM(AN415:AR415)</f>
        <v>0</v>
      </c>
      <c r="AN415" s="365">
        <f t="shared" ref="AN415:AN424" si="388">G415+V415</f>
        <v>0</v>
      </c>
      <c r="AO415" s="365">
        <f t="shared" ref="AO415:AO424" si="389">H415+W415</f>
        <v>0</v>
      </c>
      <c r="AP415" s="365">
        <f t="shared" ref="AP415:AP424" si="390">I415+X415</f>
        <v>0</v>
      </c>
      <c r="AQ415" s="365">
        <f t="shared" ref="AQ415:AQ424" si="391">J415+Y415</f>
        <v>0</v>
      </c>
      <c r="AR415" s="365">
        <f t="shared" ref="AR415:AR424" si="392">K415+Z415</f>
        <v>0</v>
      </c>
      <c r="AS415" s="365">
        <f t="shared" ref="AS415:AS424" si="393">SUM(AT415:BC415)</f>
        <v>0</v>
      </c>
      <c r="AT415" s="365">
        <f t="shared" ref="AT415:AT424" si="394">M415+AB415</f>
        <v>0</v>
      </c>
      <c r="AU415" s="365">
        <f t="shared" ref="AU415:AU424" si="395">N415+AC415</f>
        <v>0</v>
      </c>
      <c r="AV415" s="365">
        <f t="shared" ref="AV415:AV424" si="396">O415+AD415</f>
        <v>0</v>
      </c>
      <c r="AW415" s="365">
        <f t="shared" ref="AW415:AW424" si="397">P415+AE415</f>
        <v>0</v>
      </c>
      <c r="AX415" s="365">
        <f t="shared" ref="AX415:AX424" si="398">Q415+AF415</f>
        <v>0</v>
      </c>
      <c r="AY415" s="365">
        <f t="shared" ref="AY415:AY424" si="399">R415+AG415</f>
        <v>0</v>
      </c>
      <c r="AZ415" s="365">
        <f t="shared" ref="AZ415:AZ424" si="400">S415+AH415</f>
        <v>0</v>
      </c>
      <c r="BA415" s="365">
        <f t="shared" ref="BA415:BA424" si="401">AI415</f>
        <v>0</v>
      </c>
      <c r="BB415" s="365">
        <f t="shared" ref="BB415:BB424" si="402">AJ415</f>
        <v>0</v>
      </c>
      <c r="BC415" s="365">
        <f t="shared" ref="BC415:BC424" si="403">AK415</f>
        <v>0</v>
      </c>
      <c r="BD415" s="363"/>
      <c r="BE415">
        <v>5.4384</v>
      </c>
    </row>
    <row r="416" ht="24" spans="1:57">
      <c r="A416" s="284" t="s">
        <v>290</v>
      </c>
      <c r="B416" s="284" t="s">
        <v>196</v>
      </c>
      <c r="C416" s="284" t="s">
        <v>726</v>
      </c>
      <c r="D416" s="284" t="s">
        <v>725</v>
      </c>
      <c r="E416" s="365">
        <f t="shared" si="382"/>
        <v>0</v>
      </c>
      <c r="F416" s="365">
        <f t="shared" si="383"/>
        <v>0</v>
      </c>
      <c r="G416" s="365"/>
      <c r="H416" s="365"/>
      <c r="I416" s="365"/>
      <c r="J416" s="365"/>
      <c r="K416" s="365"/>
      <c r="L416" s="365">
        <f t="shared" si="384"/>
        <v>0</v>
      </c>
      <c r="M416" s="365"/>
      <c r="N416" s="365"/>
      <c r="O416" s="365"/>
      <c r="P416" s="365"/>
      <c r="Q416" s="365"/>
      <c r="R416" s="365"/>
      <c r="S416" s="365"/>
      <c r="T416" s="365">
        <f t="shared" si="346"/>
        <v>0</v>
      </c>
      <c r="U416" s="365">
        <f t="shared" si="385"/>
        <v>0</v>
      </c>
      <c r="V416" s="365"/>
      <c r="W416" s="365"/>
      <c r="X416" s="365"/>
      <c r="Y416" s="365"/>
      <c r="Z416" s="365"/>
      <c r="AA416" s="365">
        <f t="shared" si="386"/>
        <v>0</v>
      </c>
      <c r="AB416" s="365"/>
      <c r="AC416" s="365"/>
      <c r="AD416" s="365"/>
      <c r="AE416" s="365"/>
      <c r="AF416" s="365"/>
      <c r="AG416" s="365"/>
      <c r="AH416" s="365">
        <v>0</v>
      </c>
      <c r="AI416" s="365"/>
      <c r="AJ416" s="365"/>
      <c r="AK416" s="365"/>
      <c r="AL416" s="365">
        <f t="shared" si="328"/>
        <v>0</v>
      </c>
      <c r="AM416" s="365">
        <f t="shared" si="387"/>
        <v>0</v>
      </c>
      <c r="AN416" s="365">
        <f t="shared" si="388"/>
        <v>0</v>
      </c>
      <c r="AO416" s="365">
        <f t="shared" si="389"/>
        <v>0</v>
      </c>
      <c r="AP416" s="365">
        <f t="shared" si="390"/>
        <v>0</v>
      </c>
      <c r="AQ416" s="365">
        <f t="shared" si="391"/>
        <v>0</v>
      </c>
      <c r="AR416" s="365">
        <f t="shared" si="392"/>
        <v>0</v>
      </c>
      <c r="AS416" s="365">
        <f t="shared" si="393"/>
        <v>0</v>
      </c>
      <c r="AT416" s="365">
        <f t="shared" si="394"/>
        <v>0</v>
      </c>
      <c r="AU416" s="365">
        <f t="shared" si="395"/>
        <v>0</v>
      </c>
      <c r="AV416" s="365">
        <f t="shared" si="396"/>
        <v>0</v>
      </c>
      <c r="AW416" s="365">
        <f t="shared" si="397"/>
        <v>0</v>
      </c>
      <c r="AX416" s="365">
        <f t="shared" si="398"/>
        <v>0</v>
      </c>
      <c r="AY416" s="365">
        <f t="shared" si="399"/>
        <v>0</v>
      </c>
      <c r="AZ416" s="365">
        <f t="shared" si="400"/>
        <v>0</v>
      </c>
      <c r="BA416" s="365">
        <f t="shared" si="401"/>
        <v>0</v>
      </c>
      <c r="BB416" s="365">
        <f t="shared" si="402"/>
        <v>0</v>
      </c>
      <c r="BC416" s="365">
        <f t="shared" si="403"/>
        <v>0</v>
      </c>
      <c r="BD416" s="363"/>
      <c r="BE416">
        <v>1.554</v>
      </c>
    </row>
    <row r="417" ht="24" spans="1:57">
      <c r="A417" s="284" t="s">
        <v>290</v>
      </c>
      <c r="B417" s="284" t="s">
        <v>196</v>
      </c>
      <c r="C417" s="284" t="s">
        <v>727</v>
      </c>
      <c r="D417" s="284" t="s">
        <v>725</v>
      </c>
      <c r="E417" s="365">
        <f t="shared" si="382"/>
        <v>0</v>
      </c>
      <c r="F417" s="365">
        <f t="shared" si="383"/>
        <v>0</v>
      </c>
      <c r="G417" s="365"/>
      <c r="H417" s="365"/>
      <c r="I417" s="365"/>
      <c r="J417" s="365"/>
      <c r="K417" s="365"/>
      <c r="L417" s="365">
        <f t="shared" si="384"/>
        <v>0</v>
      </c>
      <c r="M417" s="365"/>
      <c r="N417" s="365"/>
      <c r="O417" s="365"/>
      <c r="P417" s="365"/>
      <c r="Q417" s="365"/>
      <c r="R417" s="365"/>
      <c r="S417" s="365"/>
      <c r="T417" s="365">
        <f t="shared" si="346"/>
        <v>0</v>
      </c>
      <c r="U417" s="365">
        <f t="shared" si="385"/>
        <v>0</v>
      </c>
      <c r="V417" s="365"/>
      <c r="W417" s="365"/>
      <c r="X417" s="365"/>
      <c r="Y417" s="365"/>
      <c r="Z417" s="365"/>
      <c r="AA417" s="365">
        <f t="shared" si="386"/>
        <v>0</v>
      </c>
      <c r="AB417" s="365"/>
      <c r="AC417" s="365"/>
      <c r="AD417" s="365"/>
      <c r="AE417" s="365"/>
      <c r="AF417" s="365"/>
      <c r="AG417" s="365"/>
      <c r="AH417" s="365">
        <v>0</v>
      </c>
      <c r="AI417" s="365"/>
      <c r="AJ417" s="365"/>
      <c r="AK417" s="365"/>
      <c r="AL417" s="365">
        <f t="shared" si="328"/>
        <v>0</v>
      </c>
      <c r="AM417" s="365">
        <f t="shared" si="387"/>
        <v>0</v>
      </c>
      <c r="AN417" s="365">
        <f t="shared" si="388"/>
        <v>0</v>
      </c>
      <c r="AO417" s="365">
        <f t="shared" si="389"/>
        <v>0</v>
      </c>
      <c r="AP417" s="365">
        <f t="shared" si="390"/>
        <v>0</v>
      </c>
      <c r="AQ417" s="365">
        <f t="shared" si="391"/>
        <v>0</v>
      </c>
      <c r="AR417" s="365">
        <f t="shared" si="392"/>
        <v>0</v>
      </c>
      <c r="AS417" s="365">
        <f t="shared" si="393"/>
        <v>0</v>
      </c>
      <c r="AT417" s="365">
        <f t="shared" si="394"/>
        <v>0</v>
      </c>
      <c r="AU417" s="365">
        <f t="shared" si="395"/>
        <v>0</v>
      </c>
      <c r="AV417" s="365">
        <f t="shared" si="396"/>
        <v>0</v>
      </c>
      <c r="AW417" s="365">
        <f t="shared" si="397"/>
        <v>0</v>
      </c>
      <c r="AX417" s="365">
        <f t="shared" si="398"/>
        <v>0</v>
      </c>
      <c r="AY417" s="365">
        <f t="shared" si="399"/>
        <v>0</v>
      </c>
      <c r="AZ417" s="365">
        <f t="shared" si="400"/>
        <v>0</v>
      </c>
      <c r="BA417" s="365">
        <f t="shared" si="401"/>
        <v>0</v>
      </c>
      <c r="BB417" s="365">
        <f t="shared" si="402"/>
        <v>0</v>
      </c>
      <c r="BC417" s="365">
        <f t="shared" si="403"/>
        <v>0</v>
      </c>
      <c r="BD417" s="363"/>
      <c r="BE417">
        <v>2.776</v>
      </c>
    </row>
    <row r="418" ht="24" spans="1:57">
      <c r="A418" s="284" t="s">
        <v>290</v>
      </c>
      <c r="B418" s="284" t="s">
        <v>196</v>
      </c>
      <c r="C418" s="284" t="s">
        <v>728</v>
      </c>
      <c r="D418" s="284" t="s">
        <v>725</v>
      </c>
      <c r="E418" s="365">
        <f t="shared" si="382"/>
        <v>0</v>
      </c>
      <c r="F418" s="365">
        <f t="shared" si="383"/>
        <v>0</v>
      </c>
      <c r="G418" s="365"/>
      <c r="H418" s="365"/>
      <c r="I418" s="365"/>
      <c r="J418" s="365"/>
      <c r="K418" s="365"/>
      <c r="L418" s="365">
        <f t="shared" si="384"/>
        <v>0</v>
      </c>
      <c r="M418" s="365"/>
      <c r="N418" s="365"/>
      <c r="O418" s="365"/>
      <c r="P418" s="365"/>
      <c r="Q418" s="365"/>
      <c r="R418" s="365"/>
      <c r="S418" s="365"/>
      <c r="T418" s="365">
        <f t="shared" si="346"/>
        <v>0</v>
      </c>
      <c r="U418" s="365">
        <f t="shared" si="385"/>
        <v>0</v>
      </c>
      <c r="V418" s="365"/>
      <c r="W418" s="365"/>
      <c r="X418" s="365"/>
      <c r="Y418" s="365"/>
      <c r="Z418" s="365"/>
      <c r="AA418" s="365">
        <f t="shared" si="386"/>
        <v>0</v>
      </c>
      <c r="AB418" s="365"/>
      <c r="AC418" s="365"/>
      <c r="AD418" s="365"/>
      <c r="AE418" s="365"/>
      <c r="AF418" s="365"/>
      <c r="AG418" s="365"/>
      <c r="AH418" s="365">
        <v>0</v>
      </c>
      <c r="AI418" s="365"/>
      <c r="AJ418" s="365"/>
      <c r="AK418" s="365"/>
      <c r="AL418" s="365">
        <f t="shared" si="328"/>
        <v>0</v>
      </c>
      <c r="AM418" s="365">
        <f t="shared" si="387"/>
        <v>0</v>
      </c>
      <c r="AN418" s="365">
        <f t="shared" si="388"/>
        <v>0</v>
      </c>
      <c r="AO418" s="365">
        <f t="shared" si="389"/>
        <v>0</v>
      </c>
      <c r="AP418" s="365">
        <f t="shared" si="390"/>
        <v>0</v>
      </c>
      <c r="AQ418" s="365">
        <f t="shared" si="391"/>
        <v>0</v>
      </c>
      <c r="AR418" s="365">
        <f t="shared" si="392"/>
        <v>0</v>
      </c>
      <c r="AS418" s="365">
        <f t="shared" si="393"/>
        <v>0</v>
      </c>
      <c r="AT418" s="365">
        <f t="shared" si="394"/>
        <v>0</v>
      </c>
      <c r="AU418" s="365">
        <f t="shared" si="395"/>
        <v>0</v>
      </c>
      <c r="AV418" s="365">
        <f t="shared" si="396"/>
        <v>0</v>
      </c>
      <c r="AW418" s="365">
        <f t="shared" si="397"/>
        <v>0</v>
      </c>
      <c r="AX418" s="365">
        <f t="shared" si="398"/>
        <v>0</v>
      </c>
      <c r="AY418" s="365">
        <f t="shared" si="399"/>
        <v>0</v>
      </c>
      <c r="AZ418" s="365">
        <f t="shared" si="400"/>
        <v>0</v>
      </c>
      <c r="BA418" s="365">
        <f t="shared" si="401"/>
        <v>0</v>
      </c>
      <c r="BB418" s="365">
        <f t="shared" si="402"/>
        <v>0</v>
      </c>
      <c r="BC418" s="365">
        <f t="shared" si="403"/>
        <v>0</v>
      </c>
      <c r="BD418" s="363"/>
      <c r="BE418">
        <v>1.868</v>
      </c>
    </row>
    <row r="419" ht="24" spans="1:57">
      <c r="A419" s="284" t="s">
        <v>290</v>
      </c>
      <c r="B419" s="284" t="s">
        <v>199</v>
      </c>
      <c r="C419" s="284" t="s">
        <v>729</v>
      </c>
      <c r="D419" s="284" t="s">
        <v>730</v>
      </c>
      <c r="E419" s="365">
        <f t="shared" si="382"/>
        <v>32.7</v>
      </c>
      <c r="F419" s="365">
        <f t="shared" si="383"/>
        <v>15.25</v>
      </c>
      <c r="G419" s="365">
        <v>11.17</v>
      </c>
      <c r="H419" s="365"/>
      <c r="I419" s="365">
        <v>4.08</v>
      </c>
      <c r="J419" s="365"/>
      <c r="K419" s="365"/>
      <c r="L419" s="365">
        <f t="shared" si="384"/>
        <v>17.45</v>
      </c>
      <c r="M419" s="365">
        <v>2.45</v>
      </c>
      <c r="N419" s="365"/>
      <c r="O419" s="365"/>
      <c r="P419" s="365"/>
      <c r="Q419" s="365"/>
      <c r="R419" s="365"/>
      <c r="S419" s="365">
        <v>15</v>
      </c>
      <c r="T419" s="365">
        <f t="shared" si="346"/>
        <v>-5.49</v>
      </c>
      <c r="U419" s="365">
        <f t="shared" si="385"/>
        <v>1.41</v>
      </c>
      <c r="V419" s="365">
        <v>1.41</v>
      </c>
      <c r="W419" s="365"/>
      <c r="X419" s="365"/>
      <c r="Y419" s="365"/>
      <c r="Z419" s="365"/>
      <c r="AA419" s="365">
        <f t="shared" si="386"/>
        <v>-6.9</v>
      </c>
      <c r="AB419" s="365"/>
      <c r="AC419" s="365"/>
      <c r="AD419" s="365"/>
      <c r="AE419" s="365"/>
      <c r="AF419" s="365"/>
      <c r="AG419" s="365">
        <v>0.15</v>
      </c>
      <c r="AH419" s="365">
        <v>-15</v>
      </c>
      <c r="AI419" s="365">
        <v>3.45</v>
      </c>
      <c r="AJ419" s="365">
        <v>3</v>
      </c>
      <c r="AK419" s="365">
        <v>1.5</v>
      </c>
      <c r="AL419" s="365">
        <f t="shared" si="328"/>
        <v>27.21</v>
      </c>
      <c r="AM419" s="365">
        <f t="shared" si="387"/>
        <v>16.66</v>
      </c>
      <c r="AN419" s="365">
        <f t="shared" si="388"/>
        <v>12.58</v>
      </c>
      <c r="AO419" s="365">
        <f t="shared" si="389"/>
        <v>0</v>
      </c>
      <c r="AP419" s="365">
        <f t="shared" si="390"/>
        <v>4.08</v>
      </c>
      <c r="AQ419" s="365">
        <f t="shared" si="391"/>
        <v>0</v>
      </c>
      <c r="AR419" s="365">
        <f t="shared" si="392"/>
        <v>0</v>
      </c>
      <c r="AS419" s="365">
        <f t="shared" si="393"/>
        <v>10.55</v>
      </c>
      <c r="AT419" s="365">
        <f t="shared" si="394"/>
        <v>2.45</v>
      </c>
      <c r="AU419" s="365">
        <f t="shared" si="395"/>
        <v>0</v>
      </c>
      <c r="AV419" s="365">
        <f t="shared" si="396"/>
        <v>0</v>
      </c>
      <c r="AW419" s="365">
        <f t="shared" si="397"/>
        <v>0</v>
      </c>
      <c r="AX419" s="365">
        <f t="shared" si="398"/>
        <v>0</v>
      </c>
      <c r="AY419" s="365">
        <f t="shared" si="399"/>
        <v>0.15</v>
      </c>
      <c r="AZ419" s="365">
        <f t="shared" si="400"/>
        <v>0</v>
      </c>
      <c r="BA419" s="365">
        <f t="shared" si="401"/>
        <v>3.45</v>
      </c>
      <c r="BB419" s="365">
        <f t="shared" si="402"/>
        <v>3</v>
      </c>
      <c r="BC419" s="365">
        <f t="shared" si="403"/>
        <v>1.5</v>
      </c>
      <c r="BD419" s="363"/>
      <c r="BE419">
        <v>1.5</v>
      </c>
    </row>
    <row r="420" ht="24" spans="1:57">
      <c r="A420" s="284" t="s">
        <v>290</v>
      </c>
      <c r="B420" s="284" t="s">
        <v>199</v>
      </c>
      <c r="C420" s="284" t="s">
        <v>731</v>
      </c>
      <c r="D420" s="284" t="s">
        <v>730</v>
      </c>
      <c r="E420" s="365">
        <f t="shared" si="382"/>
        <v>87.83</v>
      </c>
      <c r="F420" s="365">
        <f t="shared" si="383"/>
        <v>40.03</v>
      </c>
      <c r="G420" s="365">
        <v>28.94</v>
      </c>
      <c r="H420" s="365"/>
      <c r="I420" s="365">
        <v>11.09</v>
      </c>
      <c r="J420" s="365"/>
      <c r="K420" s="365"/>
      <c r="L420" s="365">
        <f t="shared" si="384"/>
        <v>47.8</v>
      </c>
      <c r="M420" s="365">
        <v>6.65</v>
      </c>
      <c r="N420" s="365"/>
      <c r="O420" s="365"/>
      <c r="P420" s="365"/>
      <c r="Q420" s="365"/>
      <c r="R420" s="365">
        <v>1.15</v>
      </c>
      <c r="S420" s="365">
        <v>40</v>
      </c>
      <c r="T420" s="365">
        <f t="shared" si="346"/>
        <v>-15.37</v>
      </c>
      <c r="U420" s="365">
        <f t="shared" si="385"/>
        <v>4.29</v>
      </c>
      <c r="V420" s="365">
        <v>4.29</v>
      </c>
      <c r="W420" s="365"/>
      <c r="X420" s="365"/>
      <c r="Y420" s="365"/>
      <c r="Z420" s="365"/>
      <c r="AA420" s="365">
        <f t="shared" si="386"/>
        <v>-19.66</v>
      </c>
      <c r="AB420" s="365">
        <v>0.13</v>
      </c>
      <c r="AC420" s="365"/>
      <c r="AD420" s="365"/>
      <c r="AE420" s="365"/>
      <c r="AF420" s="365"/>
      <c r="AG420" s="365">
        <v>0.15</v>
      </c>
      <c r="AH420" s="365">
        <v>-40</v>
      </c>
      <c r="AI420" s="365">
        <v>9.06</v>
      </c>
      <c r="AJ420" s="365">
        <v>7</v>
      </c>
      <c r="AK420" s="365">
        <v>4</v>
      </c>
      <c r="AL420" s="365">
        <f t="shared" si="328"/>
        <v>72.46</v>
      </c>
      <c r="AM420" s="365">
        <f t="shared" si="387"/>
        <v>44.32</v>
      </c>
      <c r="AN420" s="365">
        <f t="shared" si="388"/>
        <v>33.23</v>
      </c>
      <c r="AO420" s="365">
        <f t="shared" si="389"/>
        <v>0</v>
      </c>
      <c r="AP420" s="365">
        <f t="shared" si="390"/>
        <v>11.09</v>
      </c>
      <c r="AQ420" s="365">
        <f t="shared" si="391"/>
        <v>0</v>
      </c>
      <c r="AR420" s="365">
        <f t="shared" si="392"/>
        <v>0</v>
      </c>
      <c r="AS420" s="365">
        <f t="shared" si="393"/>
        <v>28.14</v>
      </c>
      <c r="AT420" s="365">
        <f t="shared" si="394"/>
        <v>6.78</v>
      </c>
      <c r="AU420" s="365">
        <f t="shared" si="395"/>
        <v>0</v>
      </c>
      <c r="AV420" s="365">
        <f t="shared" si="396"/>
        <v>0</v>
      </c>
      <c r="AW420" s="365">
        <f t="shared" si="397"/>
        <v>0</v>
      </c>
      <c r="AX420" s="365">
        <f t="shared" si="398"/>
        <v>0</v>
      </c>
      <c r="AY420" s="365">
        <f t="shared" si="399"/>
        <v>1.3</v>
      </c>
      <c r="AZ420" s="365">
        <f t="shared" si="400"/>
        <v>0</v>
      </c>
      <c r="BA420" s="365">
        <f t="shared" si="401"/>
        <v>9.06</v>
      </c>
      <c r="BB420" s="365">
        <f t="shared" si="402"/>
        <v>7</v>
      </c>
      <c r="BC420" s="365">
        <f t="shared" si="403"/>
        <v>4</v>
      </c>
      <c r="BD420" s="363"/>
      <c r="BE420">
        <v>4</v>
      </c>
    </row>
    <row r="421" ht="24" spans="1:57">
      <c r="A421" s="284" t="s">
        <v>290</v>
      </c>
      <c r="B421" s="284" t="s">
        <v>199</v>
      </c>
      <c r="C421" s="284" t="s">
        <v>732</v>
      </c>
      <c r="D421" s="284" t="s">
        <v>730</v>
      </c>
      <c r="E421" s="365">
        <f t="shared" si="382"/>
        <v>32.46</v>
      </c>
      <c r="F421" s="365">
        <f t="shared" si="383"/>
        <v>14.92</v>
      </c>
      <c r="G421" s="365">
        <v>10.69</v>
      </c>
      <c r="H421" s="365"/>
      <c r="I421" s="365">
        <v>4.23</v>
      </c>
      <c r="J421" s="365"/>
      <c r="K421" s="365"/>
      <c r="L421" s="365">
        <f t="shared" si="384"/>
        <v>17.54</v>
      </c>
      <c r="M421" s="365">
        <v>2.54</v>
      </c>
      <c r="N421" s="365"/>
      <c r="O421" s="365"/>
      <c r="P421" s="365"/>
      <c r="Q421" s="365"/>
      <c r="R421" s="365"/>
      <c r="S421" s="365">
        <v>15</v>
      </c>
      <c r="T421" s="365">
        <f t="shared" si="346"/>
        <v>-5.84</v>
      </c>
      <c r="U421" s="365">
        <f t="shared" si="385"/>
        <v>1.42</v>
      </c>
      <c r="V421" s="365">
        <v>1.42</v>
      </c>
      <c r="W421" s="365"/>
      <c r="X421" s="365"/>
      <c r="Y421" s="365"/>
      <c r="Z421" s="365"/>
      <c r="AA421" s="365">
        <f t="shared" si="386"/>
        <v>-7.26</v>
      </c>
      <c r="AB421" s="365"/>
      <c r="AC421" s="365"/>
      <c r="AD421" s="365"/>
      <c r="AE421" s="365"/>
      <c r="AF421" s="365"/>
      <c r="AG421" s="365"/>
      <c r="AH421" s="365">
        <v>-15</v>
      </c>
      <c r="AI421" s="365">
        <v>3.24</v>
      </c>
      <c r="AJ421" s="365">
        <v>3</v>
      </c>
      <c r="AK421" s="365">
        <v>1.5</v>
      </c>
      <c r="AL421" s="365">
        <f t="shared" si="328"/>
        <v>26.62</v>
      </c>
      <c r="AM421" s="365">
        <f t="shared" si="387"/>
        <v>16.34</v>
      </c>
      <c r="AN421" s="365">
        <f t="shared" si="388"/>
        <v>12.11</v>
      </c>
      <c r="AO421" s="365">
        <f t="shared" si="389"/>
        <v>0</v>
      </c>
      <c r="AP421" s="365">
        <f t="shared" si="390"/>
        <v>4.23</v>
      </c>
      <c r="AQ421" s="365">
        <f t="shared" si="391"/>
        <v>0</v>
      </c>
      <c r="AR421" s="365">
        <f t="shared" si="392"/>
        <v>0</v>
      </c>
      <c r="AS421" s="365">
        <f t="shared" si="393"/>
        <v>10.28</v>
      </c>
      <c r="AT421" s="365">
        <f t="shared" si="394"/>
        <v>2.54</v>
      </c>
      <c r="AU421" s="365">
        <f t="shared" si="395"/>
        <v>0</v>
      </c>
      <c r="AV421" s="365">
        <f t="shared" si="396"/>
        <v>0</v>
      </c>
      <c r="AW421" s="365">
        <f t="shared" si="397"/>
        <v>0</v>
      </c>
      <c r="AX421" s="365">
        <f t="shared" si="398"/>
        <v>0</v>
      </c>
      <c r="AY421" s="365">
        <f t="shared" si="399"/>
        <v>0</v>
      </c>
      <c r="AZ421" s="365">
        <f t="shared" si="400"/>
        <v>0</v>
      </c>
      <c r="BA421" s="365">
        <f t="shared" si="401"/>
        <v>3.24</v>
      </c>
      <c r="BB421" s="365">
        <f t="shared" si="402"/>
        <v>3</v>
      </c>
      <c r="BC421" s="365">
        <f t="shared" si="403"/>
        <v>1.5</v>
      </c>
      <c r="BD421" s="363"/>
      <c r="BE421">
        <v>1.5</v>
      </c>
    </row>
    <row r="422" ht="24" spans="1:57">
      <c r="A422" s="284" t="s">
        <v>290</v>
      </c>
      <c r="B422" s="284" t="s">
        <v>199</v>
      </c>
      <c r="C422" s="284" t="s">
        <v>733</v>
      </c>
      <c r="D422" s="284" t="s">
        <v>730</v>
      </c>
      <c r="E422" s="365">
        <f t="shared" si="382"/>
        <v>78.648</v>
      </c>
      <c r="F422" s="365">
        <f t="shared" si="383"/>
        <v>35.87</v>
      </c>
      <c r="G422" s="365">
        <v>25.98</v>
      </c>
      <c r="H422" s="365"/>
      <c r="I422" s="365">
        <v>9.89</v>
      </c>
      <c r="J422" s="365"/>
      <c r="K422" s="365"/>
      <c r="L422" s="365">
        <f t="shared" si="384"/>
        <v>42.778</v>
      </c>
      <c r="M422" s="365">
        <v>5.93</v>
      </c>
      <c r="N422" s="365"/>
      <c r="O422" s="365"/>
      <c r="P422" s="365"/>
      <c r="Q422" s="365"/>
      <c r="R422" s="365">
        <v>1.848</v>
      </c>
      <c r="S422" s="365">
        <v>35</v>
      </c>
      <c r="T422" s="365">
        <f t="shared" si="346"/>
        <v>-14.34</v>
      </c>
      <c r="U422" s="365">
        <f t="shared" si="385"/>
        <v>3.39</v>
      </c>
      <c r="V422" s="365">
        <v>3.39</v>
      </c>
      <c r="W422" s="365"/>
      <c r="X422" s="365"/>
      <c r="Y422" s="365"/>
      <c r="Z422" s="365"/>
      <c r="AA422" s="365">
        <f t="shared" si="386"/>
        <v>-17.73</v>
      </c>
      <c r="AB422" s="365"/>
      <c r="AC422" s="365"/>
      <c r="AD422" s="365"/>
      <c r="AE422" s="365"/>
      <c r="AF422" s="365"/>
      <c r="AG422" s="365"/>
      <c r="AH422" s="365">
        <v>-35</v>
      </c>
      <c r="AI422" s="365">
        <v>7.77</v>
      </c>
      <c r="AJ422" s="365">
        <v>6</v>
      </c>
      <c r="AK422" s="365">
        <v>3.5</v>
      </c>
      <c r="AL422" s="365">
        <f t="shared" si="328"/>
        <v>64.308</v>
      </c>
      <c r="AM422" s="365">
        <f t="shared" si="387"/>
        <v>39.26</v>
      </c>
      <c r="AN422" s="365">
        <f t="shared" si="388"/>
        <v>29.37</v>
      </c>
      <c r="AO422" s="365">
        <f t="shared" si="389"/>
        <v>0</v>
      </c>
      <c r="AP422" s="365">
        <f t="shared" si="390"/>
        <v>9.89</v>
      </c>
      <c r="AQ422" s="365">
        <f t="shared" si="391"/>
        <v>0</v>
      </c>
      <c r="AR422" s="365">
        <f t="shared" si="392"/>
        <v>0</v>
      </c>
      <c r="AS422" s="365">
        <f t="shared" si="393"/>
        <v>25.048</v>
      </c>
      <c r="AT422" s="365">
        <f t="shared" si="394"/>
        <v>5.93</v>
      </c>
      <c r="AU422" s="365">
        <f t="shared" si="395"/>
        <v>0</v>
      </c>
      <c r="AV422" s="365">
        <f t="shared" si="396"/>
        <v>0</v>
      </c>
      <c r="AW422" s="365">
        <f t="shared" si="397"/>
        <v>0</v>
      </c>
      <c r="AX422" s="365">
        <f t="shared" si="398"/>
        <v>0</v>
      </c>
      <c r="AY422" s="365">
        <f t="shared" si="399"/>
        <v>1.848</v>
      </c>
      <c r="AZ422" s="365">
        <f t="shared" si="400"/>
        <v>0</v>
      </c>
      <c r="BA422" s="365">
        <f t="shared" si="401"/>
        <v>7.77</v>
      </c>
      <c r="BB422" s="365">
        <f t="shared" si="402"/>
        <v>6</v>
      </c>
      <c r="BC422" s="365">
        <f t="shared" si="403"/>
        <v>3.5</v>
      </c>
      <c r="BD422" s="363"/>
      <c r="BE422">
        <v>3.5</v>
      </c>
    </row>
    <row r="423" ht="36" spans="1:56">
      <c r="A423" s="284" t="s">
        <v>195</v>
      </c>
      <c r="B423" s="284" t="s">
        <v>196</v>
      </c>
      <c r="C423" s="284" t="s">
        <v>734</v>
      </c>
      <c r="D423" s="284" t="s">
        <v>735</v>
      </c>
      <c r="E423" s="365">
        <f t="shared" si="382"/>
        <v>0</v>
      </c>
      <c r="F423" s="365">
        <f t="shared" si="383"/>
        <v>0</v>
      </c>
      <c r="G423" s="365"/>
      <c r="H423" s="365"/>
      <c r="I423" s="365"/>
      <c r="J423" s="365"/>
      <c r="K423" s="365"/>
      <c r="L423" s="365">
        <f t="shared" si="384"/>
        <v>0</v>
      </c>
      <c r="M423" s="365"/>
      <c r="N423" s="365"/>
      <c r="O423" s="365"/>
      <c r="P423" s="365"/>
      <c r="Q423" s="365"/>
      <c r="R423" s="365"/>
      <c r="S423" s="365"/>
      <c r="T423" s="365">
        <f t="shared" si="346"/>
        <v>0</v>
      </c>
      <c r="U423" s="365">
        <f t="shared" si="385"/>
        <v>0</v>
      </c>
      <c r="V423" s="365"/>
      <c r="W423" s="365"/>
      <c r="X423" s="365"/>
      <c r="Y423" s="365"/>
      <c r="Z423" s="365"/>
      <c r="AA423" s="365">
        <f t="shared" si="386"/>
        <v>0</v>
      </c>
      <c r="AB423" s="365"/>
      <c r="AC423" s="365"/>
      <c r="AD423" s="365"/>
      <c r="AE423" s="365"/>
      <c r="AF423" s="365"/>
      <c r="AG423" s="365"/>
      <c r="AH423" s="365">
        <v>0</v>
      </c>
      <c r="AI423" s="365"/>
      <c r="AJ423" s="365"/>
      <c r="AK423" s="365"/>
      <c r="AL423" s="365">
        <f t="shared" si="328"/>
        <v>0</v>
      </c>
      <c r="AM423" s="365">
        <f t="shared" si="387"/>
        <v>0</v>
      </c>
      <c r="AN423" s="365">
        <f t="shared" si="388"/>
        <v>0</v>
      </c>
      <c r="AO423" s="365">
        <f t="shared" si="389"/>
        <v>0</v>
      </c>
      <c r="AP423" s="365">
        <f t="shared" si="390"/>
        <v>0</v>
      </c>
      <c r="AQ423" s="365">
        <f t="shared" si="391"/>
        <v>0</v>
      </c>
      <c r="AR423" s="365">
        <f t="shared" si="392"/>
        <v>0</v>
      </c>
      <c r="AS423" s="365">
        <f t="shared" si="393"/>
        <v>0</v>
      </c>
      <c r="AT423" s="365">
        <f t="shared" si="394"/>
        <v>0</v>
      </c>
      <c r="AU423" s="365">
        <f t="shared" si="395"/>
        <v>0</v>
      </c>
      <c r="AV423" s="365">
        <f t="shared" si="396"/>
        <v>0</v>
      </c>
      <c r="AW423" s="365">
        <f t="shared" si="397"/>
        <v>0</v>
      </c>
      <c r="AX423" s="365">
        <f t="shared" si="398"/>
        <v>0</v>
      </c>
      <c r="AY423" s="365">
        <f t="shared" si="399"/>
        <v>0</v>
      </c>
      <c r="AZ423" s="365">
        <f t="shared" si="400"/>
        <v>0</v>
      </c>
      <c r="BA423" s="365">
        <f t="shared" si="401"/>
        <v>0</v>
      </c>
      <c r="BB423" s="365">
        <f t="shared" si="402"/>
        <v>0</v>
      </c>
      <c r="BC423" s="365">
        <f t="shared" si="403"/>
        <v>0</v>
      </c>
      <c r="BD423" s="363"/>
    </row>
    <row r="424" ht="24" spans="1:57">
      <c r="A424" s="284" t="s">
        <v>208</v>
      </c>
      <c r="B424" s="284" t="s">
        <v>199</v>
      </c>
      <c r="C424" s="284" t="s">
        <v>736</v>
      </c>
      <c r="D424" s="284" t="s">
        <v>737</v>
      </c>
      <c r="E424" s="365">
        <f t="shared" si="382"/>
        <v>95.68</v>
      </c>
      <c r="F424" s="365">
        <f t="shared" si="383"/>
        <v>43.5</v>
      </c>
      <c r="G424" s="365">
        <v>31.53</v>
      </c>
      <c r="H424" s="365"/>
      <c r="I424" s="365">
        <v>11.97</v>
      </c>
      <c r="J424" s="365"/>
      <c r="K424" s="365"/>
      <c r="L424" s="365">
        <f t="shared" si="384"/>
        <v>52.18</v>
      </c>
      <c r="M424" s="365">
        <v>7.18</v>
      </c>
      <c r="N424" s="365"/>
      <c r="O424" s="365"/>
      <c r="P424" s="365"/>
      <c r="Q424" s="365"/>
      <c r="R424" s="365"/>
      <c r="S424" s="366">
        <v>45</v>
      </c>
      <c r="T424" s="365">
        <f t="shared" si="346"/>
        <v>-12.17</v>
      </c>
      <c r="U424" s="365">
        <f t="shared" si="385"/>
        <v>3.58</v>
      </c>
      <c r="V424" s="365">
        <v>3.7</v>
      </c>
      <c r="W424" s="365"/>
      <c r="X424" s="365">
        <v>-0.12</v>
      </c>
      <c r="Y424" s="365"/>
      <c r="Z424" s="365"/>
      <c r="AA424" s="365">
        <f t="shared" si="386"/>
        <v>-15.75</v>
      </c>
      <c r="AB424" s="366">
        <v>-0.07</v>
      </c>
      <c r="AC424" s="366"/>
      <c r="AD424" s="366"/>
      <c r="AE424" s="366">
        <v>7.95</v>
      </c>
      <c r="AF424" s="366"/>
      <c r="AG424" s="366">
        <v>0.15</v>
      </c>
      <c r="AH424" s="365">
        <v>-45</v>
      </c>
      <c r="AI424" s="366">
        <v>9.72</v>
      </c>
      <c r="AJ424" s="366">
        <v>8</v>
      </c>
      <c r="AK424" s="365">
        <v>3.5</v>
      </c>
      <c r="AL424" s="365">
        <f t="shared" si="328"/>
        <v>83.51</v>
      </c>
      <c r="AM424" s="365">
        <f t="shared" si="387"/>
        <v>47.08</v>
      </c>
      <c r="AN424" s="365">
        <f t="shared" si="388"/>
        <v>35.23</v>
      </c>
      <c r="AO424" s="365">
        <f t="shared" si="389"/>
        <v>0</v>
      </c>
      <c r="AP424" s="365">
        <f t="shared" si="390"/>
        <v>11.85</v>
      </c>
      <c r="AQ424" s="365">
        <f t="shared" si="391"/>
        <v>0</v>
      </c>
      <c r="AR424" s="365">
        <f t="shared" si="392"/>
        <v>0</v>
      </c>
      <c r="AS424" s="365">
        <f t="shared" si="393"/>
        <v>36.43</v>
      </c>
      <c r="AT424" s="365">
        <f t="shared" si="394"/>
        <v>7.11</v>
      </c>
      <c r="AU424" s="365">
        <f t="shared" si="395"/>
        <v>0</v>
      </c>
      <c r="AV424" s="365">
        <f t="shared" si="396"/>
        <v>0</v>
      </c>
      <c r="AW424" s="365">
        <f t="shared" si="397"/>
        <v>7.95</v>
      </c>
      <c r="AX424" s="365">
        <f t="shared" si="398"/>
        <v>0</v>
      </c>
      <c r="AY424" s="365">
        <f t="shared" si="399"/>
        <v>0.15</v>
      </c>
      <c r="AZ424" s="365">
        <f t="shared" si="400"/>
        <v>0</v>
      </c>
      <c r="BA424" s="365">
        <f t="shared" si="401"/>
        <v>9.72</v>
      </c>
      <c r="BB424" s="365">
        <f t="shared" si="402"/>
        <v>8</v>
      </c>
      <c r="BC424" s="365">
        <f t="shared" si="403"/>
        <v>3.5</v>
      </c>
      <c r="BD424" s="363"/>
      <c r="BE424">
        <v>3.5</v>
      </c>
    </row>
  </sheetData>
  <autoFilter ref="A5:BE424">
    <extLst/>
  </autoFilter>
  <mergeCells count="17">
    <mergeCell ref="E3:S3"/>
    <mergeCell ref="T3:AK3"/>
    <mergeCell ref="AL3:BC3"/>
    <mergeCell ref="F4:K4"/>
    <mergeCell ref="L4:S4"/>
    <mergeCell ref="U4:Z4"/>
    <mergeCell ref="AA4:AK4"/>
    <mergeCell ref="AM4:AR4"/>
    <mergeCell ref="AS4:BC4"/>
    <mergeCell ref="A3:A5"/>
    <mergeCell ref="B3:B5"/>
    <mergeCell ref="C3:C5"/>
    <mergeCell ref="D3:D5"/>
    <mergeCell ref="E4:E5"/>
    <mergeCell ref="T4:T5"/>
    <mergeCell ref="AL4:AL5"/>
    <mergeCell ref="BD3:BD5"/>
  </mergeCells>
  <pageMargins left="0.700694444444445" right="0.700694444444445" top="0.751388888888889" bottom="0.751388888888889" header="0.297916666666667" footer="0.297916666666667"/>
  <pageSetup paperSize="8" orientation="landscape"/>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424"/>
  <sheetViews>
    <sheetView workbookViewId="0">
      <pane xSplit="4" ySplit="8" topLeftCell="K306" activePane="bottomRight" state="frozen"/>
      <selection/>
      <selection pane="topRight"/>
      <selection pane="bottomLeft"/>
      <selection pane="bottomRight" activeCell="N315" sqref="N315"/>
    </sheetView>
  </sheetViews>
  <sheetFormatPr defaultColWidth="9" defaultRowHeight="13.5"/>
  <cols>
    <col min="1" max="2" width="8.225" style="312" customWidth="1"/>
    <col min="3" max="3" width="25.8666666666667" style="312" customWidth="1"/>
    <col min="4" max="4" width="9.5" style="312" customWidth="1"/>
    <col min="5" max="5" width="9.63333333333333" customWidth="1"/>
    <col min="6" max="8" width="9.36666666666667" customWidth="1"/>
    <col min="9" max="10" width="9" customWidth="1"/>
    <col min="11" max="28" width="9.36666666666667" customWidth="1"/>
    <col min="29" max="29" width="29.6333333333333" customWidth="1"/>
  </cols>
  <sheetData>
    <row r="1" ht="27" spans="1:29">
      <c r="A1" s="353" t="s">
        <v>879</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row>
    <row r="2" s="352" customFormat="1" spans="1:29">
      <c r="A2" s="354"/>
      <c r="B2" s="354"/>
      <c r="C2" s="354"/>
      <c r="D2" s="354"/>
      <c r="E2" s="73"/>
      <c r="F2" s="73"/>
      <c r="G2" s="73"/>
      <c r="H2" s="73"/>
      <c r="I2" s="73"/>
      <c r="J2" s="73"/>
      <c r="K2" s="73"/>
      <c r="L2" s="73"/>
      <c r="M2" s="73"/>
      <c r="N2" s="73"/>
      <c r="O2" s="73"/>
      <c r="P2" s="73"/>
      <c r="Q2" s="73"/>
      <c r="R2" s="73"/>
      <c r="S2" s="73"/>
      <c r="T2" s="73"/>
      <c r="U2" s="73"/>
      <c r="V2" s="73"/>
      <c r="W2" s="73"/>
      <c r="X2" s="73"/>
      <c r="Y2" s="73"/>
      <c r="Z2" s="73"/>
      <c r="AA2" s="73"/>
      <c r="AB2" s="73"/>
      <c r="AC2" s="73" t="s">
        <v>2</v>
      </c>
    </row>
    <row r="3" ht="20" customHeight="1" spans="1:29">
      <c r="A3" s="94" t="s">
        <v>162</v>
      </c>
      <c r="B3" s="288" t="s">
        <v>163</v>
      </c>
      <c r="C3" s="94" t="s">
        <v>164</v>
      </c>
      <c r="D3" s="94" t="s">
        <v>165</v>
      </c>
      <c r="E3" s="355" t="s">
        <v>122</v>
      </c>
      <c r="F3" s="355"/>
      <c r="G3" s="355"/>
      <c r="H3" s="355"/>
      <c r="I3" s="355"/>
      <c r="J3" s="355"/>
      <c r="K3" s="355"/>
      <c r="L3" s="355"/>
      <c r="M3" s="361" t="s">
        <v>758</v>
      </c>
      <c r="N3" s="361"/>
      <c r="O3" s="361"/>
      <c r="P3" s="361"/>
      <c r="Q3" s="361"/>
      <c r="R3" s="361"/>
      <c r="S3" s="361"/>
      <c r="T3" s="361"/>
      <c r="U3" s="355" t="s">
        <v>759</v>
      </c>
      <c r="V3" s="355"/>
      <c r="W3" s="355"/>
      <c r="X3" s="355"/>
      <c r="Y3" s="355"/>
      <c r="Z3" s="355"/>
      <c r="AA3" s="355"/>
      <c r="AB3" s="355"/>
      <c r="AC3" s="318" t="s">
        <v>760</v>
      </c>
    </row>
    <row r="4" spans="1:29">
      <c r="A4" s="94"/>
      <c r="B4" s="275"/>
      <c r="C4" s="94"/>
      <c r="D4" s="94"/>
      <c r="E4" s="94" t="s">
        <v>171</v>
      </c>
      <c r="F4" s="94"/>
      <c r="G4" s="94"/>
      <c r="H4" s="94"/>
      <c r="I4" s="94"/>
      <c r="J4" s="94"/>
      <c r="K4" s="94"/>
      <c r="L4" s="94"/>
      <c r="M4" s="94" t="s">
        <v>171</v>
      </c>
      <c r="N4" s="94"/>
      <c r="O4" s="94"/>
      <c r="P4" s="94"/>
      <c r="Q4" s="94"/>
      <c r="R4" s="94"/>
      <c r="S4" s="94"/>
      <c r="T4" s="94"/>
      <c r="U4" s="94" t="s">
        <v>171</v>
      </c>
      <c r="V4" s="94"/>
      <c r="W4" s="94"/>
      <c r="X4" s="94"/>
      <c r="Y4" s="94"/>
      <c r="Z4" s="94"/>
      <c r="AA4" s="94"/>
      <c r="AB4" s="94"/>
      <c r="AC4" s="318"/>
    </row>
    <row r="5" s="210" customFormat="1" ht="24" spans="1:29">
      <c r="A5" s="94"/>
      <c r="B5" s="275"/>
      <c r="C5" s="94"/>
      <c r="D5" s="94"/>
      <c r="E5" s="94" t="s">
        <v>124</v>
      </c>
      <c r="F5" s="94" t="s">
        <v>174</v>
      </c>
      <c r="G5" s="94" t="s">
        <v>175</v>
      </c>
      <c r="H5" s="94" t="s">
        <v>176</v>
      </c>
      <c r="I5" s="94" t="s">
        <v>177</v>
      </c>
      <c r="J5" s="94" t="s">
        <v>178</v>
      </c>
      <c r="K5" s="94" t="s">
        <v>179</v>
      </c>
      <c r="L5" s="94" t="s">
        <v>180</v>
      </c>
      <c r="M5" s="94" t="s">
        <v>124</v>
      </c>
      <c r="N5" s="94" t="s">
        <v>174</v>
      </c>
      <c r="O5" s="94" t="s">
        <v>175</v>
      </c>
      <c r="P5" s="94" t="s">
        <v>176</v>
      </c>
      <c r="Q5" s="94" t="s">
        <v>177</v>
      </c>
      <c r="R5" s="94" t="s">
        <v>178</v>
      </c>
      <c r="S5" s="94" t="s">
        <v>179</v>
      </c>
      <c r="T5" s="94" t="s">
        <v>180</v>
      </c>
      <c r="U5" s="94" t="s">
        <v>124</v>
      </c>
      <c r="V5" s="94" t="s">
        <v>174</v>
      </c>
      <c r="W5" s="94" t="s">
        <v>175</v>
      </c>
      <c r="X5" s="94" t="s">
        <v>176</v>
      </c>
      <c r="Y5" s="94" t="s">
        <v>177</v>
      </c>
      <c r="Z5" s="94" t="s">
        <v>178</v>
      </c>
      <c r="AA5" s="94" t="s">
        <v>179</v>
      </c>
      <c r="AB5" s="94" t="s">
        <v>180</v>
      </c>
      <c r="AC5" s="318"/>
    </row>
    <row r="6" s="311" customFormat="1" ht="21" customHeight="1" spans="1:29">
      <c r="A6" s="319"/>
      <c r="B6" s="356"/>
      <c r="C6" s="357" t="s">
        <v>124</v>
      </c>
      <c r="D6" s="357"/>
      <c r="E6" s="358">
        <f t="shared" ref="E6:AB6" si="0">E7+E187+E198+E259+E262+E277+E299+E329+E345+E390+E399+E402+E414</f>
        <v>25253.1105</v>
      </c>
      <c r="F6" s="358">
        <f t="shared" si="0"/>
        <v>8681.2069</v>
      </c>
      <c r="G6" s="358">
        <f t="shared" si="0"/>
        <v>4286.23</v>
      </c>
      <c r="H6" s="358">
        <f t="shared" si="0"/>
        <v>3208.2476</v>
      </c>
      <c r="I6" s="358">
        <f t="shared" si="0"/>
        <v>171.62</v>
      </c>
      <c r="J6" s="358">
        <f t="shared" si="0"/>
        <v>323.12</v>
      </c>
      <c r="K6" s="358">
        <f t="shared" si="0"/>
        <v>6429.1252</v>
      </c>
      <c r="L6" s="358">
        <f t="shared" si="0"/>
        <v>2153.5608</v>
      </c>
      <c r="M6" s="358">
        <f t="shared" si="0"/>
        <v>1951.45103696</v>
      </c>
      <c r="N6" s="358">
        <f t="shared" si="0"/>
        <v>731.2223872</v>
      </c>
      <c r="O6" s="358">
        <f t="shared" si="0"/>
        <v>362.9678656</v>
      </c>
      <c r="P6" s="358">
        <f t="shared" si="0"/>
        <v>272.2258992</v>
      </c>
      <c r="Q6" s="358">
        <f t="shared" si="0"/>
        <v>13.36049664</v>
      </c>
      <c r="R6" s="358">
        <f t="shared" si="0"/>
        <v>27.22258992</v>
      </c>
      <c r="S6" s="358">
        <f t="shared" si="0"/>
        <v>544.4517984</v>
      </c>
      <c r="T6" s="358">
        <f t="shared" si="0"/>
        <v>0</v>
      </c>
      <c r="U6" s="358">
        <f t="shared" si="0"/>
        <v>27204.56153696</v>
      </c>
      <c r="V6" s="358">
        <f t="shared" si="0"/>
        <v>9412.4292872</v>
      </c>
      <c r="W6" s="358">
        <f t="shared" si="0"/>
        <v>4649.1978656</v>
      </c>
      <c r="X6" s="358">
        <f t="shared" si="0"/>
        <v>3480.4734992</v>
      </c>
      <c r="Y6" s="358">
        <f t="shared" si="0"/>
        <v>184.98049664</v>
      </c>
      <c r="Z6" s="358">
        <f t="shared" si="0"/>
        <v>350.34258992</v>
      </c>
      <c r="AA6" s="358">
        <f t="shared" si="0"/>
        <v>6973.5769984</v>
      </c>
      <c r="AB6" s="358">
        <f t="shared" si="0"/>
        <v>2153.5608</v>
      </c>
      <c r="AC6" s="345"/>
    </row>
    <row r="7" s="311" customFormat="1" ht="21" customHeight="1" spans="1:29">
      <c r="A7" s="319"/>
      <c r="B7" s="319" t="s">
        <v>744</v>
      </c>
      <c r="C7" s="359" t="s">
        <v>132</v>
      </c>
      <c r="D7" s="360">
        <v>201</v>
      </c>
      <c r="E7" s="358">
        <f t="shared" ref="E7:AB7" si="1">SUM(E8:E186)</f>
        <v>4830.07</v>
      </c>
      <c r="F7" s="358">
        <f t="shared" si="1"/>
        <v>1835.88</v>
      </c>
      <c r="G7" s="358">
        <f t="shared" si="1"/>
        <v>894.43</v>
      </c>
      <c r="H7" s="358">
        <f t="shared" si="1"/>
        <v>664.38</v>
      </c>
      <c r="I7" s="358">
        <f t="shared" si="1"/>
        <v>22.44</v>
      </c>
      <c r="J7" s="358">
        <f t="shared" si="1"/>
        <v>67.51</v>
      </c>
      <c r="K7" s="358">
        <f t="shared" si="1"/>
        <v>1341.44</v>
      </c>
      <c r="L7" s="358">
        <f t="shared" si="1"/>
        <v>3.99</v>
      </c>
      <c r="M7" s="358">
        <f t="shared" si="1"/>
        <v>473.8531972</v>
      </c>
      <c r="N7" s="358">
        <f t="shared" si="1"/>
        <v>179.179184</v>
      </c>
      <c r="O7" s="358">
        <f t="shared" si="1"/>
        <v>87.962392</v>
      </c>
      <c r="P7" s="358">
        <f t="shared" si="1"/>
        <v>65.9717940000001</v>
      </c>
      <c r="Q7" s="358">
        <f t="shared" si="1"/>
        <v>2.1990598</v>
      </c>
      <c r="R7" s="358">
        <f t="shared" si="1"/>
        <v>6.5971794</v>
      </c>
      <c r="S7" s="358">
        <f t="shared" si="1"/>
        <v>131.943588</v>
      </c>
      <c r="T7" s="358">
        <f t="shared" si="1"/>
        <v>0</v>
      </c>
      <c r="U7" s="358">
        <f t="shared" si="1"/>
        <v>5303.9231972</v>
      </c>
      <c r="V7" s="358">
        <f t="shared" si="1"/>
        <v>2015.059184</v>
      </c>
      <c r="W7" s="358">
        <f t="shared" si="1"/>
        <v>982.392392</v>
      </c>
      <c r="X7" s="358">
        <f t="shared" si="1"/>
        <v>730.351794</v>
      </c>
      <c r="Y7" s="358">
        <f t="shared" si="1"/>
        <v>24.6390598</v>
      </c>
      <c r="Z7" s="358">
        <f t="shared" si="1"/>
        <v>74.1071794</v>
      </c>
      <c r="AA7" s="358">
        <f t="shared" si="1"/>
        <v>1473.383588</v>
      </c>
      <c r="AB7" s="358">
        <f t="shared" si="1"/>
        <v>3.99</v>
      </c>
      <c r="AC7" s="345"/>
    </row>
    <row r="8" ht="24" spans="1:29">
      <c r="A8" s="284" t="s">
        <v>195</v>
      </c>
      <c r="B8" s="284" t="s">
        <v>196</v>
      </c>
      <c r="C8" s="284" t="s">
        <v>197</v>
      </c>
      <c r="D8" s="284" t="s">
        <v>198</v>
      </c>
      <c r="E8" s="348">
        <f t="shared" ref="E8:E71" si="2">SUM(F8:L8)</f>
        <v>69.47</v>
      </c>
      <c r="F8" s="348">
        <v>26.78</v>
      </c>
      <c r="G8" s="348">
        <v>12.74</v>
      </c>
      <c r="H8" s="348">
        <v>9.56</v>
      </c>
      <c r="I8" s="348">
        <v>0.32</v>
      </c>
      <c r="J8" s="348">
        <v>0.96</v>
      </c>
      <c r="K8" s="348">
        <v>19.11</v>
      </c>
      <c r="L8" s="348"/>
      <c r="M8" s="348">
        <f>SUM(N8:T8)</f>
        <v>40.01288</v>
      </c>
      <c r="N8" s="348">
        <f>(SUM('工资福利（公务员、参公人员）'!R8:T8)+SUM('工资福利（事业）'!V8:X8,'工资福利（事业）'!AB8))*0.16</f>
        <v>15.2336</v>
      </c>
      <c r="O8" s="348">
        <f>(SUM('工资福利（公务员、参公人员）'!R8:S8)+SUM('工资福利（事业）'!V8:X8,'工资福利（事业）'!AB8))*0.08</f>
        <v>7.3968</v>
      </c>
      <c r="P8" s="348">
        <f>(SUM('工资福利（公务员、参公人员）'!R8:S8)+SUM('工资福利（事业）'!V8:X8,'工资福利（事业）'!AB8))*0.06</f>
        <v>5.5476</v>
      </c>
      <c r="Q8" s="348">
        <f>(SUM('工资福利（公务员、参公人员）'!R8:S8)+SUM('工资福利（事业）'!V8:X8,'工资福利（事业）'!AB8))*0.002</f>
        <v>0.18492</v>
      </c>
      <c r="R8" s="348">
        <f>(SUM('工资福利（公务员、参公人员）'!R8:S8)+SUM('工资福利（事业）'!V8:X8,'工资福利（事业）'!AB8))*0.006</f>
        <v>0.55476</v>
      </c>
      <c r="S8" s="348">
        <f>(SUM('工资福利（公务员、参公人员）'!R8:S8)+SUM('工资福利（事业）'!V8:X8,'工资福利（事业）'!AB8))*0.12</f>
        <v>11.0952</v>
      </c>
      <c r="T8" s="348"/>
      <c r="U8" s="348">
        <f>SUM(V8:AB8)</f>
        <v>109.48288</v>
      </c>
      <c r="V8" s="348">
        <f>F8+N8</f>
        <v>42.0136</v>
      </c>
      <c r="W8" s="348">
        <f t="shared" ref="W8:AB8" si="3">G8+O8</f>
        <v>20.1368</v>
      </c>
      <c r="X8" s="348">
        <f t="shared" si="3"/>
        <v>15.1076</v>
      </c>
      <c r="Y8" s="348">
        <f t="shared" si="3"/>
        <v>0.50492</v>
      </c>
      <c r="Z8" s="348">
        <f t="shared" si="3"/>
        <v>1.51476</v>
      </c>
      <c r="AA8" s="348">
        <f t="shared" si="3"/>
        <v>30.2052</v>
      </c>
      <c r="AB8" s="348">
        <f t="shared" si="3"/>
        <v>0</v>
      </c>
      <c r="AC8" s="350"/>
    </row>
    <row r="9" ht="24" spans="1:29">
      <c r="A9" s="284" t="s">
        <v>195</v>
      </c>
      <c r="B9" s="284" t="s">
        <v>199</v>
      </c>
      <c r="C9" s="284" t="s">
        <v>200</v>
      </c>
      <c r="D9" s="284" t="s">
        <v>201</v>
      </c>
      <c r="E9" s="348">
        <f t="shared" si="2"/>
        <v>9.64</v>
      </c>
      <c r="F9" s="348">
        <v>3.6</v>
      </c>
      <c r="G9" s="348">
        <v>1.8</v>
      </c>
      <c r="H9" s="348">
        <v>1.35</v>
      </c>
      <c r="I9" s="348">
        <v>0.05</v>
      </c>
      <c r="J9" s="348">
        <v>0.14</v>
      </c>
      <c r="K9" s="348">
        <v>2.7</v>
      </c>
      <c r="L9" s="348"/>
      <c r="M9" s="348">
        <f t="shared" ref="M9:M40" si="4">SUM(N9:T9)</f>
        <v>0.80892</v>
      </c>
      <c r="N9" s="348">
        <f>(SUM('工资福利（公务员、参公人员）'!R9:T9)+SUM('工资福利（事业）'!V9:X9,'工资福利（事业）'!AB9))*0.16</f>
        <v>0.3024</v>
      </c>
      <c r="O9" s="348">
        <f>(SUM('工资福利（公务员、参公人员）'!R9:S9)+SUM('工资福利（事业）'!V9:X9,'工资福利（事业）'!AB9))*0.08</f>
        <v>0.1512</v>
      </c>
      <c r="P9" s="348">
        <f>(SUM('工资福利（公务员、参公人员）'!R9:S9)+SUM('工资福利（事业）'!V9:X9,'工资福利（事业）'!AB9))*0.06</f>
        <v>0.1134</v>
      </c>
      <c r="Q9" s="348">
        <f>(SUM('工资福利（公务员、参公人员）'!R9:S9)+SUM('工资福利（事业）'!V9:X9,'工资福利（事业）'!AB9))*0.002</f>
        <v>0.00378</v>
      </c>
      <c r="R9" s="348">
        <f>(SUM('工资福利（公务员、参公人员）'!R9:S9)+SUM('工资福利（事业）'!V9:X9,'工资福利（事业）'!AB9))*0.006</f>
        <v>0.01134</v>
      </c>
      <c r="S9" s="348">
        <f>(SUM('工资福利（公务员、参公人员）'!R9:S9)+SUM('工资福利（事业）'!V9:X9,'工资福利（事业）'!AB9))*0.12</f>
        <v>0.2268</v>
      </c>
      <c r="T9" s="348"/>
      <c r="U9" s="348">
        <f t="shared" ref="U9:U40" si="5">SUM(V9:AB9)</f>
        <v>10.44892</v>
      </c>
      <c r="V9" s="348">
        <f t="shared" ref="V9:V40" si="6">F9+N9</f>
        <v>3.9024</v>
      </c>
      <c r="W9" s="348">
        <f t="shared" ref="W9:W40" si="7">G9+O9</f>
        <v>1.9512</v>
      </c>
      <c r="X9" s="348">
        <f t="shared" ref="X9:X40" si="8">H9+P9</f>
        <v>1.4634</v>
      </c>
      <c r="Y9" s="348">
        <f t="shared" ref="Y9:Y40" si="9">I9+Q9</f>
        <v>0.05378</v>
      </c>
      <c r="Z9" s="348">
        <f t="shared" ref="Z9:Z40" si="10">J9+R9</f>
        <v>0.15134</v>
      </c>
      <c r="AA9" s="348">
        <f t="shared" ref="AA9:AA40" si="11">K9+S9</f>
        <v>2.9268</v>
      </c>
      <c r="AB9" s="348">
        <f t="shared" ref="AB9:AB40" si="12">L9+T9</f>
        <v>0</v>
      </c>
      <c r="AC9" s="350"/>
    </row>
    <row r="10" ht="24" spans="1:29">
      <c r="A10" s="284" t="s">
        <v>195</v>
      </c>
      <c r="B10" s="284" t="s">
        <v>196</v>
      </c>
      <c r="C10" s="284" t="s">
        <v>202</v>
      </c>
      <c r="D10" s="284" t="s">
        <v>203</v>
      </c>
      <c r="E10" s="348">
        <f t="shared" si="2"/>
        <v>72.64</v>
      </c>
      <c r="F10" s="348">
        <v>28.01</v>
      </c>
      <c r="G10" s="348">
        <v>13.32</v>
      </c>
      <c r="H10" s="348">
        <v>9.99</v>
      </c>
      <c r="I10" s="348">
        <v>0.33</v>
      </c>
      <c r="J10" s="348">
        <v>1</v>
      </c>
      <c r="K10" s="348">
        <v>19.99</v>
      </c>
      <c r="L10" s="348"/>
      <c r="M10" s="348">
        <f t="shared" si="4"/>
        <v>28.83764</v>
      </c>
      <c r="N10" s="348">
        <f>(SUM('工资福利（公务员、参公人员）'!R10:T10)+SUM('工资福利（事业）'!V10:X10,'工资福利（事业）'!AB10))*0.16</f>
        <v>11.1952</v>
      </c>
      <c r="O10" s="348">
        <f>(SUM('工资福利（公务员、参公人员）'!R10:S10)+SUM('工资福利（事业）'!V10:X10,'工资福利（事业）'!AB10))*0.08</f>
        <v>5.2664</v>
      </c>
      <c r="P10" s="348">
        <f>(SUM('工资福利（公务员、参公人员）'!R10:S10)+SUM('工资福利（事业）'!V10:X10,'工资福利（事业）'!AB10))*0.06</f>
        <v>3.9498</v>
      </c>
      <c r="Q10" s="348">
        <f>(SUM('工资福利（公务员、参公人员）'!R10:S10)+SUM('工资福利（事业）'!V10:X10,'工资福利（事业）'!AB10))*0.002</f>
        <v>0.13166</v>
      </c>
      <c r="R10" s="348">
        <f>(SUM('工资福利（公务员、参公人员）'!R10:S10)+SUM('工资福利（事业）'!V10:X10,'工资福利（事业）'!AB10))*0.006</f>
        <v>0.39498</v>
      </c>
      <c r="S10" s="348">
        <f>(SUM('工资福利（公务员、参公人员）'!R10:S10)+SUM('工资福利（事业）'!V10:X10,'工资福利（事业）'!AB10))*0.12</f>
        <v>7.8996</v>
      </c>
      <c r="T10" s="348"/>
      <c r="U10" s="348">
        <f t="shared" si="5"/>
        <v>101.47764</v>
      </c>
      <c r="V10" s="348">
        <f t="shared" si="6"/>
        <v>39.2052</v>
      </c>
      <c r="W10" s="348">
        <f t="shared" si="7"/>
        <v>18.5864</v>
      </c>
      <c r="X10" s="348">
        <f t="shared" si="8"/>
        <v>13.9398</v>
      </c>
      <c r="Y10" s="348">
        <f t="shared" si="9"/>
        <v>0.46166</v>
      </c>
      <c r="Z10" s="348">
        <f t="shared" si="10"/>
        <v>1.39498</v>
      </c>
      <c r="AA10" s="348">
        <f t="shared" si="11"/>
        <v>27.8896</v>
      </c>
      <c r="AB10" s="348">
        <f t="shared" si="12"/>
        <v>0</v>
      </c>
      <c r="AC10" s="350"/>
    </row>
    <row r="11" ht="24" spans="1:29">
      <c r="A11" s="284" t="s">
        <v>195</v>
      </c>
      <c r="B11" s="284" t="s">
        <v>199</v>
      </c>
      <c r="C11" s="284" t="s">
        <v>204</v>
      </c>
      <c r="D11" s="284" t="s">
        <v>205</v>
      </c>
      <c r="E11" s="348">
        <f t="shared" si="2"/>
        <v>7.71</v>
      </c>
      <c r="F11" s="348">
        <v>2.88</v>
      </c>
      <c r="G11" s="348">
        <v>1.44</v>
      </c>
      <c r="H11" s="348">
        <v>1.08</v>
      </c>
      <c r="I11" s="348">
        <v>0.04</v>
      </c>
      <c r="J11" s="348">
        <v>0.11</v>
      </c>
      <c r="K11" s="348">
        <v>2.16</v>
      </c>
      <c r="L11" s="348"/>
      <c r="M11" s="348">
        <f t="shared" si="4"/>
        <v>0.62916</v>
      </c>
      <c r="N11" s="348">
        <f>(SUM('工资福利（公务员、参公人员）'!R11:T11)+SUM('工资福利（事业）'!V11:X11,'工资福利（事业）'!AB11))*0.16</f>
        <v>0.2352</v>
      </c>
      <c r="O11" s="348">
        <f>(SUM('工资福利（公务员、参公人员）'!R11:S11)+SUM('工资福利（事业）'!V11:X11,'工资福利（事业）'!AB11))*0.08</f>
        <v>0.1176</v>
      </c>
      <c r="P11" s="348">
        <f>(SUM('工资福利（公务员、参公人员）'!R11:S11)+SUM('工资福利（事业）'!V11:X11,'工资福利（事业）'!AB11))*0.06</f>
        <v>0.0882</v>
      </c>
      <c r="Q11" s="348">
        <f>(SUM('工资福利（公务员、参公人员）'!R11:S11)+SUM('工资福利（事业）'!V11:X11,'工资福利（事业）'!AB11))*0.002</f>
        <v>0.00294</v>
      </c>
      <c r="R11" s="348">
        <f>(SUM('工资福利（公务员、参公人员）'!R11:S11)+SUM('工资福利（事业）'!V11:X11,'工资福利（事业）'!AB11))*0.006</f>
        <v>0.00882</v>
      </c>
      <c r="S11" s="348">
        <f>(SUM('工资福利（公务员、参公人员）'!R11:S11)+SUM('工资福利（事业）'!V11:X11,'工资福利（事业）'!AB11))*0.12</f>
        <v>0.1764</v>
      </c>
      <c r="T11" s="348"/>
      <c r="U11" s="348">
        <f t="shared" si="5"/>
        <v>8.33916</v>
      </c>
      <c r="V11" s="348">
        <f t="shared" si="6"/>
        <v>3.1152</v>
      </c>
      <c r="W11" s="348">
        <f t="shared" si="7"/>
        <v>1.5576</v>
      </c>
      <c r="X11" s="348">
        <f t="shared" si="8"/>
        <v>1.1682</v>
      </c>
      <c r="Y11" s="348">
        <f t="shared" si="9"/>
        <v>0.04294</v>
      </c>
      <c r="Z11" s="348">
        <f t="shared" si="10"/>
        <v>0.11882</v>
      </c>
      <c r="AA11" s="348">
        <f t="shared" si="11"/>
        <v>2.3364</v>
      </c>
      <c r="AB11" s="348">
        <f t="shared" si="12"/>
        <v>0</v>
      </c>
      <c r="AC11" s="350"/>
    </row>
    <row r="12" ht="24" spans="1:29">
      <c r="A12" s="284" t="s">
        <v>195</v>
      </c>
      <c r="B12" s="284" t="s">
        <v>196</v>
      </c>
      <c r="C12" s="284" t="s">
        <v>206</v>
      </c>
      <c r="D12" s="284" t="s">
        <v>207</v>
      </c>
      <c r="E12" s="348">
        <f t="shared" si="2"/>
        <v>78.92</v>
      </c>
      <c r="F12" s="348">
        <v>30.39</v>
      </c>
      <c r="G12" s="348">
        <v>14.49</v>
      </c>
      <c r="H12" s="348">
        <v>10.86</v>
      </c>
      <c r="I12" s="348">
        <v>0.36</v>
      </c>
      <c r="J12" s="348">
        <v>1.09</v>
      </c>
      <c r="K12" s="348">
        <v>21.73</v>
      </c>
      <c r="L12" s="348"/>
      <c r="M12" s="348">
        <f t="shared" si="4"/>
        <v>-1.23468</v>
      </c>
      <c r="N12" s="348">
        <f>(SUM('工资福利（公务员、参公人员）'!R12:T12)+SUM('工资福利（事业）'!V12:X12,'工资福利（事业）'!AB12))*0.16</f>
        <v>-0.4816</v>
      </c>
      <c r="O12" s="348">
        <f>(SUM('工资福利（公务员、参公人员）'!R12:S12)+SUM('工资福利（事业）'!V12:X12,'工资福利（事业）'!AB12))*0.08</f>
        <v>-0.2248</v>
      </c>
      <c r="P12" s="348">
        <f>(SUM('工资福利（公务员、参公人员）'!R12:S12)+SUM('工资福利（事业）'!V12:X12,'工资福利（事业）'!AB12))*0.06</f>
        <v>-0.1686</v>
      </c>
      <c r="Q12" s="348">
        <f>(SUM('工资福利（公务员、参公人员）'!R12:S12)+SUM('工资福利（事业）'!V12:X12,'工资福利（事业）'!AB12))*0.002</f>
        <v>-0.00562</v>
      </c>
      <c r="R12" s="348">
        <f>(SUM('工资福利（公务员、参公人员）'!R12:S12)+SUM('工资福利（事业）'!V12:X12,'工资福利（事业）'!AB12))*0.006</f>
        <v>-0.01686</v>
      </c>
      <c r="S12" s="348">
        <f>(SUM('工资福利（公务员、参公人员）'!R12:S12)+SUM('工资福利（事业）'!V12:X12,'工资福利（事业）'!AB12))*0.12</f>
        <v>-0.3372</v>
      </c>
      <c r="T12" s="348"/>
      <c r="U12" s="348">
        <f t="shared" si="5"/>
        <v>77.68532</v>
      </c>
      <c r="V12" s="348">
        <f t="shared" si="6"/>
        <v>29.9084</v>
      </c>
      <c r="W12" s="348">
        <f t="shared" si="7"/>
        <v>14.2652</v>
      </c>
      <c r="X12" s="348">
        <f t="shared" si="8"/>
        <v>10.6914</v>
      </c>
      <c r="Y12" s="348">
        <f t="shared" si="9"/>
        <v>0.35438</v>
      </c>
      <c r="Z12" s="348">
        <f t="shared" si="10"/>
        <v>1.07314</v>
      </c>
      <c r="AA12" s="348">
        <f t="shared" si="11"/>
        <v>21.3928</v>
      </c>
      <c r="AB12" s="348">
        <f t="shared" si="12"/>
        <v>0</v>
      </c>
      <c r="AC12" s="350"/>
    </row>
    <row r="13" ht="24" spans="1:29">
      <c r="A13" s="284" t="s">
        <v>208</v>
      </c>
      <c r="B13" s="284" t="s">
        <v>196</v>
      </c>
      <c r="C13" s="284" t="s">
        <v>209</v>
      </c>
      <c r="D13" s="284" t="s">
        <v>207</v>
      </c>
      <c r="E13" s="348">
        <f t="shared" si="2"/>
        <v>9.55</v>
      </c>
      <c r="F13" s="348">
        <v>3.68</v>
      </c>
      <c r="G13" s="348">
        <v>1.75</v>
      </c>
      <c r="H13" s="348">
        <v>1.32</v>
      </c>
      <c r="I13" s="348">
        <v>0.04</v>
      </c>
      <c r="J13" s="348">
        <v>0.13</v>
      </c>
      <c r="K13" s="348">
        <v>2.63</v>
      </c>
      <c r="L13" s="348"/>
      <c r="M13" s="348">
        <f t="shared" si="4"/>
        <v>0.55096</v>
      </c>
      <c r="N13" s="348">
        <f>(SUM('工资福利（公务员、参公人员）'!R13:T13)+SUM('工资福利（事业）'!V13:X13,'工资福利（事业）'!AB13))*0.16</f>
        <v>0.224</v>
      </c>
      <c r="O13" s="348">
        <f>(SUM('工资福利（公务员、参公人员）'!R13:S13)+SUM('工资福利（事业）'!V13:X13,'工资福利（事业）'!AB13))*0.08</f>
        <v>0.0976</v>
      </c>
      <c r="P13" s="348">
        <f>(SUM('工资福利（公务员、参公人员）'!R13:S13)+SUM('工资福利（事业）'!V13:X13,'工资福利（事业）'!AB13))*0.06</f>
        <v>0.0732</v>
      </c>
      <c r="Q13" s="348">
        <f>(SUM('工资福利（公务员、参公人员）'!R13:S13)+SUM('工资福利（事业）'!V13:X13,'工资福利（事业）'!AB13))*0.002</f>
        <v>0.00244</v>
      </c>
      <c r="R13" s="348">
        <f>(SUM('工资福利（公务员、参公人员）'!R13:S13)+SUM('工资福利（事业）'!V13:X13,'工资福利（事业）'!AB13))*0.006</f>
        <v>0.00732</v>
      </c>
      <c r="S13" s="348">
        <f>(SUM('工资福利（公务员、参公人员）'!R13:S13)+SUM('工资福利（事业）'!V13:X13,'工资福利（事业）'!AB13))*0.12</f>
        <v>0.1464</v>
      </c>
      <c r="T13" s="348"/>
      <c r="U13" s="348">
        <f t="shared" si="5"/>
        <v>10.10096</v>
      </c>
      <c r="V13" s="348">
        <f t="shared" si="6"/>
        <v>3.904</v>
      </c>
      <c r="W13" s="348">
        <f t="shared" si="7"/>
        <v>1.8476</v>
      </c>
      <c r="X13" s="348">
        <f t="shared" si="8"/>
        <v>1.3932</v>
      </c>
      <c r="Y13" s="348">
        <f t="shared" si="9"/>
        <v>0.04244</v>
      </c>
      <c r="Z13" s="348">
        <f t="shared" si="10"/>
        <v>0.13732</v>
      </c>
      <c r="AA13" s="348">
        <f t="shared" si="11"/>
        <v>2.7764</v>
      </c>
      <c r="AB13" s="348">
        <f t="shared" si="12"/>
        <v>0</v>
      </c>
      <c r="AC13" s="350"/>
    </row>
    <row r="14" ht="24" spans="1:29">
      <c r="A14" s="284" t="s">
        <v>195</v>
      </c>
      <c r="B14" s="284" t="s">
        <v>196</v>
      </c>
      <c r="C14" s="284" t="s">
        <v>210</v>
      </c>
      <c r="D14" s="284" t="s">
        <v>211</v>
      </c>
      <c r="E14" s="348">
        <f t="shared" si="2"/>
        <v>17.67</v>
      </c>
      <c r="F14" s="348">
        <v>6.8</v>
      </c>
      <c r="G14" s="348">
        <v>3.25</v>
      </c>
      <c r="H14" s="348">
        <v>2.43</v>
      </c>
      <c r="I14" s="348">
        <v>0.08</v>
      </c>
      <c r="J14" s="348">
        <v>0.24</v>
      </c>
      <c r="K14" s="348">
        <v>4.87</v>
      </c>
      <c r="L14" s="348"/>
      <c r="M14" s="348">
        <f t="shared" si="4"/>
        <v>-0.14968</v>
      </c>
      <c r="N14" s="348">
        <f>(SUM('工资福利（公务员、参公人员）'!R14:T14)+SUM('工资福利（事业）'!V14:X14,'工资福利（事业）'!AB14))*0.16</f>
        <v>-0.08</v>
      </c>
      <c r="O14" s="348">
        <f>(SUM('工资福利（公务员、参公人员）'!R14:S14)+SUM('工资福利（事业）'!V14:X14,'工资福利（事业）'!AB14))*0.08</f>
        <v>-0.0208</v>
      </c>
      <c r="P14" s="348">
        <f>(SUM('工资福利（公务员、参公人员）'!R14:S14)+SUM('工资福利（事业）'!V14:X14,'工资福利（事业）'!AB14))*0.06</f>
        <v>-0.0156</v>
      </c>
      <c r="Q14" s="348">
        <f>(SUM('工资福利（公务员、参公人员）'!R14:S14)+SUM('工资福利（事业）'!V14:X14,'工资福利（事业）'!AB14))*0.002</f>
        <v>-0.00052</v>
      </c>
      <c r="R14" s="348">
        <f>(SUM('工资福利（公务员、参公人员）'!R14:S14)+SUM('工资福利（事业）'!V14:X14,'工资福利（事业）'!AB14))*0.006</f>
        <v>-0.00156</v>
      </c>
      <c r="S14" s="348">
        <f>(SUM('工资福利（公务员、参公人员）'!R14:S14)+SUM('工资福利（事业）'!V14:X14,'工资福利（事业）'!AB14))*0.12</f>
        <v>-0.0312</v>
      </c>
      <c r="T14" s="348"/>
      <c r="U14" s="348">
        <f t="shared" si="5"/>
        <v>17.52032</v>
      </c>
      <c r="V14" s="348">
        <f t="shared" si="6"/>
        <v>6.72</v>
      </c>
      <c r="W14" s="348">
        <f t="shared" si="7"/>
        <v>3.2292</v>
      </c>
      <c r="X14" s="348">
        <f t="shared" si="8"/>
        <v>2.4144</v>
      </c>
      <c r="Y14" s="348">
        <f t="shared" si="9"/>
        <v>0.07948</v>
      </c>
      <c r="Z14" s="348">
        <f t="shared" si="10"/>
        <v>0.23844</v>
      </c>
      <c r="AA14" s="348">
        <f t="shared" si="11"/>
        <v>4.8388</v>
      </c>
      <c r="AB14" s="348">
        <f t="shared" si="12"/>
        <v>0</v>
      </c>
      <c r="AC14" s="350"/>
    </row>
    <row r="15" ht="24" spans="1:29">
      <c r="A15" s="284" t="s">
        <v>195</v>
      </c>
      <c r="B15" s="284" t="s">
        <v>199</v>
      </c>
      <c r="C15" s="284" t="s">
        <v>212</v>
      </c>
      <c r="D15" s="284" t="s">
        <v>213</v>
      </c>
      <c r="E15" s="348">
        <f t="shared" si="2"/>
        <v>9.46</v>
      </c>
      <c r="F15" s="348">
        <v>3.54</v>
      </c>
      <c r="G15" s="348">
        <v>1.77</v>
      </c>
      <c r="H15" s="348">
        <v>1.33</v>
      </c>
      <c r="I15" s="348">
        <v>0.04</v>
      </c>
      <c r="J15" s="348">
        <v>0.13</v>
      </c>
      <c r="K15" s="348">
        <v>2.65</v>
      </c>
      <c r="L15" s="348"/>
      <c r="M15" s="348">
        <f t="shared" si="4"/>
        <v>0.7276</v>
      </c>
      <c r="N15" s="348">
        <f>(SUM('工资福利（公务员、参公人员）'!R15:T15)+SUM('工资福利（事业）'!V15:X15,'工资福利（事业）'!AB15))*0.16</f>
        <v>0.272</v>
      </c>
      <c r="O15" s="348">
        <f>(SUM('工资福利（公务员、参公人员）'!R15:S15)+SUM('工资福利（事业）'!V15:X15,'工资福利（事业）'!AB15))*0.08</f>
        <v>0.136</v>
      </c>
      <c r="P15" s="348">
        <f>(SUM('工资福利（公务员、参公人员）'!R15:S15)+SUM('工资福利（事业）'!V15:X15,'工资福利（事业）'!AB15))*0.06</f>
        <v>0.102</v>
      </c>
      <c r="Q15" s="348">
        <f>(SUM('工资福利（公务员、参公人员）'!R15:S15)+SUM('工资福利（事业）'!V15:X15,'工资福利（事业）'!AB15))*0.002</f>
        <v>0.0034</v>
      </c>
      <c r="R15" s="348">
        <f>(SUM('工资福利（公务员、参公人员）'!R15:S15)+SUM('工资福利（事业）'!V15:X15,'工资福利（事业）'!AB15))*0.006</f>
        <v>0.0102</v>
      </c>
      <c r="S15" s="348">
        <f>(SUM('工资福利（公务员、参公人员）'!R15:S15)+SUM('工资福利（事业）'!V15:X15,'工资福利（事业）'!AB15))*0.12</f>
        <v>0.204</v>
      </c>
      <c r="T15" s="348"/>
      <c r="U15" s="348">
        <f t="shared" si="5"/>
        <v>10.1876</v>
      </c>
      <c r="V15" s="348">
        <f t="shared" si="6"/>
        <v>3.812</v>
      </c>
      <c r="W15" s="348">
        <f t="shared" si="7"/>
        <v>1.906</v>
      </c>
      <c r="X15" s="348">
        <f t="shared" si="8"/>
        <v>1.432</v>
      </c>
      <c r="Y15" s="348">
        <f t="shared" si="9"/>
        <v>0.0434</v>
      </c>
      <c r="Z15" s="348">
        <f t="shared" si="10"/>
        <v>0.1402</v>
      </c>
      <c r="AA15" s="348">
        <f t="shared" si="11"/>
        <v>2.854</v>
      </c>
      <c r="AB15" s="348">
        <f t="shared" si="12"/>
        <v>0</v>
      </c>
      <c r="AC15" s="350"/>
    </row>
    <row r="16" ht="24" spans="1:29">
      <c r="A16" s="284" t="s">
        <v>195</v>
      </c>
      <c r="B16" s="284" t="s">
        <v>199</v>
      </c>
      <c r="C16" s="284" t="s">
        <v>214</v>
      </c>
      <c r="D16" s="284" t="s">
        <v>213</v>
      </c>
      <c r="E16" s="348">
        <f t="shared" si="2"/>
        <v>6.31</v>
      </c>
      <c r="F16" s="348">
        <v>2.36</v>
      </c>
      <c r="G16" s="348">
        <v>1.18</v>
      </c>
      <c r="H16" s="348">
        <v>0.88</v>
      </c>
      <c r="I16" s="348">
        <v>0.03</v>
      </c>
      <c r="J16" s="348">
        <v>0.09</v>
      </c>
      <c r="K16" s="348">
        <v>1.77</v>
      </c>
      <c r="L16" s="348"/>
      <c r="M16" s="348">
        <f t="shared" si="4"/>
        <v>1.9688</v>
      </c>
      <c r="N16" s="348">
        <f>(SUM('工资福利（公务员、参公人员）'!R16:T16)+SUM('工资福利（事业）'!V16:X16,'工资福利（事业）'!AB16))*0.16</f>
        <v>0.736</v>
      </c>
      <c r="O16" s="348">
        <f>(SUM('工资福利（公务员、参公人员）'!R16:S16)+SUM('工资福利（事业）'!V16:X16,'工资福利（事业）'!AB16))*0.08</f>
        <v>0.368</v>
      </c>
      <c r="P16" s="348">
        <f>(SUM('工资福利（公务员、参公人员）'!R16:S16)+SUM('工资福利（事业）'!V16:X16,'工资福利（事业）'!AB16))*0.06</f>
        <v>0.276</v>
      </c>
      <c r="Q16" s="348">
        <f>(SUM('工资福利（公务员、参公人员）'!R16:S16)+SUM('工资福利（事业）'!V16:X16,'工资福利（事业）'!AB16))*0.002</f>
        <v>0.0092</v>
      </c>
      <c r="R16" s="348">
        <f>(SUM('工资福利（公务员、参公人员）'!R16:S16)+SUM('工资福利（事业）'!V16:X16,'工资福利（事业）'!AB16))*0.006</f>
        <v>0.0276</v>
      </c>
      <c r="S16" s="348">
        <f>(SUM('工资福利（公务员、参公人员）'!R16:S16)+SUM('工资福利（事业）'!V16:X16,'工资福利（事业）'!AB16))*0.12</f>
        <v>0.552</v>
      </c>
      <c r="T16" s="348"/>
      <c r="U16" s="348">
        <f t="shared" si="5"/>
        <v>8.2788</v>
      </c>
      <c r="V16" s="348">
        <f t="shared" si="6"/>
        <v>3.096</v>
      </c>
      <c r="W16" s="348">
        <f t="shared" si="7"/>
        <v>1.548</v>
      </c>
      <c r="X16" s="348">
        <f t="shared" si="8"/>
        <v>1.156</v>
      </c>
      <c r="Y16" s="348">
        <f t="shared" si="9"/>
        <v>0.0392</v>
      </c>
      <c r="Z16" s="348">
        <f t="shared" si="10"/>
        <v>0.1176</v>
      </c>
      <c r="AA16" s="348">
        <f t="shared" si="11"/>
        <v>2.322</v>
      </c>
      <c r="AB16" s="348">
        <f t="shared" si="12"/>
        <v>0</v>
      </c>
      <c r="AC16" s="350"/>
    </row>
    <row r="17" ht="24" spans="1:29">
      <c r="A17" s="284" t="s">
        <v>195</v>
      </c>
      <c r="B17" s="284" t="s">
        <v>199</v>
      </c>
      <c r="C17" s="284" t="s">
        <v>215</v>
      </c>
      <c r="D17" s="284" t="s">
        <v>213</v>
      </c>
      <c r="E17" s="348">
        <f t="shared" si="2"/>
        <v>5.27</v>
      </c>
      <c r="F17" s="348">
        <v>1.97</v>
      </c>
      <c r="G17" s="348">
        <v>0.99</v>
      </c>
      <c r="H17" s="348">
        <v>0.74</v>
      </c>
      <c r="I17" s="348">
        <v>0.02</v>
      </c>
      <c r="J17" s="348">
        <v>0.07</v>
      </c>
      <c r="K17" s="348">
        <v>1.48</v>
      </c>
      <c r="L17" s="348"/>
      <c r="M17" s="348">
        <f t="shared" si="4"/>
        <v>2.14</v>
      </c>
      <c r="N17" s="348">
        <f>(SUM('工资福利（公务员、参公人员）'!R17:T17)+SUM('工资福利（事业）'!V17:X17,'工资福利（事业）'!AB17))*0.16</f>
        <v>0.8</v>
      </c>
      <c r="O17" s="348">
        <f>(SUM('工资福利（公务员、参公人员）'!R17:S17)+SUM('工资福利（事业）'!V17:X17,'工资福利（事业）'!AB17))*0.08</f>
        <v>0.4</v>
      </c>
      <c r="P17" s="348">
        <f>(SUM('工资福利（公务员、参公人员）'!R17:S17)+SUM('工资福利（事业）'!V17:X17,'工资福利（事业）'!AB17))*0.06</f>
        <v>0.3</v>
      </c>
      <c r="Q17" s="348">
        <f>(SUM('工资福利（公务员、参公人员）'!R17:S17)+SUM('工资福利（事业）'!V17:X17,'工资福利（事业）'!AB17))*0.002</f>
        <v>0.01</v>
      </c>
      <c r="R17" s="348">
        <f>(SUM('工资福利（公务员、参公人员）'!R17:S17)+SUM('工资福利（事业）'!V17:X17,'工资福利（事业）'!AB17))*0.006</f>
        <v>0.03</v>
      </c>
      <c r="S17" s="348">
        <f>(SUM('工资福利（公务员、参公人员）'!R17:S17)+SUM('工资福利（事业）'!V17:X17,'工资福利（事业）'!AB17))*0.12</f>
        <v>0.6</v>
      </c>
      <c r="T17" s="348"/>
      <c r="U17" s="348">
        <f t="shared" si="5"/>
        <v>7.41</v>
      </c>
      <c r="V17" s="348">
        <f t="shared" si="6"/>
        <v>2.77</v>
      </c>
      <c r="W17" s="348">
        <f t="shared" si="7"/>
        <v>1.39</v>
      </c>
      <c r="X17" s="348">
        <f t="shared" si="8"/>
        <v>1.04</v>
      </c>
      <c r="Y17" s="348">
        <f t="shared" si="9"/>
        <v>0.03</v>
      </c>
      <c r="Z17" s="348">
        <f t="shared" si="10"/>
        <v>0.1</v>
      </c>
      <c r="AA17" s="348">
        <f t="shared" si="11"/>
        <v>2.08</v>
      </c>
      <c r="AB17" s="348">
        <f t="shared" si="12"/>
        <v>0</v>
      </c>
      <c r="AC17" s="350"/>
    </row>
    <row r="18" ht="24" spans="1:29">
      <c r="A18" s="284" t="s">
        <v>195</v>
      </c>
      <c r="B18" s="284" t="s">
        <v>199</v>
      </c>
      <c r="C18" s="284" t="s">
        <v>216</v>
      </c>
      <c r="D18" s="284" t="s">
        <v>213</v>
      </c>
      <c r="E18" s="348">
        <f t="shared" si="2"/>
        <v>9.09</v>
      </c>
      <c r="F18" s="348">
        <v>3.4</v>
      </c>
      <c r="G18" s="348">
        <v>1.7</v>
      </c>
      <c r="H18" s="348">
        <v>1.27</v>
      </c>
      <c r="I18" s="348">
        <v>0.04</v>
      </c>
      <c r="J18" s="348">
        <v>0.13</v>
      </c>
      <c r="K18" s="348">
        <v>2.55</v>
      </c>
      <c r="L18" s="348"/>
      <c r="M18" s="348">
        <f t="shared" si="4"/>
        <v>1.12564</v>
      </c>
      <c r="N18" s="348">
        <f>(SUM('工资福利（公务员、参公人员）'!R18:T18)+SUM('工资福利（事业）'!V18:X18,'工资福利（事业）'!AB18))*0.16</f>
        <v>0.4208</v>
      </c>
      <c r="O18" s="348">
        <f>(SUM('工资福利（公务员、参公人员）'!R18:S18)+SUM('工资福利（事业）'!V18:X18,'工资福利（事业）'!AB18))*0.08</f>
        <v>0.2104</v>
      </c>
      <c r="P18" s="348">
        <f>(SUM('工资福利（公务员、参公人员）'!R18:S18)+SUM('工资福利（事业）'!V18:X18,'工资福利（事业）'!AB18))*0.06</f>
        <v>0.1578</v>
      </c>
      <c r="Q18" s="348">
        <f>(SUM('工资福利（公务员、参公人员）'!R18:S18)+SUM('工资福利（事业）'!V18:X18,'工资福利（事业）'!AB18))*0.002</f>
        <v>0.00526</v>
      </c>
      <c r="R18" s="348">
        <f>(SUM('工资福利（公务员、参公人员）'!R18:S18)+SUM('工资福利（事业）'!V18:X18,'工资福利（事业）'!AB18))*0.006</f>
        <v>0.01578</v>
      </c>
      <c r="S18" s="348">
        <f>(SUM('工资福利（公务员、参公人员）'!R18:S18)+SUM('工资福利（事业）'!V18:X18,'工资福利（事业）'!AB18))*0.12</f>
        <v>0.3156</v>
      </c>
      <c r="T18" s="348"/>
      <c r="U18" s="348">
        <f t="shared" si="5"/>
        <v>10.21564</v>
      </c>
      <c r="V18" s="348">
        <f t="shared" si="6"/>
        <v>3.8208</v>
      </c>
      <c r="W18" s="348">
        <f t="shared" si="7"/>
        <v>1.9104</v>
      </c>
      <c r="X18" s="348">
        <f t="shared" si="8"/>
        <v>1.4278</v>
      </c>
      <c r="Y18" s="348">
        <f t="shared" si="9"/>
        <v>0.04526</v>
      </c>
      <c r="Z18" s="348">
        <f t="shared" si="10"/>
        <v>0.14578</v>
      </c>
      <c r="AA18" s="348">
        <f t="shared" si="11"/>
        <v>2.8656</v>
      </c>
      <c r="AB18" s="348">
        <f t="shared" si="12"/>
        <v>0</v>
      </c>
      <c r="AC18" s="350"/>
    </row>
    <row r="19" ht="24" spans="1:29">
      <c r="A19" s="284" t="s">
        <v>195</v>
      </c>
      <c r="B19" s="284" t="s">
        <v>199</v>
      </c>
      <c r="C19" s="284" t="s">
        <v>217</v>
      </c>
      <c r="D19" s="284" t="s">
        <v>213</v>
      </c>
      <c r="E19" s="348">
        <f t="shared" si="2"/>
        <v>19.58</v>
      </c>
      <c r="F19" s="348">
        <v>7.32</v>
      </c>
      <c r="G19" s="348">
        <v>3.66</v>
      </c>
      <c r="H19" s="348">
        <v>2.75</v>
      </c>
      <c r="I19" s="348">
        <v>0.09</v>
      </c>
      <c r="J19" s="348">
        <v>0.27</v>
      </c>
      <c r="K19" s="348">
        <v>5.49</v>
      </c>
      <c r="L19" s="348"/>
      <c r="M19" s="348">
        <f t="shared" si="4"/>
        <v>5.87644</v>
      </c>
      <c r="N19" s="348">
        <f>(SUM('工资福利（公务员、参公人员）'!R19:T19)+SUM('工资福利（事业）'!V19:X19,'工资福利（事业）'!AB19))*0.16</f>
        <v>2.1968</v>
      </c>
      <c r="O19" s="348">
        <f>(SUM('工资福利（公务员、参公人员）'!R19:S19)+SUM('工资福利（事业）'!V19:X19,'工资福利（事业）'!AB19))*0.08</f>
        <v>1.0984</v>
      </c>
      <c r="P19" s="348">
        <f>(SUM('工资福利（公务员、参公人员）'!R19:S19)+SUM('工资福利（事业）'!V19:X19,'工资福利（事业）'!AB19))*0.06</f>
        <v>0.8238</v>
      </c>
      <c r="Q19" s="348">
        <f>(SUM('工资福利（公务员、参公人员）'!R19:S19)+SUM('工资福利（事业）'!V19:X19,'工资福利（事业）'!AB19))*0.002</f>
        <v>0.02746</v>
      </c>
      <c r="R19" s="348">
        <f>(SUM('工资福利（公务员、参公人员）'!R19:S19)+SUM('工资福利（事业）'!V19:X19,'工资福利（事业）'!AB19))*0.006</f>
        <v>0.08238</v>
      </c>
      <c r="S19" s="348">
        <f>(SUM('工资福利（公务员、参公人员）'!R19:S19)+SUM('工资福利（事业）'!V19:X19,'工资福利（事业）'!AB19))*0.12</f>
        <v>1.6476</v>
      </c>
      <c r="T19" s="348"/>
      <c r="U19" s="348">
        <f t="shared" si="5"/>
        <v>25.45644</v>
      </c>
      <c r="V19" s="348">
        <f t="shared" si="6"/>
        <v>9.5168</v>
      </c>
      <c r="W19" s="348">
        <f t="shared" si="7"/>
        <v>4.7584</v>
      </c>
      <c r="X19" s="348">
        <f t="shared" si="8"/>
        <v>3.5738</v>
      </c>
      <c r="Y19" s="348">
        <f t="shared" si="9"/>
        <v>0.11746</v>
      </c>
      <c r="Z19" s="348">
        <f t="shared" si="10"/>
        <v>0.35238</v>
      </c>
      <c r="AA19" s="348">
        <f t="shared" si="11"/>
        <v>7.1376</v>
      </c>
      <c r="AB19" s="348">
        <f t="shared" si="12"/>
        <v>0</v>
      </c>
      <c r="AC19" s="350"/>
    </row>
    <row r="20" ht="24" spans="1:29">
      <c r="A20" s="284" t="s">
        <v>195</v>
      </c>
      <c r="B20" s="284" t="s">
        <v>199</v>
      </c>
      <c r="C20" s="284" t="s">
        <v>218</v>
      </c>
      <c r="D20" s="284" t="s">
        <v>213</v>
      </c>
      <c r="E20" s="348">
        <f t="shared" si="2"/>
        <v>31.25</v>
      </c>
      <c r="F20" s="348">
        <v>11.68</v>
      </c>
      <c r="G20" s="348">
        <v>5.84</v>
      </c>
      <c r="H20" s="348">
        <v>4.38</v>
      </c>
      <c r="I20" s="348">
        <v>0.15</v>
      </c>
      <c r="J20" s="348">
        <v>0.44</v>
      </c>
      <c r="K20" s="348">
        <v>8.76</v>
      </c>
      <c r="L20" s="348"/>
      <c r="M20" s="348">
        <f t="shared" si="4"/>
        <v>7.82812</v>
      </c>
      <c r="N20" s="348">
        <f>(SUM('工资福利（公务员、参公人员）'!R20:T20)+SUM('工资福利（事业）'!V20:X20,'工资福利（事业）'!AB20))*0.16</f>
        <v>2.9264</v>
      </c>
      <c r="O20" s="348">
        <f>(SUM('工资福利（公务员、参公人员）'!R20:S20)+SUM('工资福利（事业）'!V20:X20,'工资福利（事业）'!AB20))*0.08</f>
        <v>1.4632</v>
      </c>
      <c r="P20" s="348">
        <f>(SUM('工资福利（公务员、参公人员）'!R20:S20)+SUM('工资福利（事业）'!V20:X20,'工资福利（事业）'!AB20))*0.06</f>
        <v>1.0974</v>
      </c>
      <c r="Q20" s="348">
        <f>(SUM('工资福利（公务员、参公人员）'!R20:S20)+SUM('工资福利（事业）'!V20:X20,'工资福利（事业）'!AB20))*0.002</f>
        <v>0.03658</v>
      </c>
      <c r="R20" s="348">
        <f>(SUM('工资福利（公务员、参公人员）'!R20:S20)+SUM('工资福利（事业）'!V20:X20,'工资福利（事业）'!AB20))*0.006</f>
        <v>0.10974</v>
      </c>
      <c r="S20" s="348">
        <f>(SUM('工资福利（公务员、参公人员）'!R20:S20)+SUM('工资福利（事业）'!V20:X20,'工资福利（事业）'!AB20))*0.12</f>
        <v>2.1948</v>
      </c>
      <c r="T20" s="348"/>
      <c r="U20" s="348">
        <f t="shared" si="5"/>
        <v>39.07812</v>
      </c>
      <c r="V20" s="348">
        <f t="shared" si="6"/>
        <v>14.6064</v>
      </c>
      <c r="W20" s="348">
        <f t="shared" si="7"/>
        <v>7.3032</v>
      </c>
      <c r="X20" s="348">
        <f t="shared" si="8"/>
        <v>5.4774</v>
      </c>
      <c r="Y20" s="348">
        <f t="shared" si="9"/>
        <v>0.18658</v>
      </c>
      <c r="Z20" s="348">
        <f t="shared" si="10"/>
        <v>0.54974</v>
      </c>
      <c r="AA20" s="348">
        <f t="shared" si="11"/>
        <v>10.9548</v>
      </c>
      <c r="AB20" s="348">
        <f t="shared" si="12"/>
        <v>0</v>
      </c>
      <c r="AC20" s="350"/>
    </row>
    <row r="21" ht="24" spans="1:29">
      <c r="A21" s="284" t="s">
        <v>208</v>
      </c>
      <c r="B21" s="284" t="s">
        <v>199</v>
      </c>
      <c r="C21" s="284" t="s">
        <v>219</v>
      </c>
      <c r="D21" s="284" t="s">
        <v>213</v>
      </c>
      <c r="E21" s="348">
        <f t="shared" si="2"/>
        <v>17.91</v>
      </c>
      <c r="F21" s="348">
        <v>6.7</v>
      </c>
      <c r="G21" s="348">
        <v>3.35</v>
      </c>
      <c r="H21" s="348">
        <v>2.51</v>
      </c>
      <c r="I21" s="348">
        <v>0.08</v>
      </c>
      <c r="J21" s="348">
        <v>0.25</v>
      </c>
      <c r="K21" s="348">
        <v>5.02</v>
      </c>
      <c r="L21" s="348"/>
      <c r="M21" s="348">
        <f t="shared" si="4"/>
        <v>2.83336</v>
      </c>
      <c r="N21" s="348">
        <f>(SUM('工资福利（公务员、参公人员）'!R21:T21)+SUM('工资福利（事业）'!V21:X21,'工资福利（事业）'!AB21))*0.16</f>
        <v>1.0592</v>
      </c>
      <c r="O21" s="348">
        <f>(SUM('工资福利（公务员、参公人员）'!R21:S21)+SUM('工资福利（事业）'!V21:X21,'工资福利（事业）'!AB21))*0.08</f>
        <v>0.5296</v>
      </c>
      <c r="P21" s="348">
        <f>(SUM('工资福利（公务员、参公人员）'!R21:S21)+SUM('工资福利（事业）'!V21:X21,'工资福利（事业）'!AB21))*0.06</f>
        <v>0.3972</v>
      </c>
      <c r="Q21" s="348">
        <f>(SUM('工资福利（公务员、参公人员）'!R21:S21)+SUM('工资福利（事业）'!V21:X21,'工资福利（事业）'!AB21))*0.002</f>
        <v>0.01324</v>
      </c>
      <c r="R21" s="348">
        <f>(SUM('工资福利（公务员、参公人员）'!R21:S21)+SUM('工资福利（事业）'!V21:X21,'工资福利（事业）'!AB21))*0.006</f>
        <v>0.03972</v>
      </c>
      <c r="S21" s="348">
        <f>(SUM('工资福利（公务员、参公人员）'!R21:S21)+SUM('工资福利（事业）'!V21:X21,'工资福利（事业）'!AB21))*0.12</f>
        <v>0.7944</v>
      </c>
      <c r="T21" s="348"/>
      <c r="U21" s="348">
        <f t="shared" si="5"/>
        <v>20.74336</v>
      </c>
      <c r="V21" s="348">
        <f t="shared" si="6"/>
        <v>7.7592</v>
      </c>
      <c r="W21" s="348">
        <f t="shared" si="7"/>
        <v>3.8796</v>
      </c>
      <c r="X21" s="348">
        <f t="shared" si="8"/>
        <v>2.9072</v>
      </c>
      <c r="Y21" s="348">
        <f t="shared" si="9"/>
        <v>0.09324</v>
      </c>
      <c r="Z21" s="348">
        <f t="shared" si="10"/>
        <v>0.28972</v>
      </c>
      <c r="AA21" s="348">
        <f t="shared" si="11"/>
        <v>5.8144</v>
      </c>
      <c r="AB21" s="348">
        <f t="shared" si="12"/>
        <v>0</v>
      </c>
      <c r="AC21" s="350"/>
    </row>
    <row r="22" ht="24" spans="1:29">
      <c r="A22" s="284" t="s">
        <v>208</v>
      </c>
      <c r="B22" s="284" t="s">
        <v>199</v>
      </c>
      <c r="C22" s="284" t="s">
        <v>220</v>
      </c>
      <c r="D22" s="284" t="s">
        <v>213</v>
      </c>
      <c r="E22" s="348">
        <f t="shared" si="2"/>
        <v>6.68</v>
      </c>
      <c r="F22" s="348">
        <v>2.5</v>
      </c>
      <c r="G22" s="348">
        <v>1.25</v>
      </c>
      <c r="H22" s="348">
        <v>0.94</v>
      </c>
      <c r="I22" s="348">
        <v>0.03</v>
      </c>
      <c r="J22" s="348">
        <v>0.09</v>
      </c>
      <c r="K22" s="348">
        <v>1.87</v>
      </c>
      <c r="L22" s="348"/>
      <c r="M22" s="348">
        <f t="shared" si="4"/>
        <v>-3.77068</v>
      </c>
      <c r="N22" s="348">
        <f>(SUM('工资福利（公务员、参公人员）'!R22:T22)+SUM('工资福利（事业）'!V22:X22,'工资福利（事业）'!AB22))*0.16</f>
        <v>-1.4096</v>
      </c>
      <c r="O22" s="348">
        <f>(SUM('工资福利（公务员、参公人员）'!R22:S22)+SUM('工资福利（事业）'!V22:X22,'工资福利（事业）'!AB22))*0.08</f>
        <v>-0.7048</v>
      </c>
      <c r="P22" s="348">
        <f>(SUM('工资福利（公务员、参公人员）'!R22:S22)+SUM('工资福利（事业）'!V22:X22,'工资福利（事业）'!AB22))*0.06</f>
        <v>-0.5286</v>
      </c>
      <c r="Q22" s="348">
        <f>(SUM('工资福利（公务员、参公人员）'!R22:S22)+SUM('工资福利（事业）'!V22:X22,'工资福利（事业）'!AB22))*0.002</f>
        <v>-0.01762</v>
      </c>
      <c r="R22" s="348">
        <f>(SUM('工资福利（公务员、参公人员）'!R22:S22)+SUM('工资福利（事业）'!V22:X22,'工资福利（事业）'!AB22))*0.006</f>
        <v>-0.05286</v>
      </c>
      <c r="S22" s="348">
        <f>(SUM('工资福利（公务员、参公人员）'!R22:S22)+SUM('工资福利（事业）'!V22:X22,'工资福利（事业）'!AB22))*0.12</f>
        <v>-1.0572</v>
      </c>
      <c r="T22" s="348"/>
      <c r="U22" s="348">
        <f t="shared" si="5"/>
        <v>2.90932</v>
      </c>
      <c r="V22" s="348">
        <f t="shared" si="6"/>
        <v>1.0904</v>
      </c>
      <c r="W22" s="348">
        <f t="shared" si="7"/>
        <v>0.5452</v>
      </c>
      <c r="X22" s="348">
        <f t="shared" si="8"/>
        <v>0.4114</v>
      </c>
      <c r="Y22" s="348">
        <f t="shared" si="9"/>
        <v>0.01238</v>
      </c>
      <c r="Z22" s="348">
        <f t="shared" si="10"/>
        <v>0.03714</v>
      </c>
      <c r="AA22" s="348">
        <f t="shared" si="11"/>
        <v>0.8128</v>
      </c>
      <c r="AB22" s="348">
        <f t="shared" si="12"/>
        <v>0</v>
      </c>
      <c r="AC22" s="350"/>
    </row>
    <row r="23" ht="24" spans="1:29">
      <c r="A23" s="284" t="s">
        <v>221</v>
      </c>
      <c r="B23" s="284" t="s">
        <v>196</v>
      </c>
      <c r="C23" s="284" t="s">
        <v>222</v>
      </c>
      <c r="D23" s="284" t="s">
        <v>207</v>
      </c>
      <c r="E23" s="348">
        <f t="shared" si="2"/>
        <v>110.32</v>
      </c>
      <c r="F23" s="348">
        <v>42.12</v>
      </c>
      <c r="G23" s="348">
        <v>20.36</v>
      </c>
      <c r="H23" s="348">
        <v>15.27</v>
      </c>
      <c r="I23" s="348">
        <v>0.51</v>
      </c>
      <c r="J23" s="348">
        <v>1.53</v>
      </c>
      <c r="K23" s="348">
        <v>30.53</v>
      </c>
      <c r="L23" s="348"/>
      <c r="M23" s="348">
        <f t="shared" si="4"/>
        <v>-0.38428</v>
      </c>
      <c r="N23" s="348">
        <f>(SUM('工资福利（公务员、参公人员）'!R23:T23)+SUM('工资福利（事业）'!V23:X23,'工资福利（事业）'!AB23))*0.16</f>
        <v>-0.1136</v>
      </c>
      <c r="O23" s="348">
        <f>(SUM('工资福利（公务员、参公人员）'!R23:S23)+SUM('工资福利（事业）'!V23:X23,'工资福利（事业）'!AB23))*0.08</f>
        <v>-0.0808</v>
      </c>
      <c r="P23" s="348">
        <f>(SUM('工资福利（公务员、参公人员）'!R23:S23)+SUM('工资福利（事业）'!V23:X23,'工资福利（事业）'!AB23))*0.06</f>
        <v>-0.0606</v>
      </c>
      <c r="Q23" s="348">
        <f>(SUM('工资福利（公务员、参公人员）'!R23:S23)+SUM('工资福利（事业）'!V23:X23,'工资福利（事业）'!AB23))*0.002</f>
        <v>-0.00202</v>
      </c>
      <c r="R23" s="348">
        <f>(SUM('工资福利（公务员、参公人员）'!R23:S23)+SUM('工资福利（事业）'!V23:X23,'工资福利（事业）'!AB23))*0.006</f>
        <v>-0.00606</v>
      </c>
      <c r="S23" s="348">
        <f>(SUM('工资福利（公务员、参公人员）'!R23:S23)+SUM('工资福利（事业）'!V23:X23,'工资福利（事业）'!AB23))*0.12</f>
        <v>-0.1212</v>
      </c>
      <c r="T23" s="348"/>
      <c r="U23" s="348">
        <f t="shared" si="5"/>
        <v>109.93572</v>
      </c>
      <c r="V23" s="348">
        <f t="shared" si="6"/>
        <v>42.0064</v>
      </c>
      <c r="W23" s="348">
        <f t="shared" si="7"/>
        <v>20.2792</v>
      </c>
      <c r="X23" s="348">
        <f t="shared" si="8"/>
        <v>15.2094</v>
      </c>
      <c r="Y23" s="348">
        <f t="shared" si="9"/>
        <v>0.50798</v>
      </c>
      <c r="Z23" s="348">
        <f t="shared" si="10"/>
        <v>1.52394</v>
      </c>
      <c r="AA23" s="348">
        <f t="shared" si="11"/>
        <v>30.4088</v>
      </c>
      <c r="AB23" s="348">
        <f t="shared" si="12"/>
        <v>0</v>
      </c>
      <c r="AC23" s="350"/>
    </row>
    <row r="24" ht="24" spans="1:29">
      <c r="A24" s="284" t="s">
        <v>221</v>
      </c>
      <c r="B24" s="284" t="s">
        <v>199</v>
      </c>
      <c r="C24" s="284" t="s">
        <v>223</v>
      </c>
      <c r="D24" s="284" t="s">
        <v>213</v>
      </c>
      <c r="E24" s="348">
        <f t="shared" si="2"/>
        <v>20.24</v>
      </c>
      <c r="F24" s="348">
        <v>7.57</v>
      </c>
      <c r="G24" s="348">
        <v>3.78</v>
      </c>
      <c r="H24" s="348">
        <v>2.84</v>
      </c>
      <c r="I24" s="348">
        <v>0.09</v>
      </c>
      <c r="J24" s="348">
        <v>0.28</v>
      </c>
      <c r="K24" s="348">
        <v>5.68</v>
      </c>
      <c r="L24" s="348"/>
      <c r="M24" s="348">
        <f t="shared" si="4"/>
        <v>3.92048</v>
      </c>
      <c r="N24" s="348">
        <f>(SUM('工资福利（公务员、参公人员）'!R24:T24)+SUM('工资福利（事业）'!V24:X24,'工资福利（事业）'!AB24))*0.16</f>
        <v>1.4656</v>
      </c>
      <c r="O24" s="348">
        <f>(SUM('工资福利（公务员、参公人员）'!R24:S24)+SUM('工资福利（事业）'!V24:X24,'工资福利（事业）'!AB24))*0.08</f>
        <v>0.7328</v>
      </c>
      <c r="P24" s="348">
        <f>(SUM('工资福利（公务员、参公人员）'!R24:S24)+SUM('工资福利（事业）'!V24:X24,'工资福利（事业）'!AB24))*0.06</f>
        <v>0.5496</v>
      </c>
      <c r="Q24" s="348">
        <f>(SUM('工资福利（公务员、参公人员）'!R24:S24)+SUM('工资福利（事业）'!V24:X24,'工资福利（事业）'!AB24))*0.002</f>
        <v>0.01832</v>
      </c>
      <c r="R24" s="348">
        <f>(SUM('工资福利（公务员、参公人员）'!R24:S24)+SUM('工资福利（事业）'!V24:X24,'工资福利（事业）'!AB24))*0.006</f>
        <v>0.05496</v>
      </c>
      <c r="S24" s="348">
        <f>(SUM('工资福利（公务员、参公人员）'!R24:S24)+SUM('工资福利（事业）'!V24:X24,'工资福利（事业）'!AB24))*0.12</f>
        <v>1.0992</v>
      </c>
      <c r="T24" s="348"/>
      <c r="U24" s="348">
        <f t="shared" si="5"/>
        <v>24.16048</v>
      </c>
      <c r="V24" s="348">
        <f t="shared" si="6"/>
        <v>9.0356</v>
      </c>
      <c r="W24" s="348">
        <f t="shared" si="7"/>
        <v>4.5128</v>
      </c>
      <c r="X24" s="348">
        <f t="shared" si="8"/>
        <v>3.3896</v>
      </c>
      <c r="Y24" s="348">
        <f t="shared" si="9"/>
        <v>0.10832</v>
      </c>
      <c r="Z24" s="348">
        <f t="shared" si="10"/>
        <v>0.33496</v>
      </c>
      <c r="AA24" s="348">
        <f t="shared" si="11"/>
        <v>6.7792</v>
      </c>
      <c r="AB24" s="348">
        <f t="shared" si="12"/>
        <v>0</v>
      </c>
      <c r="AC24" s="350"/>
    </row>
    <row r="25" ht="24" spans="1:29">
      <c r="A25" s="284" t="s">
        <v>221</v>
      </c>
      <c r="B25" s="284" t="s">
        <v>199</v>
      </c>
      <c r="C25" s="284" t="s">
        <v>224</v>
      </c>
      <c r="D25" s="284" t="s">
        <v>213</v>
      </c>
      <c r="E25" s="348">
        <f t="shared" si="2"/>
        <v>25.14</v>
      </c>
      <c r="F25" s="348">
        <v>9.4</v>
      </c>
      <c r="G25" s="348">
        <v>4.7</v>
      </c>
      <c r="H25" s="348">
        <v>3.52</v>
      </c>
      <c r="I25" s="348">
        <v>0.12</v>
      </c>
      <c r="J25" s="348">
        <v>0.35</v>
      </c>
      <c r="K25" s="348">
        <v>7.05</v>
      </c>
      <c r="L25" s="348"/>
      <c r="M25" s="348">
        <f t="shared" si="4"/>
        <v>2.58084</v>
      </c>
      <c r="N25" s="348">
        <f>(SUM('工资福利（公务员、参公人员）'!R25:T25)+SUM('工资福利（事业）'!V25:X25,'工资福利（事业）'!AB25))*0.16</f>
        <v>0.9648</v>
      </c>
      <c r="O25" s="348">
        <f>(SUM('工资福利（公务员、参公人员）'!R25:S25)+SUM('工资福利（事业）'!V25:X25,'工资福利（事业）'!AB25))*0.08</f>
        <v>0.4824</v>
      </c>
      <c r="P25" s="348">
        <f>(SUM('工资福利（公务员、参公人员）'!R25:S25)+SUM('工资福利（事业）'!V25:X25,'工资福利（事业）'!AB25))*0.06</f>
        <v>0.3618</v>
      </c>
      <c r="Q25" s="348">
        <f>(SUM('工资福利（公务员、参公人员）'!R25:S25)+SUM('工资福利（事业）'!V25:X25,'工资福利（事业）'!AB25))*0.002</f>
        <v>0.01206</v>
      </c>
      <c r="R25" s="348">
        <f>(SUM('工资福利（公务员、参公人员）'!R25:S25)+SUM('工资福利（事业）'!V25:X25,'工资福利（事业）'!AB25))*0.006</f>
        <v>0.03618</v>
      </c>
      <c r="S25" s="348">
        <f>(SUM('工资福利（公务员、参公人员）'!R25:S25)+SUM('工资福利（事业）'!V25:X25,'工资福利（事业）'!AB25))*0.12</f>
        <v>0.7236</v>
      </c>
      <c r="T25" s="348"/>
      <c r="U25" s="348">
        <f t="shared" si="5"/>
        <v>27.72084</v>
      </c>
      <c r="V25" s="348">
        <f t="shared" si="6"/>
        <v>10.3648</v>
      </c>
      <c r="W25" s="348">
        <f t="shared" si="7"/>
        <v>5.1824</v>
      </c>
      <c r="X25" s="348">
        <f t="shared" si="8"/>
        <v>3.8818</v>
      </c>
      <c r="Y25" s="348">
        <f t="shared" si="9"/>
        <v>0.13206</v>
      </c>
      <c r="Z25" s="348">
        <f t="shared" si="10"/>
        <v>0.38618</v>
      </c>
      <c r="AA25" s="348">
        <f t="shared" si="11"/>
        <v>7.7736</v>
      </c>
      <c r="AB25" s="348">
        <f t="shared" si="12"/>
        <v>0</v>
      </c>
      <c r="AC25" s="350"/>
    </row>
    <row r="26" ht="24" spans="1:29">
      <c r="A26" s="284" t="s">
        <v>221</v>
      </c>
      <c r="B26" s="284" t="s">
        <v>199</v>
      </c>
      <c r="C26" s="284" t="s">
        <v>225</v>
      </c>
      <c r="D26" s="284" t="s">
        <v>213</v>
      </c>
      <c r="E26" s="348">
        <f t="shared" si="2"/>
        <v>57.03</v>
      </c>
      <c r="F26" s="348">
        <v>21.32</v>
      </c>
      <c r="G26" s="348">
        <v>10.66</v>
      </c>
      <c r="H26" s="348">
        <v>7.99</v>
      </c>
      <c r="I26" s="348">
        <v>0.27</v>
      </c>
      <c r="J26" s="348">
        <v>0.8</v>
      </c>
      <c r="K26" s="348">
        <v>15.99</v>
      </c>
      <c r="L26" s="348"/>
      <c r="M26" s="348">
        <f t="shared" si="4"/>
        <v>7.86664</v>
      </c>
      <c r="N26" s="348">
        <f>(SUM('工资福利（公务员、参公人员）'!R26:T26)+SUM('工资福利（事业）'!V26:X26,'工资福利（事业）'!AB26))*0.16</f>
        <v>2.9408</v>
      </c>
      <c r="O26" s="348">
        <f>(SUM('工资福利（公务员、参公人员）'!R26:S26)+SUM('工资福利（事业）'!V26:X26,'工资福利（事业）'!AB26))*0.08</f>
        <v>1.4704</v>
      </c>
      <c r="P26" s="348">
        <f>(SUM('工资福利（公务员、参公人员）'!R26:S26)+SUM('工资福利（事业）'!V26:X26,'工资福利（事业）'!AB26))*0.06</f>
        <v>1.1028</v>
      </c>
      <c r="Q26" s="348">
        <f>(SUM('工资福利（公务员、参公人员）'!R26:S26)+SUM('工资福利（事业）'!V26:X26,'工资福利（事业）'!AB26))*0.002</f>
        <v>0.03676</v>
      </c>
      <c r="R26" s="348">
        <f>(SUM('工资福利（公务员、参公人员）'!R26:S26)+SUM('工资福利（事业）'!V26:X26,'工资福利（事业）'!AB26))*0.006</f>
        <v>0.11028</v>
      </c>
      <c r="S26" s="348">
        <f>(SUM('工资福利（公务员、参公人员）'!R26:S26)+SUM('工资福利（事业）'!V26:X26,'工资福利（事业）'!AB26))*0.12</f>
        <v>2.2056</v>
      </c>
      <c r="T26" s="348"/>
      <c r="U26" s="348">
        <f t="shared" si="5"/>
        <v>64.89664</v>
      </c>
      <c r="V26" s="348">
        <f t="shared" si="6"/>
        <v>24.2608</v>
      </c>
      <c r="W26" s="348">
        <f t="shared" si="7"/>
        <v>12.1304</v>
      </c>
      <c r="X26" s="348">
        <f t="shared" si="8"/>
        <v>9.0928</v>
      </c>
      <c r="Y26" s="348">
        <f t="shared" si="9"/>
        <v>0.30676</v>
      </c>
      <c r="Z26" s="348">
        <f t="shared" si="10"/>
        <v>0.91028</v>
      </c>
      <c r="AA26" s="348">
        <f t="shared" si="11"/>
        <v>18.1956</v>
      </c>
      <c r="AB26" s="348">
        <f t="shared" si="12"/>
        <v>0</v>
      </c>
      <c r="AC26" s="350"/>
    </row>
    <row r="27" ht="24" spans="1:29">
      <c r="A27" s="284" t="s">
        <v>221</v>
      </c>
      <c r="B27" s="284" t="s">
        <v>196</v>
      </c>
      <c r="C27" s="284" t="s">
        <v>226</v>
      </c>
      <c r="D27" s="284" t="s">
        <v>207</v>
      </c>
      <c r="E27" s="348">
        <f t="shared" si="2"/>
        <v>95.65</v>
      </c>
      <c r="F27" s="348">
        <v>36.83</v>
      </c>
      <c r="G27" s="348">
        <v>17.56</v>
      </c>
      <c r="H27" s="348">
        <v>13.17</v>
      </c>
      <c r="I27" s="348">
        <v>0.44</v>
      </c>
      <c r="J27" s="348">
        <v>1.32</v>
      </c>
      <c r="K27" s="348">
        <v>26.33</v>
      </c>
      <c r="L27" s="348"/>
      <c r="M27" s="348">
        <f t="shared" si="4"/>
        <v>-11.26288</v>
      </c>
      <c r="N27" s="348">
        <f>(SUM('工资福利（公务员、参公人员）'!R27:T27)+SUM('工资福利（事业）'!V27:X27,'工资福利（事业）'!AB27))*0.16</f>
        <v>-4.3056</v>
      </c>
      <c r="O27" s="348">
        <f>(SUM('工资福利（公务员、参公人员）'!R27:S27)+SUM('工资福利（事业）'!V27:X27,'工资福利（事业）'!AB27))*0.08</f>
        <v>-2.0768</v>
      </c>
      <c r="P27" s="348">
        <f>(SUM('工资福利（公务员、参公人员）'!R27:S27)+SUM('工资福利（事业）'!V27:X27,'工资福利（事业）'!AB27))*0.06</f>
        <v>-1.5576</v>
      </c>
      <c r="Q27" s="348">
        <f>(SUM('工资福利（公务员、参公人员）'!R27:S27)+SUM('工资福利（事业）'!V27:X27,'工资福利（事业）'!AB27))*0.002</f>
        <v>-0.05192</v>
      </c>
      <c r="R27" s="348">
        <f>(SUM('工资福利（公务员、参公人员）'!R27:S27)+SUM('工资福利（事业）'!V27:X27,'工资福利（事业）'!AB27))*0.006</f>
        <v>-0.15576</v>
      </c>
      <c r="S27" s="348">
        <f>(SUM('工资福利（公务员、参公人员）'!R27:S27)+SUM('工资福利（事业）'!V27:X27,'工资福利（事业）'!AB27))*0.12</f>
        <v>-3.1152</v>
      </c>
      <c r="T27" s="348"/>
      <c r="U27" s="348">
        <f t="shared" si="5"/>
        <v>84.38712</v>
      </c>
      <c r="V27" s="348">
        <f t="shared" si="6"/>
        <v>32.5244</v>
      </c>
      <c r="W27" s="348">
        <f t="shared" si="7"/>
        <v>15.4832</v>
      </c>
      <c r="X27" s="348">
        <f t="shared" si="8"/>
        <v>11.6124</v>
      </c>
      <c r="Y27" s="348">
        <f t="shared" si="9"/>
        <v>0.38808</v>
      </c>
      <c r="Z27" s="348">
        <f t="shared" si="10"/>
        <v>1.16424</v>
      </c>
      <c r="AA27" s="348">
        <f t="shared" si="11"/>
        <v>23.2148</v>
      </c>
      <c r="AB27" s="348">
        <f t="shared" si="12"/>
        <v>0</v>
      </c>
      <c r="AC27" s="350"/>
    </row>
    <row r="28" ht="24" spans="1:29">
      <c r="A28" s="284" t="s">
        <v>221</v>
      </c>
      <c r="B28" s="284" t="s">
        <v>199</v>
      </c>
      <c r="C28" s="284" t="s">
        <v>227</v>
      </c>
      <c r="D28" s="284" t="s">
        <v>213</v>
      </c>
      <c r="E28" s="348">
        <f t="shared" si="2"/>
        <v>9.99</v>
      </c>
      <c r="F28" s="348">
        <v>3.73</v>
      </c>
      <c r="G28" s="348">
        <v>1.87</v>
      </c>
      <c r="H28" s="348">
        <v>1.4</v>
      </c>
      <c r="I28" s="348">
        <v>0.05</v>
      </c>
      <c r="J28" s="348">
        <v>0.14</v>
      </c>
      <c r="K28" s="348">
        <v>2.8</v>
      </c>
      <c r="L28" s="348"/>
      <c r="M28" s="348">
        <f t="shared" si="4"/>
        <v>3.11156</v>
      </c>
      <c r="N28" s="348">
        <f>(SUM('工资福利（公务员、参公人员）'!R28:T28)+SUM('工资福利（事业）'!V28:X28,'工资福利（事业）'!AB28))*0.16</f>
        <v>1.1632</v>
      </c>
      <c r="O28" s="348">
        <f>(SUM('工资福利（公务员、参公人员）'!R28:S28)+SUM('工资福利（事业）'!V28:X28,'工资福利（事业）'!AB28))*0.08</f>
        <v>0.5816</v>
      </c>
      <c r="P28" s="348">
        <f>(SUM('工资福利（公务员、参公人员）'!R28:S28)+SUM('工资福利（事业）'!V28:X28,'工资福利（事业）'!AB28))*0.06</f>
        <v>0.4362</v>
      </c>
      <c r="Q28" s="348">
        <f>(SUM('工资福利（公务员、参公人员）'!R28:S28)+SUM('工资福利（事业）'!V28:X28,'工资福利（事业）'!AB28))*0.002</f>
        <v>0.01454</v>
      </c>
      <c r="R28" s="348">
        <f>(SUM('工资福利（公务员、参公人员）'!R28:S28)+SUM('工资福利（事业）'!V28:X28,'工资福利（事业）'!AB28))*0.006</f>
        <v>0.04362</v>
      </c>
      <c r="S28" s="348">
        <f>(SUM('工资福利（公务员、参公人员）'!R28:S28)+SUM('工资福利（事业）'!V28:X28,'工资福利（事业）'!AB28))*0.12</f>
        <v>0.8724</v>
      </c>
      <c r="T28" s="348"/>
      <c r="U28" s="348">
        <f t="shared" si="5"/>
        <v>13.10156</v>
      </c>
      <c r="V28" s="348">
        <f t="shared" si="6"/>
        <v>4.8932</v>
      </c>
      <c r="W28" s="348">
        <f t="shared" si="7"/>
        <v>2.4516</v>
      </c>
      <c r="X28" s="348">
        <f t="shared" si="8"/>
        <v>1.8362</v>
      </c>
      <c r="Y28" s="348">
        <f t="shared" si="9"/>
        <v>0.06454</v>
      </c>
      <c r="Z28" s="348">
        <f t="shared" si="10"/>
        <v>0.18362</v>
      </c>
      <c r="AA28" s="348">
        <f t="shared" si="11"/>
        <v>3.6724</v>
      </c>
      <c r="AB28" s="348">
        <f t="shared" si="12"/>
        <v>0</v>
      </c>
      <c r="AC28" s="350"/>
    </row>
    <row r="29" ht="24" spans="1:29">
      <c r="A29" s="284" t="s">
        <v>221</v>
      </c>
      <c r="B29" s="284" t="s">
        <v>199</v>
      </c>
      <c r="C29" s="284" t="s">
        <v>228</v>
      </c>
      <c r="D29" s="284" t="s">
        <v>213</v>
      </c>
      <c r="E29" s="348">
        <f t="shared" si="2"/>
        <v>15.83</v>
      </c>
      <c r="F29" s="348">
        <v>5.92</v>
      </c>
      <c r="G29" s="348">
        <v>2.96</v>
      </c>
      <c r="H29" s="348">
        <v>2.22</v>
      </c>
      <c r="I29" s="348">
        <v>0.07</v>
      </c>
      <c r="J29" s="348">
        <v>0.22</v>
      </c>
      <c r="K29" s="348">
        <v>4.44</v>
      </c>
      <c r="L29" s="348"/>
      <c r="M29" s="348">
        <f t="shared" si="4"/>
        <v>1.6906</v>
      </c>
      <c r="N29" s="348">
        <f>(SUM('工资福利（公务员、参公人员）'!R29:T29)+SUM('工资福利（事业）'!V29:X29,'工资福利（事业）'!AB29))*0.16</f>
        <v>0.632</v>
      </c>
      <c r="O29" s="348">
        <f>(SUM('工资福利（公务员、参公人员）'!R29:S29)+SUM('工资福利（事业）'!V29:X29,'工资福利（事业）'!AB29))*0.08</f>
        <v>0.316</v>
      </c>
      <c r="P29" s="348">
        <f>(SUM('工资福利（公务员、参公人员）'!R29:S29)+SUM('工资福利（事业）'!V29:X29,'工资福利（事业）'!AB29))*0.06</f>
        <v>0.237</v>
      </c>
      <c r="Q29" s="348">
        <f>(SUM('工资福利（公务员、参公人员）'!R29:S29)+SUM('工资福利（事业）'!V29:X29,'工资福利（事业）'!AB29))*0.002</f>
        <v>0.0079</v>
      </c>
      <c r="R29" s="348">
        <f>(SUM('工资福利（公务员、参公人员）'!R29:S29)+SUM('工资福利（事业）'!V29:X29,'工资福利（事业）'!AB29))*0.006</f>
        <v>0.0237</v>
      </c>
      <c r="S29" s="348">
        <f>(SUM('工资福利（公务员、参公人员）'!R29:S29)+SUM('工资福利（事业）'!V29:X29,'工资福利（事业）'!AB29))*0.12</f>
        <v>0.474</v>
      </c>
      <c r="T29" s="348"/>
      <c r="U29" s="348">
        <f t="shared" si="5"/>
        <v>17.5206</v>
      </c>
      <c r="V29" s="348">
        <f t="shared" si="6"/>
        <v>6.552</v>
      </c>
      <c r="W29" s="348">
        <f t="shared" si="7"/>
        <v>3.276</v>
      </c>
      <c r="X29" s="348">
        <f t="shared" si="8"/>
        <v>2.457</v>
      </c>
      <c r="Y29" s="348">
        <f t="shared" si="9"/>
        <v>0.0779</v>
      </c>
      <c r="Z29" s="348">
        <f t="shared" si="10"/>
        <v>0.2437</v>
      </c>
      <c r="AA29" s="348">
        <f t="shared" si="11"/>
        <v>4.914</v>
      </c>
      <c r="AB29" s="348">
        <f t="shared" si="12"/>
        <v>0</v>
      </c>
      <c r="AC29" s="350"/>
    </row>
    <row r="30" ht="24" spans="1:29">
      <c r="A30" s="284" t="s">
        <v>221</v>
      </c>
      <c r="B30" s="284" t="s">
        <v>199</v>
      </c>
      <c r="C30" s="284" t="s">
        <v>229</v>
      </c>
      <c r="D30" s="284" t="s">
        <v>213</v>
      </c>
      <c r="E30" s="348">
        <f t="shared" si="2"/>
        <v>91.24</v>
      </c>
      <c r="F30" s="348">
        <v>34.11</v>
      </c>
      <c r="G30" s="348">
        <v>17.05</v>
      </c>
      <c r="H30" s="348">
        <v>12.79</v>
      </c>
      <c r="I30" s="348">
        <v>0.43</v>
      </c>
      <c r="J30" s="348">
        <v>1.28</v>
      </c>
      <c r="K30" s="348">
        <v>25.58</v>
      </c>
      <c r="L30" s="348"/>
      <c r="M30" s="348">
        <f t="shared" si="4"/>
        <v>7.17756</v>
      </c>
      <c r="N30" s="348">
        <f>(SUM('工资福利（公务员、参公人员）'!R30:T30)+SUM('工资福利（事业）'!V30:X30,'工资福利（事业）'!AB30))*0.16</f>
        <v>2.6832</v>
      </c>
      <c r="O30" s="348">
        <f>(SUM('工资福利（公务员、参公人员）'!R30:S30)+SUM('工资福利（事业）'!V30:X30,'工资福利（事业）'!AB30))*0.08</f>
        <v>1.3416</v>
      </c>
      <c r="P30" s="348">
        <f>(SUM('工资福利（公务员、参公人员）'!R30:S30)+SUM('工资福利（事业）'!V30:X30,'工资福利（事业）'!AB30))*0.06</f>
        <v>1.0062</v>
      </c>
      <c r="Q30" s="348">
        <f>(SUM('工资福利（公务员、参公人员）'!R30:S30)+SUM('工资福利（事业）'!V30:X30,'工资福利（事业）'!AB30))*0.002</f>
        <v>0.03354</v>
      </c>
      <c r="R30" s="348">
        <f>(SUM('工资福利（公务员、参公人员）'!R30:S30)+SUM('工资福利（事业）'!V30:X30,'工资福利（事业）'!AB30))*0.006</f>
        <v>0.10062</v>
      </c>
      <c r="S30" s="348">
        <f>(SUM('工资福利（公务员、参公人员）'!R30:S30)+SUM('工资福利（事业）'!V30:X30,'工资福利（事业）'!AB30))*0.12</f>
        <v>2.0124</v>
      </c>
      <c r="T30" s="348"/>
      <c r="U30" s="348">
        <f t="shared" si="5"/>
        <v>98.41756</v>
      </c>
      <c r="V30" s="348">
        <f t="shared" si="6"/>
        <v>36.7932</v>
      </c>
      <c r="W30" s="348">
        <f t="shared" si="7"/>
        <v>18.3916</v>
      </c>
      <c r="X30" s="348">
        <f t="shared" si="8"/>
        <v>13.7962</v>
      </c>
      <c r="Y30" s="348">
        <f t="shared" si="9"/>
        <v>0.46354</v>
      </c>
      <c r="Z30" s="348">
        <f t="shared" si="10"/>
        <v>1.38062</v>
      </c>
      <c r="AA30" s="348">
        <f t="shared" si="11"/>
        <v>27.5924</v>
      </c>
      <c r="AB30" s="348">
        <f t="shared" si="12"/>
        <v>0</v>
      </c>
      <c r="AC30" s="350"/>
    </row>
    <row r="31" ht="24" spans="1:29">
      <c r="A31" s="284" t="s">
        <v>221</v>
      </c>
      <c r="B31" s="284" t="s">
        <v>196</v>
      </c>
      <c r="C31" s="284" t="s">
        <v>230</v>
      </c>
      <c r="D31" s="284" t="s">
        <v>207</v>
      </c>
      <c r="E31" s="348">
        <f t="shared" si="2"/>
        <v>47.47</v>
      </c>
      <c r="F31" s="348">
        <v>18.36</v>
      </c>
      <c r="G31" s="348">
        <v>8.69</v>
      </c>
      <c r="H31" s="348">
        <v>6.52</v>
      </c>
      <c r="I31" s="348">
        <v>0.22</v>
      </c>
      <c r="J31" s="348">
        <v>0.65</v>
      </c>
      <c r="K31" s="348">
        <v>13.03</v>
      </c>
      <c r="L31" s="348"/>
      <c r="M31" s="348">
        <f t="shared" si="4"/>
        <v>4.3824</v>
      </c>
      <c r="N31" s="348">
        <f>(SUM('工资福利（公务员、参公人员）'!R31:T31)+SUM('工资福利（事业）'!V31:X31,'工资福利（事业）'!AB31))*0.16</f>
        <v>1.5952</v>
      </c>
      <c r="O31" s="348">
        <f>(SUM('工资福利（公务员、参公人员）'!R31:S31)+SUM('工资福利（事业）'!V31:X31,'工资福利（事业）'!AB31))*0.08</f>
        <v>0.832</v>
      </c>
      <c r="P31" s="348">
        <f>(SUM('工资福利（公务员、参公人员）'!R31:S31)+SUM('工资福利（事业）'!V31:X31,'工资福利（事业）'!AB31))*0.06</f>
        <v>0.624</v>
      </c>
      <c r="Q31" s="348">
        <f>(SUM('工资福利（公务员、参公人员）'!R31:S31)+SUM('工资福利（事业）'!V31:X31,'工资福利（事业）'!AB31))*0.002</f>
        <v>0.0208</v>
      </c>
      <c r="R31" s="348">
        <f>(SUM('工资福利（公务员、参公人员）'!R31:S31)+SUM('工资福利（事业）'!V31:X31,'工资福利（事业）'!AB31))*0.006</f>
        <v>0.0624</v>
      </c>
      <c r="S31" s="348">
        <f>(SUM('工资福利（公务员、参公人员）'!R31:S31)+SUM('工资福利（事业）'!V31:X31,'工资福利（事业）'!AB31))*0.12</f>
        <v>1.248</v>
      </c>
      <c r="T31" s="348"/>
      <c r="U31" s="348">
        <f t="shared" si="5"/>
        <v>51.8524</v>
      </c>
      <c r="V31" s="348">
        <f t="shared" si="6"/>
        <v>19.9552</v>
      </c>
      <c r="W31" s="348">
        <f t="shared" si="7"/>
        <v>9.522</v>
      </c>
      <c r="X31" s="348">
        <f t="shared" si="8"/>
        <v>7.144</v>
      </c>
      <c r="Y31" s="348">
        <f t="shared" si="9"/>
        <v>0.2408</v>
      </c>
      <c r="Z31" s="348">
        <f t="shared" si="10"/>
        <v>0.7124</v>
      </c>
      <c r="AA31" s="348">
        <f t="shared" si="11"/>
        <v>14.278</v>
      </c>
      <c r="AB31" s="348">
        <f t="shared" si="12"/>
        <v>0</v>
      </c>
      <c r="AC31" s="350"/>
    </row>
    <row r="32" ht="24" spans="1:29">
      <c r="A32" s="284" t="s">
        <v>221</v>
      </c>
      <c r="B32" s="284" t="s">
        <v>199</v>
      </c>
      <c r="C32" s="284" t="s">
        <v>231</v>
      </c>
      <c r="D32" s="284" t="s">
        <v>213</v>
      </c>
      <c r="E32" s="348">
        <f t="shared" si="2"/>
        <v>14.88</v>
      </c>
      <c r="F32" s="348">
        <v>5.56</v>
      </c>
      <c r="G32" s="348">
        <v>2.78</v>
      </c>
      <c r="H32" s="348">
        <v>2.09</v>
      </c>
      <c r="I32" s="348">
        <v>0.07</v>
      </c>
      <c r="J32" s="348">
        <v>0.21</v>
      </c>
      <c r="K32" s="348">
        <v>4.17</v>
      </c>
      <c r="L32" s="348"/>
      <c r="M32" s="348">
        <f t="shared" si="4"/>
        <v>-1.1984</v>
      </c>
      <c r="N32" s="348">
        <f>(SUM('工资福利（公务员、参公人员）'!R32:T32)+SUM('工资福利（事业）'!V32:X32,'工资福利（事业）'!AB32))*0.16</f>
        <v>-0.448</v>
      </c>
      <c r="O32" s="348">
        <f>(SUM('工资福利（公务员、参公人员）'!R32:S32)+SUM('工资福利（事业）'!V32:X32,'工资福利（事业）'!AB32))*0.08</f>
        <v>-0.224</v>
      </c>
      <c r="P32" s="348">
        <f>(SUM('工资福利（公务员、参公人员）'!R32:S32)+SUM('工资福利（事业）'!V32:X32,'工资福利（事业）'!AB32))*0.06</f>
        <v>-0.168</v>
      </c>
      <c r="Q32" s="348">
        <f>(SUM('工资福利（公务员、参公人员）'!R32:S32)+SUM('工资福利（事业）'!V32:X32,'工资福利（事业）'!AB32))*0.002</f>
        <v>-0.0056</v>
      </c>
      <c r="R32" s="348">
        <f>(SUM('工资福利（公务员、参公人员）'!R32:S32)+SUM('工资福利（事业）'!V32:X32,'工资福利（事业）'!AB32))*0.006</f>
        <v>-0.0168</v>
      </c>
      <c r="S32" s="348">
        <f>(SUM('工资福利（公务员、参公人员）'!R32:S32)+SUM('工资福利（事业）'!V32:X32,'工资福利（事业）'!AB32))*0.12</f>
        <v>-0.336</v>
      </c>
      <c r="T32" s="348"/>
      <c r="U32" s="348">
        <f t="shared" si="5"/>
        <v>13.6816</v>
      </c>
      <c r="V32" s="348">
        <f t="shared" si="6"/>
        <v>5.112</v>
      </c>
      <c r="W32" s="348">
        <f t="shared" si="7"/>
        <v>2.556</v>
      </c>
      <c r="X32" s="348">
        <f t="shared" si="8"/>
        <v>1.922</v>
      </c>
      <c r="Y32" s="348">
        <f t="shared" si="9"/>
        <v>0.0644</v>
      </c>
      <c r="Z32" s="348">
        <f t="shared" si="10"/>
        <v>0.1932</v>
      </c>
      <c r="AA32" s="348">
        <f t="shared" si="11"/>
        <v>3.834</v>
      </c>
      <c r="AB32" s="348">
        <f t="shared" si="12"/>
        <v>0</v>
      </c>
      <c r="AC32" s="350"/>
    </row>
    <row r="33" ht="24" spans="1:29">
      <c r="A33" s="284" t="s">
        <v>221</v>
      </c>
      <c r="B33" s="284" t="s">
        <v>199</v>
      </c>
      <c r="C33" s="284" t="s">
        <v>232</v>
      </c>
      <c r="D33" s="284" t="s">
        <v>213</v>
      </c>
      <c r="E33" s="348">
        <f t="shared" si="2"/>
        <v>20.22</v>
      </c>
      <c r="F33" s="348">
        <v>7.56</v>
      </c>
      <c r="G33" s="348">
        <v>3.78</v>
      </c>
      <c r="H33" s="348">
        <v>2.84</v>
      </c>
      <c r="I33" s="348">
        <v>0.09</v>
      </c>
      <c r="J33" s="348">
        <v>0.28</v>
      </c>
      <c r="K33" s="348">
        <v>5.67</v>
      </c>
      <c r="L33" s="348"/>
      <c r="M33" s="348">
        <f t="shared" si="4"/>
        <v>-0.1498</v>
      </c>
      <c r="N33" s="348">
        <f>(SUM('工资福利（公务员、参公人员）'!R33:T33)+SUM('工资福利（事业）'!V33:X33,'工资福利（事业）'!AB33))*0.16</f>
        <v>-0.056</v>
      </c>
      <c r="O33" s="348">
        <f>(SUM('工资福利（公务员、参公人员）'!R33:S33)+SUM('工资福利（事业）'!V33:X33,'工资福利（事业）'!AB33))*0.08</f>
        <v>-0.028</v>
      </c>
      <c r="P33" s="348">
        <f>(SUM('工资福利（公务员、参公人员）'!R33:S33)+SUM('工资福利（事业）'!V33:X33,'工资福利（事业）'!AB33))*0.06</f>
        <v>-0.021</v>
      </c>
      <c r="Q33" s="348">
        <f>(SUM('工资福利（公务员、参公人员）'!R33:S33)+SUM('工资福利（事业）'!V33:X33,'工资福利（事业）'!AB33))*0.002</f>
        <v>-0.0007</v>
      </c>
      <c r="R33" s="348">
        <f>(SUM('工资福利（公务员、参公人员）'!R33:S33)+SUM('工资福利（事业）'!V33:X33,'工资福利（事业）'!AB33))*0.006</f>
        <v>-0.0021</v>
      </c>
      <c r="S33" s="348">
        <f>(SUM('工资福利（公务员、参公人员）'!R33:S33)+SUM('工资福利（事业）'!V33:X33,'工资福利（事业）'!AB33))*0.12</f>
        <v>-0.042</v>
      </c>
      <c r="T33" s="348"/>
      <c r="U33" s="348">
        <f t="shared" si="5"/>
        <v>20.0702</v>
      </c>
      <c r="V33" s="348">
        <f t="shared" si="6"/>
        <v>7.504</v>
      </c>
      <c r="W33" s="348">
        <f t="shared" si="7"/>
        <v>3.752</v>
      </c>
      <c r="X33" s="348">
        <f t="shared" si="8"/>
        <v>2.819</v>
      </c>
      <c r="Y33" s="348">
        <f t="shared" si="9"/>
        <v>0.0893</v>
      </c>
      <c r="Z33" s="348">
        <f t="shared" si="10"/>
        <v>0.2779</v>
      </c>
      <c r="AA33" s="348">
        <f t="shared" si="11"/>
        <v>5.628</v>
      </c>
      <c r="AB33" s="348">
        <f t="shared" si="12"/>
        <v>0</v>
      </c>
      <c r="AC33" s="350"/>
    </row>
    <row r="34" ht="24" spans="1:29">
      <c r="A34" s="284" t="s">
        <v>221</v>
      </c>
      <c r="B34" s="284" t="s">
        <v>199</v>
      </c>
      <c r="C34" s="284" t="s">
        <v>233</v>
      </c>
      <c r="D34" s="284" t="s">
        <v>213</v>
      </c>
      <c r="E34" s="348">
        <f t="shared" si="2"/>
        <v>54.64</v>
      </c>
      <c r="F34" s="348">
        <v>20.42</v>
      </c>
      <c r="G34" s="348">
        <v>10.21</v>
      </c>
      <c r="H34" s="348">
        <v>7.66</v>
      </c>
      <c r="I34" s="348">
        <v>0.26</v>
      </c>
      <c r="J34" s="348">
        <v>0.77</v>
      </c>
      <c r="K34" s="348">
        <v>15.32</v>
      </c>
      <c r="L34" s="348"/>
      <c r="M34" s="348">
        <f t="shared" si="4"/>
        <v>6.1846</v>
      </c>
      <c r="N34" s="348">
        <f>(SUM('工资福利（公务员、参公人员）'!R34:T34)+SUM('工资福利（事业）'!V34:X34,'工资福利（事业）'!AB34))*0.16</f>
        <v>2.312</v>
      </c>
      <c r="O34" s="348">
        <f>(SUM('工资福利（公务员、参公人员）'!R34:S34)+SUM('工资福利（事业）'!V34:X34,'工资福利（事业）'!AB34))*0.08</f>
        <v>1.156</v>
      </c>
      <c r="P34" s="348">
        <f>(SUM('工资福利（公务员、参公人员）'!R34:S34)+SUM('工资福利（事业）'!V34:X34,'工资福利（事业）'!AB34))*0.06</f>
        <v>0.867</v>
      </c>
      <c r="Q34" s="348">
        <f>(SUM('工资福利（公务员、参公人员）'!R34:S34)+SUM('工资福利（事业）'!V34:X34,'工资福利（事业）'!AB34))*0.002</f>
        <v>0.0289</v>
      </c>
      <c r="R34" s="348">
        <f>(SUM('工资福利（公务员、参公人员）'!R34:S34)+SUM('工资福利（事业）'!V34:X34,'工资福利（事业）'!AB34))*0.006</f>
        <v>0.0867</v>
      </c>
      <c r="S34" s="348">
        <f>(SUM('工资福利（公务员、参公人员）'!R34:S34)+SUM('工资福利（事业）'!V34:X34,'工资福利（事业）'!AB34))*0.12</f>
        <v>1.734</v>
      </c>
      <c r="T34" s="348"/>
      <c r="U34" s="348">
        <f t="shared" si="5"/>
        <v>60.8246</v>
      </c>
      <c r="V34" s="348">
        <f t="shared" si="6"/>
        <v>22.732</v>
      </c>
      <c r="W34" s="348">
        <f t="shared" si="7"/>
        <v>11.366</v>
      </c>
      <c r="X34" s="348">
        <f t="shared" si="8"/>
        <v>8.527</v>
      </c>
      <c r="Y34" s="348">
        <f t="shared" si="9"/>
        <v>0.2889</v>
      </c>
      <c r="Z34" s="348">
        <f t="shared" si="10"/>
        <v>0.8567</v>
      </c>
      <c r="AA34" s="348">
        <f t="shared" si="11"/>
        <v>17.054</v>
      </c>
      <c r="AB34" s="348">
        <f t="shared" si="12"/>
        <v>0</v>
      </c>
      <c r="AC34" s="350"/>
    </row>
    <row r="35" ht="24" spans="1:29">
      <c r="A35" s="284" t="s">
        <v>221</v>
      </c>
      <c r="B35" s="284" t="s">
        <v>196</v>
      </c>
      <c r="C35" s="284" t="s">
        <v>234</v>
      </c>
      <c r="D35" s="284" t="s">
        <v>207</v>
      </c>
      <c r="E35" s="348">
        <f t="shared" si="2"/>
        <v>74.41</v>
      </c>
      <c r="F35" s="348">
        <v>28.69</v>
      </c>
      <c r="G35" s="348">
        <v>13.65</v>
      </c>
      <c r="H35" s="348">
        <v>10.24</v>
      </c>
      <c r="I35" s="348">
        <v>0.34</v>
      </c>
      <c r="J35" s="348">
        <v>1.02</v>
      </c>
      <c r="K35" s="348">
        <v>20.47</v>
      </c>
      <c r="L35" s="348"/>
      <c r="M35" s="348">
        <f t="shared" si="4"/>
        <v>-12.15248</v>
      </c>
      <c r="N35" s="348">
        <f>(SUM('工资福利（公务员、参公人员）'!R35:T35)+SUM('工资福利（事业）'!V35:X35,'工资福利（事业）'!AB35))*0.16</f>
        <v>-4.6592</v>
      </c>
      <c r="O35" s="348">
        <f>(SUM('工资福利（公务员、参公人员）'!R35:S35)+SUM('工资福利（事业）'!V35:X35,'工资福利（事业）'!AB35))*0.08</f>
        <v>-2.2368</v>
      </c>
      <c r="P35" s="348">
        <f>(SUM('工资福利（公务员、参公人员）'!R35:S35)+SUM('工资福利（事业）'!V35:X35,'工资福利（事业）'!AB35))*0.06</f>
        <v>-1.6776</v>
      </c>
      <c r="Q35" s="348">
        <f>(SUM('工资福利（公务员、参公人员）'!R35:S35)+SUM('工资福利（事业）'!V35:X35,'工资福利（事业）'!AB35))*0.002</f>
        <v>-0.05592</v>
      </c>
      <c r="R35" s="348">
        <f>(SUM('工资福利（公务员、参公人员）'!R35:S35)+SUM('工资福利（事业）'!V35:X35,'工资福利（事业）'!AB35))*0.006</f>
        <v>-0.16776</v>
      </c>
      <c r="S35" s="348">
        <f>(SUM('工资福利（公务员、参公人员）'!R35:S35)+SUM('工资福利（事业）'!V35:X35,'工资福利（事业）'!AB35))*0.12</f>
        <v>-3.3552</v>
      </c>
      <c r="T35" s="348"/>
      <c r="U35" s="348">
        <f t="shared" si="5"/>
        <v>62.25752</v>
      </c>
      <c r="V35" s="348">
        <f t="shared" si="6"/>
        <v>24.0308</v>
      </c>
      <c r="W35" s="348">
        <f t="shared" si="7"/>
        <v>11.4132</v>
      </c>
      <c r="X35" s="348">
        <f t="shared" si="8"/>
        <v>8.5624</v>
      </c>
      <c r="Y35" s="348">
        <f t="shared" si="9"/>
        <v>0.28408</v>
      </c>
      <c r="Z35" s="348">
        <f t="shared" si="10"/>
        <v>0.85224</v>
      </c>
      <c r="AA35" s="348">
        <f t="shared" si="11"/>
        <v>17.1148</v>
      </c>
      <c r="AB35" s="348">
        <f t="shared" si="12"/>
        <v>0</v>
      </c>
      <c r="AC35" s="350"/>
    </row>
    <row r="36" ht="24" spans="1:29">
      <c r="A36" s="284" t="s">
        <v>221</v>
      </c>
      <c r="B36" s="284" t="s">
        <v>199</v>
      </c>
      <c r="C36" s="284" t="s">
        <v>235</v>
      </c>
      <c r="D36" s="284" t="s">
        <v>213</v>
      </c>
      <c r="E36" s="348">
        <f t="shared" si="2"/>
        <v>16.83</v>
      </c>
      <c r="F36" s="348">
        <v>6.64</v>
      </c>
      <c r="G36" s="348">
        <v>3.04</v>
      </c>
      <c r="H36" s="348">
        <v>2.28</v>
      </c>
      <c r="I36" s="348">
        <v>0.08</v>
      </c>
      <c r="J36" s="348">
        <v>0.23</v>
      </c>
      <c r="K36" s="348">
        <v>4.56</v>
      </c>
      <c r="L36" s="348"/>
      <c r="M36" s="348">
        <f t="shared" si="4"/>
        <v>3.23568</v>
      </c>
      <c r="N36" s="348">
        <f>(SUM('工资福利（公务员、参公人员）'!R36:T36)+SUM('工资福利（事业）'!V36:X36,'工资福利（事业）'!AB36))*0.16</f>
        <v>1.2096</v>
      </c>
      <c r="O36" s="348">
        <f>(SUM('工资福利（公务员、参公人员）'!R36:S36)+SUM('工资福利（事业）'!V36:X36,'工资福利（事业）'!AB36))*0.08</f>
        <v>0.6048</v>
      </c>
      <c r="P36" s="348">
        <f>(SUM('工资福利（公务员、参公人员）'!R36:S36)+SUM('工资福利（事业）'!V36:X36,'工资福利（事业）'!AB36))*0.06</f>
        <v>0.4536</v>
      </c>
      <c r="Q36" s="348">
        <f>(SUM('工资福利（公务员、参公人员）'!R36:S36)+SUM('工资福利（事业）'!V36:X36,'工资福利（事业）'!AB36))*0.002</f>
        <v>0.01512</v>
      </c>
      <c r="R36" s="348">
        <f>(SUM('工资福利（公务员、参公人员）'!R36:S36)+SUM('工资福利（事业）'!V36:X36,'工资福利（事业）'!AB36))*0.006</f>
        <v>0.04536</v>
      </c>
      <c r="S36" s="348">
        <f>(SUM('工资福利（公务员、参公人员）'!R36:S36)+SUM('工资福利（事业）'!V36:X36,'工资福利（事业）'!AB36))*0.12</f>
        <v>0.9072</v>
      </c>
      <c r="T36" s="348"/>
      <c r="U36" s="348">
        <f t="shared" si="5"/>
        <v>20.06568</v>
      </c>
      <c r="V36" s="348">
        <f t="shared" si="6"/>
        <v>7.8496</v>
      </c>
      <c r="W36" s="348">
        <f t="shared" si="7"/>
        <v>3.6448</v>
      </c>
      <c r="X36" s="348">
        <f t="shared" si="8"/>
        <v>2.7336</v>
      </c>
      <c r="Y36" s="348">
        <f t="shared" si="9"/>
        <v>0.09512</v>
      </c>
      <c r="Z36" s="348">
        <f t="shared" si="10"/>
        <v>0.27536</v>
      </c>
      <c r="AA36" s="348">
        <f t="shared" si="11"/>
        <v>5.4672</v>
      </c>
      <c r="AB36" s="348">
        <f t="shared" si="12"/>
        <v>0</v>
      </c>
      <c r="AC36" s="350"/>
    </row>
    <row r="37" ht="24" spans="1:29">
      <c r="A37" s="284" t="s">
        <v>221</v>
      </c>
      <c r="B37" s="284" t="s">
        <v>199</v>
      </c>
      <c r="C37" s="284" t="s">
        <v>236</v>
      </c>
      <c r="D37" s="284" t="s">
        <v>213</v>
      </c>
      <c r="E37" s="348">
        <f t="shared" si="2"/>
        <v>25.1</v>
      </c>
      <c r="F37" s="348">
        <v>9.89</v>
      </c>
      <c r="G37" s="348">
        <v>4.54</v>
      </c>
      <c r="H37" s="348">
        <v>3.41</v>
      </c>
      <c r="I37" s="348">
        <v>0.11</v>
      </c>
      <c r="J37" s="348">
        <v>0.34</v>
      </c>
      <c r="K37" s="348">
        <v>6.81</v>
      </c>
      <c r="L37" s="348"/>
      <c r="M37" s="348">
        <f t="shared" si="4"/>
        <v>-3.02596</v>
      </c>
      <c r="N37" s="348">
        <f>(SUM('工资福利（公务员、参公人员）'!R37:T37)+SUM('工资福利（事业）'!V37:X37,'工资福利（事业）'!AB37))*0.16</f>
        <v>-1.1312</v>
      </c>
      <c r="O37" s="348">
        <f>(SUM('工资福利（公务员、参公人员）'!R37:S37)+SUM('工资福利（事业）'!V37:X37,'工资福利（事业）'!AB37))*0.08</f>
        <v>-0.5656</v>
      </c>
      <c r="P37" s="348">
        <f>(SUM('工资福利（公务员、参公人员）'!R37:S37)+SUM('工资福利（事业）'!V37:X37,'工资福利（事业）'!AB37))*0.06</f>
        <v>-0.4242</v>
      </c>
      <c r="Q37" s="348">
        <f>(SUM('工资福利（公务员、参公人员）'!R37:S37)+SUM('工资福利（事业）'!V37:X37,'工资福利（事业）'!AB37))*0.002</f>
        <v>-0.01414</v>
      </c>
      <c r="R37" s="348">
        <f>(SUM('工资福利（公务员、参公人员）'!R37:S37)+SUM('工资福利（事业）'!V37:X37,'工资福利（事业）'!AB37))*0.006</f>
        <v>-0.04242</v>
      </c>
      <c r="S37" s="348">
        <f>(SUM('工资福利（公务员、参公人员）'!R37:S37)+SUM('工资福利（事业）'!V37:X37,'工资福利（事业）'!AB37))*0.12</f>
        <v>-0.8484</v>
      </c>
      <c r="T37" s="348"/>
      <c r="U37" s="348">
        <f t="shared" si="5"/>
        <v>22.07404</v>
      </c>
      <c r="V37" s="348">
        <f t="shared" si="6"/>
        <v>8.7588</v>
      </c>
      <c r="W37" s="348">
        <f t="shared" si="7"/>
        <v>3.9744</v>
      </c>
      <c r="X37" s="348">
        <f t="shared" si="8"/>
        <v>2.9858</v>
      </c>
      <c r="Y37" s="348">
        <f t="shared" si="9"/>
        <v>0.09586</v>
      </c>
      <c r="Z37" s="348">
        <f t="shared" si="10"/>
        <v>0.29758</v>
      </c>
      <c r="AA37" s="348">
        <f t="shared" si="11"/>
        <v>5.9616</v>
      </c>
      <c r="AB37" s="348">
        <f t="shared" si="12"/>
        <v>0</v>
      </c>
      <c r="AC37" s="350"/>
    </row>
    <row r="38" ht="24" spans="1:29">
      <c r="A38" s="284" t="s">
        <v>221</v>
      </c>
      <c r="B38" s="284" t="s">
        <v>199</v>
      </c>
      <c r="C38" s="284" t="s">
        <v>237</v>
      </c>
      <c r="D38" s="284" t="s">
        <v>213</v>
      </c>
      <c r="E38" s="348">
        <f t="shared" si="2"/>
        <v>58.09</v>
      </c>
      <c r="F38" s="348">
        <v>22.82</v>
      </c>
      <c r="G38" s="348">
        <v>10.53</v>
      </c>
      <c r="H38" s="348">
        <v>7.9</v>
      </c>
      <c r="I38" s="348">
        <v>0.26</v>
      </c>
      <c r="J38" s="348">
        <v>0.79</v>
      </c>
      <c r="K38" s="348">
        <v>15.79</v>
      </c>
      <c r="L38" s="348"/>
      <c r="M38" s="348">
        <f t="shared" si="4"/>
        <v>7.60984</v>
      </c>
      <c r="N38" s="348">
        <f>(SUM('工资福利（公务员、参公人员）'!R38:T38)+SUM('工资福利（事业）'!V38:X38,'工资福利（事业）'!AB38))*0.16</f>
        <v>2.8448</v>
      </c>
      <c r="O38" s="348">
        <f>(SUM('工资福利（公务员、参公人员）'!R38:S38)+SUM('工资福利（事业）'!V38:X38,'工资福利（事业）'!AB38))*0.08</f>
        <v>1.4224</v>
      </c>
      <c r="P38" s="348">
        <f>(SUM('工资福利（公务员、参公人员）'!R38:S38)+SUM('工资福利（事业）'!V38:X38,'工资福利（事业）'!AB38))*0.06</f>
        <v>1.0668</v>
      </c>
      <c r="Q38" s="348">
        <f>(SUM('工资福利（公务员、参公人员）'!R38:S38)+SUM('工资福利（事业）'!V38:X38,'工资福利（事业）'!AB38))*0.002</f>
        <v>0.03556</v>
      </c>
      <c r="R38" s="348">
        <f>(SUM('工资福利（公务员、参公人员）'!R38:S38)+SUM('工资福利（事业）'!V38:X38,'工资福利（事业）'!AB38))*0.006</f>
        <v>0.10668</v>
      </c>
      <c r="S38" s="348">
        <f>(SUM('工资福利（公务员、参公人员）'!R38:S38)+SUM('工资福利（事业）'!V38:X38,'工资福利（事业）'!AB38))*0.12</f>
        <v>2.1336</v>
      </c>
      <c r="T38" s="348"/>
      <c r="U38" s="348">
        <f t="shared" si="5"/>
        <v>65.69984</v>
      </c>
      <c r="V38" s="348">
        <f t="shared" si="6"/>
        <v>25.6648</v>
      </c>
      <c r="W38" s="348">
        <f t="shared" si="7"/>
        <v>11.9524</v>
      </c>
      <c r="X38" s="348">
        <f t="shared" si="8"/>
        <v>8.9668</v>
      </c>
      <c r="Y38" s="348">
        <f t="shared" si="9"/>
        <v>0.29556</v>
      </c>
      <c r="Z38" s="348">
        <f t="shared" si="10"/>
        <v>0.89668</v>
      </c>
      <c r="AA38" s="348">
        <f t="shared" si="11"/>
        <v>17.9236</v>
      </c>
      <c r="AB38" s="348">
        <f t="shared" si="12"/>
        <v>0</v>
      </c>
      <c r="AC38" s="350"/>
    </row>
    <row r="39" ht="24" spans="1:29">
      <c r="A39" s="284" t="s">
        <v>221</v>
      </c>
      <c r="B39" s="284" t="s">
        <v>196</v>
      </c>
      <c r="C39" s="284" t="s">
        <v>238</v>
      </c>
      <c r="D39" s="284" t="s">
        <v>207</v>
      </c>
      <c r="E39" s="348">
        <f t="shared" si="2"/>
        <v>69.16</v>
      </c>
      <c r="F39" s="348">
        <v>26.63</v>
      </c>
      <c r="G39" s="348">
        <v>12.7</v>
      </c>
      <c r="H39" s="348">
        <v>9.52</v>
      </c>
      <c r="I39" s="348">
        <v>0.32</v>
      </c>
      <c r="J39" s="348">
        <v>0.95</v>
      </c>
      <c r="K39" s="348">
        <v>19.04</v>
      </c>
      <c r="L39" s="348"/>
      <c r="M39" s="348">
        <f t="shared" si="4"/>
        <v>1.00988</v>
      </c>
      <c r="N39" s="348">
        <f>(SUM('工资福利（公务员、参公人员）'!R39:T39)+SUM('工资福利（事业）'!V39:X39,'工资福利（事业）'!AB39))*0.16</f>
        <v>0.3104</v>
      </c>
      <c r="O39" s="348">
        <f>(SUM('工资福利（公务员、参公人员）'!R39:S39)+SUM('工资福利（事业）'!V39:X39,'工资福利（事业）'!AB39))*0.08</f>
        <v>0.2088</v>
      </c>
      <c r="P39" s="348">
        <f>(SUM('工资福利（公务员、参公人员）'!R39:S39)+SUM('工资福利（事业）'!V39:X39,'工资福利（事业）'!AB39))*0.06</f>
        <v>0.1566</v>
      </c>
      <c r="Q39" s="348">
        <f>(SUM('工资福利（公务员、参公人员）'!R39:S39)+SUM('工资福利（事业）'!V39:X39,'工资福利（事业）'!AB39))*0.002</f>
        <v>0.00522</v>
      </c>
      <c r="R39" s="348">
        <f>(SUM('工资福利（公务员、参公人员）'!R39:S39)+SUM('工资福利（事业）'!V39:X39,'工资福利（事业）'!AB39))*0.006</f>
        <v>0.01566</v>
      </c>
      <c r="S39" s="348">
        <f>(SUM('工资福利（公务员、参公人员）'!R39:S39)+SUM('工资福利（事业）'!V39:X39,'工资福利（事业）'!AB39))*0.12</f>
        <v>0.3132</v>
      </c>
      <c r="T39" s="348"/>
      <c r="U39" s="348">
        <f t="shared" si="5"/>
        <v>70.16988</v>
      </c>
      <c r="V39" s="348">
        <f t="shared" si="6"/>
        <v>26.9404</v>
      </c>
      <c r="W39" s="348">
        <f t="shared" si="7"/>
        <v>12.9088</v>
      </c>
      <c r="X39" s="348">
        <f t="shared" si="8"/>
        <v>9.6766</v>
      </c>
      <c r="Y39" s="348">
        <f t="shared" si="9"/>
        <v>0.32522</v>
      </c>
      <c r="Z39" s="348">
        <f t="shared" si="10"/>
        <v>0.96566</v>
      </c>
      <c r="AA39" s="348">
        <f t="shared" si="11"/>
        <v>19.3532</v>
      </c>
      <c r="AB39" s="348">
        <f t="shared" si="12"/>
        <v>0</v>
      </c>
      <c r="AC39" s="350"/>
    </row>
    <row r="40" ht="24" spans="1:29">
      <c r="A40" s="284" t="s">
        <v>221</v>
      </c>
      <c r="B40" s="284" t="s">
        <v>199</v>
      </c>
      <c r="C40" s="284" t="s">
        <v>239</v>
      </c>
      <c r="D40" s="284" t="s">
        <v>213</v>
      </c>
      <c r="E40" s="348">
        <f t="shared" si="2"/>
        <v>13.14</v>
      </c>
      <c r="F40" s="348">
        <v>4.85</v>
      </c>
      <c r="G40" s="348">
        <v>2.42</v>
      </c>
      <c r="H40" s="348">
        <v>1.82</v>
      </c>
      <c r="I40" s="348">
        <v>0.06</v>
      </c>
      <c r="J40" s="348">
        <v>0.36</v>
      </c>
      <c r="K40" s="348">
        <v>3.63</v>
      </c>
      <c r="L40" s="348"/>
      <c r="M40" s="348">
        <f t="shared" si="4"/>
        <v>1.07428</v>
      </c>
      <c r="N40" s="348">
        <f>(SUM('工资福利（公务员、参公人员）'!R40:T40)+SUM('工资福利（事业）'!V40:X40,'工资福利（事业）'!AB40))*0.16</f>
        <v>0.4016</v>
      </c>
      <c r="O40" s="348">
        <f>(SUM('工资福利（公务员、参公人员）'!R40:S40)+SUM('工资福利（事业）'!V40:X40,'工资福利（事业）'!AB40))*0.08</f>
        <v>0.2008</v>
      </c>
      <c r="P40" s="348">
        <f>(SUM('工资福利（公务员、参公人员）'!R40:S40)+SUM('工资福利（事业）'!V40:X40,'工资福利（事业）'!AB40))*0.06</f>
        <v>0.1506</v>
      </c>
      <c r="Q40" s="348">
        <f>(SUM('工资福利（公务员、参公人员）'!R40:S40)+SUM('工资福利（事业）'!V40:X40,'工资福利（事业）'!AB40))*0.002</f>
        <v>0.00502</v>
      </c>
      <c r="R40" s="348">
        <f>(SUM('工资福利（公务员、参公人员）'!R40:S40)+SUM('工资福利（事业）'!V40:X40,'工资福利（事业）'!AB40))*0.006</f>
        <v>0.01506</v>
      </c>
      <c r="S40" s="348">
        <f>(SUM('工资福利（公务员、参公人员）'!R40:S40)+SUM('工资福利（事业）'!V40:X40,'工资福利（事业）'!AB40))*0.12</f>
        <v>0.3012</v>
      </c>
      <c r="T40" s="348"/>
      <c r="U40" s="348">
        <f t="shared" si="5"/>
        <v>14.21428</v>
      </c>
      <c r="V40" s="348">
        <f t="shared" si="6"/>
        <v>5.2516</v>
      </c>
      <c r="W40" s="348">
        <f t="shared" si="7"/>
        <v>2.6208</v>
      </c>
      <c r="X40" s="348">
        <f t="shared" si="8"/>
        <v>1.9706</v>
      </c>
      <c r="Y40" s="348">
        <f t="shared" si="9"/>
        <v>0.06502</v>
      </c>
      <c r="Z40" s="348">
        <f t="shared" si="10"/>
        <v>0.37506</v>
      </c>
      <c r="AA40" s="348">
        <f t="shared" si="11"/>
        <v>3.9312</v>
      </c>
      <c r="AB40" s="348">
        <f t="shared" si="12"/>
        <v>0</v>
      </c>
      <c r="AC40" s="350"/>
    </row>
    <row r="41" ht="24" spans="1:29">
      <c r="A41" s="284" t="s">
        <v>221</v>
      </c>
      <c r="B41" s="284" t="s">
        <v>199</v>
      </c>
      <c r="C41" s="284" t="s">
        <v>240</v>
      </c>
      <c r="D41" s="284" t="s">
        <v>213</v>
      </c>
      <c r="E41" s="348">
        <f t="shared" si="2"/>
        <v>16.51</v>
      </c>
      <c r="F41" s="348">
        <v>6.17</v>
      </c>
      <c r="G41" s="348">
        <v>3.09</v>
      </c>
      <c r="H41" s="348">
        <v>2.31</v>
      </c>
      <c r="I41" s="348">
        <v>0.08</v>
      </c>
      <c r="J41" s="348">
        <v>0.23</v>
      </c>
      <c r="K41" s="348">
        <v>4.63</v>
      </c>
      <c r="L41" s="348"/>
      <c r="M41" s="348">
        <f t="shared" ref="M41:M72" si="13">SUM(N41:T41)</f>
        <v>3.37264</v>
      </c>
      <c r="N41" s="348">
        <f>(SUM('工资福利（公务员、参公人员）'!R41:T41)+SUM('工资福利（事业）'!V41:X41,'工资福利（事业）'!AB41))*0.16</f>
        <v>1.2608</v>
      </c>
      <c r="O41" s="348">
        <f>(SUM('工资福利（公务员、参公人员）'!R41:S41)+SUM('工资福利（事业）'!V41:X41,'工资福利（事业）'!AB41))*0.08</f>
        <v>0.6304</v>
      </c>
      <c r="P41" s="348">
        <f>(SUM('工资福利（公务员、参公人员）'!R41:S41)+SUM('工资福利（事业）'!V41:X41,'工资福利（事业）'!AB41))*0.06</f>
        <v>0.4728</v>
      </c>
      <c r="Q41" s="348">
        <f>(SUM('工资福利（公务员、参公人员）'!R41:S41)+SUM('工资福利（事业）'!V41:X41,'工资福利（事业）'!AB41))*0.002</f>
        <v>0.01576</v>
      </c>
      <c r="R41" s="348">
        <f>(SUM('工资福利（公务员、参公人员）'!R41:S41)+SUM('工资福利（事业）'!V41:X41,'工资福利（事业）'!AB41))*0.006</f>
        <v>0.04728</v>
      </c>
      <c r="S41" s="348">
        <f>(SUM('工资福利（公务员、参公人员）'!R41:S41)+SUM('工资福利（事业）'!V41:X41,'工资福利（事业）'!AB41))*0.12</f>
        <v>0.9456</v>
      </c>
      <c r="T41" s="348"/>
      <c r="U41" s="348">
        <f t="shared" ref="U41:U72" si="14">SUM(V41:AB41)</f>
        <v>19.88264</v>
      </c>
      <c r="V41" s="348">
        <f t="shared" ref="V41:V72" si="15">F41+N41</f>
        <v>7.4308</v>
      </c>
      <c r="W41" s="348">
        <f t="shared" ref="W41:W72" si="16">G41+O41</f>
        <v>3.7204</v>
      </c>
      <c r="X41" s="348">
        <f t="shared" ref="X41:X72" si="17">H41+P41</f>
        <v>2.7828</v>
      </c>
      <c r="Y41" s="348">
        <f t="shared" ref="Y41:Y72" si="18">I41+Q41</f>
        <v>0.09576</v>
      </c>
      <c r="Z41" s="348">
        <f t="shared" ref="Z41:Z72" si="19">J41+R41</f>
        <v>0.27728</v>
      </c>
      <c r="AA41" s="348">
        <f t="shared" ref="AA41:AA72" si="20">K41+S41</f>
        <v>5.5756</v>
      </c>
      <c r="AB41" s="348">
        <f t="shared" ref="AB41:AB72" si="21">L41+T41</f>
        <v>0</v>
      </c>
      <c r="AC41" s="350"/>
    </row>
    <row r="42" ht="24" spans="1:29">
      <c r="A42" s="284" t="s">
        <v>221</v>
      </c>
      <c r="B42" s="284" t="s">
        <v>199</v>
      </c>
      <c r="C42" s="284" t="s">
        <v>241</v>
      </c>
      <c r="D42" s="284" t="s">
        <v>213</v>
      </c>
      <c r="E42" s="348">
        <f t="shared" si="2"/>
        <v>83.84</v>
      </c>
      <c r="F42" s="348">
        <v>31.34</v>
      </c>
      <c r="G42" s="348">
        <v>15.67</v>
      </c>
      <c r="H42" s="348">
        <v>11.75</v>
      </c>
      <c r="I42" s="348">
        <v>0.39</v>
      </c>
      <c r="J42" s="348">
        <v>1.18</v>
      </c>
      <c r="K42" s="348">
        <v>23.51</v>
      </c>
      <c r="L42" s="348"/>
      <c r="M42" s="348">
        <f t="shared" si="13"/>
        <v>5.38424</v>
      </c>
      <c r="N42" s="348">
        <f>(SUM('工资福利（公务员、参公人员）'!R42:T42)+SUM('工资福利（事业）'!V42:X42,'工资福利（事业）'!AB42))*0.16</f>
        <v>2.0128</v>
      </c>
      <c r="O42" s="348">
        <f>(SUM('工资福利（公务员、参公人员）'!R42:S42)+SUM('工资福利（事业）'!V42:X42,'工资福利（事业）'!AB42))*0.08</f>
        <v>1.0064</v>
      </c>
      <c r="P42" s="348">
        <f>(SUM('工资福利（公务员、参公人员）'!R42:S42)+SUM('工资福利（事业）'!V42:X42,'工资福利（事业）'!AB42))*0.06</f>
        <v>0.7548</v>
      </c>
      <c r="Q42" s="348">
        <f>(SUM('工资福利（公务员、参公人员）'!R42:S42)+SUM('工资福利（事业）'!V42:X42,'工资福利（事业）'!AB42))*0.002</f>
        <v>0.02516</v>
      </c>
      <c r="R42" s="348">
        <f>(SUM('工资福利（公务员、参公人员）'!R42:S42)+SUM('工资福利（事业）'!V42:X42,'工资福利（事业）'!AB42))*0.006</f>
        <v>0.07548</v>
      </c>
      <c r="S42" s="348">
        <f>(SUM('工资福利（公务员、参公人员）'!R42:S42)+SUM('工资福利（事业）'!V42:X42,'工资福利（事业）'!AB42))*0.12</f>
        <v>1.5096</v>
      </c>
      <c r="T42" s="348"/>
      <c r="U42" s="348">
        <f t="shared" si="14"/>
        <v>89.22424</v>
      </c>
      <c r="V42" s="348">
        <f t="shared" si="15"/>
        <v>33.3528</v>
      </c>
      <c r="W42" s="348">
        <f t="shared" si="16"/>
        <v>16.6764</v>
      </c>
      <c r="X42" s="348">
        <f t="shared" si="17"/>
        <v>12.5048</v>
      </c>
      <c r="Y42" s="348">
        <f t="shared" si="18"/>
        <v>0.41516</v>
      </c>
      <c r="Z42" s="348">
        <f t="shared" si="19"/>
        <v>1.25548</v>
      </c>
      <c r="AA42" s="348">
        <f t="shared" si="20"/>
        <v>25.0196</v>
      </c>
      <c r="AB42" s="348">
        <f t="shared" si="21"/>
        <v>0</v>
      </c>
      <c r="AC42" s="350"/>
    </row>
    <row r="43" ht="24" spans="1:29">
      <c r="A43" s="284" t="s">
        <v>221</v>
      </c>
      <c r="B43" s="284" t="s">
        <v>196</v>
      </c>
      <c r="C43" s="284" t="s">
        <v>242</v>
      </c>
      <c r="D43" s="284" t="s">
        <v>207</v>
      </c>
      <c r="E43" s="348">
        <f t="shared" si="2"/>
        <v>44.7</v>
      </c>
      <c r="F43" s="348">
        <v>17.2</v>
      </c>
      <c r="G43" s="348">
        <v>8.21</v>
      </c>
      <c r="H43" s="348">
        <v>6.15</v>
      </c>
      <c r="I43" s="348">
        <v>0.21</v>
      </c>
      <c r="J43" s="348">
        <v>0.62</v>
      </c>
      <c r="K43" s="348">
        <v>12.31</v>
      </c>
      <c r="L43" s="348"/>
      <c r="M43" s="348">
        <f t="shared" si="13"/>
        <v>-1.03204</v>
      </c>
      <c r="N43" s="348">
        <f>(SUM('工资福利（公务员、参公人员）'!R43:T43)+SUM('工资福利（事业）'!V43:X43,'工资福利（事业）'!AB43))*0.16</f>
        <v>-0.3808</v>
      </c>
      <c r="O43" s="348">
        <f>(SUM('工资福利（公务员、参公人员）'!R43:S43)+SUM('工资福利（事业）'!V43:X43,'工资福利（事业）'!AB43))*0.08</f>
        <v>-0.1944</v>
      </c>
      <c r="P43" s="348">
        <f>(SUM('工资福利（公务员、参公人员）'!R43:S43)+SUM('工资福利（事业）'!V43:X43,'工资福利（事业）'!AB43))*0.06</f>
        <v>-0.1458</v>
      </c>
      <c r="Q43" s="348">
        <f>(SUM('工资福利（公务员、参公人员）'!R43:S43)+SUM('工资福利（事业）'!V43:X43,'工资福利（事业）'!AB43))*0.002</f>
        <v>-0.00486</v>
      </c>
      <c r="R43" s="348">
        <f>(SUM('工资福利（公务员、参公人员）'!R43:S43)+SUM('工资福利（事业）'!V43:X43,'工资福利（事业）'!AB43))*0.006</f>
        <v>-0.01458</v>
      </c>
      <c r="S43" s="348">
        <f>(SUM('工资福利（公务员、参公人员）'!R43:S43)+SUM('工资福利（事业）'!V43:X43,'工资福利（事业）'!AB43))*0.12</f>
        <v>-0.2916</v>
      </c>
      <c r="T43" s="348"/>
      <c r="U43" s="348">
        <f t="shared" si="14"/>
        <v>43.66796</v>
      </c>
      <c r="V43" s="348">
        <f t="shared" si="15"/>
        <v>16.8192</v>
      </c>
      <c r="W43" s="348">
        <f t="shared" si="16"/>
        <v>8.0156</v>
      </c>
      <c r="X43" s="348">
        <f t="shared" si="17"/>
        <v>6.0042</v>
      </c>
      <c r="Y43" s="348">
        <f t="shared" si="18"/>
        <v>0.20514</v>
      </c>
      <c r="Z43" s="348">
        <f t="shared" si="19"/>
        <v>0.60542</v>
      </c>
      <c r="AA43" s="348">
        <f t="shared" si="20"/>
        <v>12.0184</v>
      </c>
      <c r="AB43" s="348">
        <f t="shared" si="21"/>
        <v>0</v>
      </c>
      <c r="AC43" s="350"/>
    </row>
    <row r="44" ht="24" spans="1:29">
      <c r="A44" s="284" t="s">
        <v>221</v>
      </c>
      <c r="B44" s="284" t="s">
        <v>199</v>
      </c>
      <c r="C44" s="284" t="s">
        <v>243</v>
      </c>
      <c r="D44" s="284" t="s">
        <v>213</v>
      </c>
      <c r="E44" s="348">
        <f t="shared" si="2"/>
        <v>8.63</v>
      </c>
      <c r="F44" s="348">
        <v>3.23</v>
      </c>
      <c r="G44" s="348">
        <v>1.61</v>
      </c>
      <c r="H44" s="348">
        <v>1.21</v>
      </c>
      <c r="I44" s="348">
        <v>0.04</v>
      </c>
      <c r="J44" s="348">
        <v>0.12</v>
      </c>
      <c r="K44" s="348">
        <v>2.42</v>
      </c>
      <c r="L44" s="348"/>
      <c r="M44" s="348">
        <f t="shared" si="13"/>
        <v>2.62792</v>
      </c>
      <c r="N44" s="348">
        <f>(SUM('工资福利（公务员、参公人员）'!R44:T44)+SUM('工资福利（事业）'!V44:X44,'工资福利（事业）'!AB44))*0.16</f>
        <v>0.9824</v>
      </c>
      <c r="O44" s="348">
        <f>(SUM('工资福利（公务员、参公人员）'!R44:S44)+SUM('工资福利（事业）'!V44:X44,'工资福利（事业）'!AB44))*0.08</f>
        <v>0.4912</v>
      </c>
      <c r="P44" s="348">
        <f>(SUM('工资福利（公务员、参公人员）'!R44:S44)+SUM('工资福利（事业）'!V44:X44,'工资福利（事业）'!AB44))*0.06</f>
        <v>0.3684</v>
      </c>
      <c r="Q44" s="348">
        <f>(SUM('工资福利（公务员、参公人员）'!R44:S44)+SUM('工资福利（事业）'!V44:X44,'工资福利（事业）'!AB44))*0.002</f>
        <v>0.01228</v>
      </c>
      <c r="R44" s="348">
        <f>(SUM('工资福利（公务员、参公人员）'!R44:S44)+SUM('工资福利（事业）'!V44:X44,'工资福利（事业）'!AB44))*0.006</f>
        <v>0.03684</v>
      </c>
      <c r="S44" s="348">
        <f>(SUM('工资福利（公务员、参公人员）'!R44:S44)+SUM('工资福利（事业）'!V44:X44,'工资福利（事业）'!AB44))*0.12</f>
        <v>0.7368</v>
      </c>
      <c r="T44" s="348"/>
      <c r="U44" s="348">
        <f t="shared" si="14"/>
        <v>11.25792</v>
      </c>
      <c r="V44" s="348">
        <f t="shared" si="15"/>
        <v>4.2124</v>
      </c>
      <c r="W44" s="348">
        <f t="shared" si="16"/>
        <v>2.1012</v>
      </c>
      <c r="X44" s="348">
        <f t="shared" si="17"/>
        <v>1.5784</v>
      </c>
      <c r="Y44" s="348">
        <f t="shared" si="18"/>
        <v>0.05228</v>
      </c>
      <c r="Z44" s="348">
        <f t="shared" si="19"/>
        <v>0.15684</v>
      </c>
      <c r="AA44" s="348">
        <f t="shared" si="20"/>
        <v>3.1568</v>
      </c>
      <c r="AB44" s="348">
        <f t="shared" si="21"/>
        <v>0</v>
      </c>
      <c r="AC44" s="350"/>
    </row>
    <row r="45" ht="24" spans="1:29">
      <c r="A45" s="284" t="s">
        <v>221</v>
      </c>
      <c r="B45" s="284" t="s">
        <v>199</v>
      </c>
      <c r="C45" s="284" t="s">
        <v>244</v>
      </c>
      <c r="D45" s="284" t="s">
        <v>213</v>
      </c>
      <c r="E45" s="348">
        <f t="shared" si="2"/>
        <v>11.35</v>
      </c>
      <c r="F45" s="348">
        <v>4.25</v>
      </c>
      <c r="G45" s="348">
        <v>2.12</v>
      </c>
      <c r="H45" s="348">
        <v>1.59</v>
      </c>
      <c r="I45" s="348">
        <v>0.05</v>
      </c>
      <c r="J45" s="348">
        <v>0.16</v>
      </c>
      <c r="K45" s="348">
        <v>3.18</v>
      </c>
      <c r="L45" s="348"/>
      <c r="M45" s="348">
        <f t="shared" si="13"/>
        <v>2.79912</v>
      </c>
      <c r="N45" s="348">
        <f>(SUM('工资福利（公务员、参公人员）'!R45:T45)+SUM('工资福利（事业）'!V45:X45,'工资福利（事业）'!AB45))*0.16</f>
        <v>1.0464</v>
      </c>
      <c r="O45" s="348">
        <f>(SUM('工资福利（公务员、参公人员）'!R45:S45)+SUM('工资福利（事业）'!V45:X45,'工资福利（事业）'!AB45))*0.08</f>
        <v>0.5232</v>
      </c>
      <c r="P45" s="348">
        <f>(SUM('工资福利（公务员、参公人员）'!R45:S45)+SUM('工资福利（事业）'!V45:X45,'工资福利（事业）'!AB45))*0.06</f>
        <v>0.3924</v>
      </c>
      <c r="Q45" s="348">
        <f>(SUM('工资福利（公务员、参公人员）'!R45:S45)+SUM('工资福利（事业）'!V45:X45,'工资福利（事业）'!AB45))*0.002</f>
        <v>0.01308</v>
      </c>
      <c r="R45" s="348">
        <f>(SUM('工资福利（公务员、参公人员）'!R45:S45)+SUM('工资福利（事业）'!V45:X45,'工资福利（事业）'!AB45))*0.006</f>
        <v>0.03924</v>
      </c>
      <c r="S45" s="348">
        <f>(SUM('工资福利（公务员、参公人员）'!R45:S45)+SUM('工资福利（事业）'!V45:X45,'工资福利（事业）'!AB45))*0.12</f>
        <v>0.7848</v>
      </c>
      <c r="T45" s="348"/>
      <c r="U45" s="348">
        <f t="shared" si="14"/>
        <v>14.14912</v>
      </c>
      <c r="V45" s="348">
        <f t="shared" si="15"/>
        <v>5.2964</v>
      </c>
      <c r="W45" s="348">
        <f t="shared" si="16"/>
        <v>2.6432</v>
      </c>
      <c r="X45" s="348">
        <f t="shared" si="17"/>
        <v>1.9824</v>
      </c>
      <c r="Y45" s="348">
        <f t="shared" si="18"/>
        <v>0.06308</v>
      </c>
      <c r="Z45" s="348">
        <f t="shared" si="19"/>
        <v>0.19924</v>
      </c>
      <c r="AA45" s="348">
        <f t="shared" si="20"/>
        <v>3.9648</v>
      </c>
      <c r="AB45" s="348">
        <f t="shared" si="21"/>
        <v>0</v>
      </c>
      <c r="AC45" s="350"/>
    </row>
    <row r="46" ht="24" spans="1:29">
      <c r="A46" s="284" t="s">
        <v>221</v>
      </c>
      <c r="B46" s="284" t="s">
        <v>199</v>
      </c>
      <c r="C46" s="284" t="s">
        <v>245</v>
      </c>
      <c r="D46" s="284" t="s">
        <v>213</v>
      </c>
      <c r="E46" s="348">
        <f t="shared" si="2"/>
        <v>28.45</v>
      </c>
      <c r="F46" s="348">
        <v>10.63</v>
      </c>
      <c r="G46" s="348">
        <v>5.32</v>
      </c>
      <c r="H46" s="348">
        <v>3.99</v>
      </c>
      <c r="I46" s="348">
        <v>0.13</v>
      </c>
      <c r="J46" s="348">
        <v>0.4</v>
      </c>
      <c r="K46" s="348">
        <v>7.98</v>
      </c>
      <c r="L46" s="348"/>
      <c r="M46" s="348">
        <f t="shared" si="13"/>
        <v>2.40536</v>
      </c>
      <c r="N46" s="348">
        <f>(SUM('工资福利（公务员、参公人员）'!R46:T46)+SUM('工资福利（事业）'!V46:X46,'工资福利（事业）'!AB46))*0.16</f>
        <v>0.8992</v>
      </c>
      <c r="O46" s="348">
        <f>(SUM('工资福利（公务员、参公人员）'!R46:S46)+SUM('工资福利（事业）'!V46:X46,'工资福利（事业）'!AB46))*0.08</f>
        <v>0.4496</v>
      </c>
      <c r="P46" s="348">
        <f>(SUM('工资福利（公务员、参公人员）'!R46:S46)+SUM('工资福利（事业）'!V46:X46,'工资福利（事业）'!AB46))*0.06</f>
        <v>0.3372</v>
      </c>
      <c r="Q46" s="348">
        <f>(SUM('工资福利（公务员、参公人员）'!R46:S46)+SUM('工资福利（事业）'!V46:X46,'工资福利（事业）'!AB46))*0.002</f>
        <v>0.01124</v>
      </c>
      <c r="R46" s="348">
        <f>(SUM('工资福利（公务员、参公人员）'!R46:S46)+SUM('工资福利（事业）'!V46:X46,'工资福利（事业）'!AB46))*0.006</f>
        <v>0.03372</v>
      </c>
      <c r="S46" s="348">
        <f>(SUM('工资福利（公务员、参公人员）'!R46:S46)+SUM('工资福利（事业）'!V46:X46,'工资福利（事业）'!AB46))*0.12</f>
        <v>0.6744</v>
      </c>
      <c r="T46" s="348"/>
      <c r="U46" s="348">
        <f t="shared" si="14"/>
        <v>30.85536</v>
      </c>
      <c r="V46" s="348">
        <f t="shared" si="15"/>
        <v>11.5292</v>
      </c>
      <c r="W46" s="348">
        <f t="shared" si="16"/>
        <v>5.7696</v>
      </c>
      <c r="X46" s="348">
        <f t="shared" si="17"/>
        <v>4.3272</v>
      </c>
      <c r="Y46" s="348">
        <f t="shared" si="18"/>
        <v>0.14124</v>
      </c>
      <c r="Z46" s="348">
        <f t="shared" si="19"/>
        <v>0.43372</v>
      </c>
      <c r="AA46" s="348">
        <f t="shared" si="20"/>
        <v>8.6544</v>
      </c>
      <c r="AB46" s="348">
        <f t="shared" si="21"/>
        <v>0</v>
      </c>
      <c r="AC46" s="350"/>
    </row>
    <row r="47" ht="24" spans="1:29">
      <c r="A47" s="284" t="s">
        <v>221</v>
      </c>
      <c r="B47" s="284" t="s">
        <v>196</v>
      </c>
      <c r="C47" s="284" t="s">
        <v>246</v>
      </c>
      <c r="D47" s="284" t="s">
        <v>207</v>
      </c>
      <c r="E47" s="348">
        <f t="shared" si="2"/>
        <v>42.71</v>
      </c>
      <c r="F47" s="348">
        <v>16.44</v>
      </c>
      <c r="G47" s="348">
        <v>7.84</v>
      </c>
      <c r="H47" s="348">
        <v>5.88</v>
      </c>
      <c r="I47" s="348">
        <v>0.2</v>
      </c>
      <c r="J47" s="348">
        <v>0.59</v>
      </c>
      <c r="K47" s="348">
        <v>11.76</v>
      </c>
      <c r="L47" s="348"/>
      <c r="M47" s="348">
        <f t="shared" si="13"/>
        <v>1.14392</v>
      </c>
      <c r="N47" s="348">
        <f>(SUM('工资福利（公务员、参公人员）'!R47:T47)+SUM('工资福利（事业）'!V47:X47,'工资福利（事业）'!AB47))*0.16</f>
        <v>0.4096</v>
      </c>
      <c r="O47" s="348">
        <f>(SUM('工资福利（公务员、参公人员）'!R47:S47)+SUM('工资福利（事业）'!V47:X47,'工资福利（事业）'!AB47))*0.08</f>
        <v>0.2192</v>
      </c>
      <c r="P47" s="348">
        <f>(SUM('工资福利（公务员、参公人员）'!R47:S47)+SUM('工资福利（事业）'!V47:X47,'工资福利（事业）'!AB47))*0.06</f>
        <v>0.1644</v>
      </c>
      <c r="Q47" s="348">
        <f>(SUM('工资福利（公务员、参公人员）'!R47:S47)+SUM('工资福利（事业）'!V47:X47,'工资福利（事业）'!AB47))*0.002</f>
        <v>0.00548</v>
      </c>
      <c r="R47" s="348">
        <f>(SUM('工资福利（公务员、参公人员）'!R47:S47)+SUM('工资福利（事业）'!V47:X47,'工资福利（事业）'!AB47))*0.006</f>
        <v>0.01644</v>
      </c>
      <c r="S47" s="348">
        <f>(SUM('工资福利（公务员、参公人员）'!R47:S47)+SUM('工资福利（事业）'!V47:X47,'工资福利（事业）'!AB47))*0.12</f>
        <v>0.3288</v>
      </c>
      <c r="T47" s="348"/>
      <c r="U47" s="348">
        <f t="shared" si="14"/>
        <v>43.85392</v>
      </c>
      <c r="V47" s="348">
        <f t="shared" si="15"/>
        <v>16.8496</v>
      </c>
      <c r="W47" s="348">
        <f t="shared" si="16"/>
        <v>8.0592</v>
      </c>
      <c r="X47" s="348">
        <f t="shared" si="17"/>
        <v>6.0444</v>
      </c>
      <c r="Y47" s="348">
        <f t="shared" si="18"/>
        <v>0.20548</v>
      </c>
      <c r="Z47" s="348">
        <f t="shared" si="19"/>
        <v>0.60644</v>
      </c>
      <c r="AA47" s="348">
        <f t="shared" si="20"/>
        <v>12.0888</v>
      </c>
      <c r="AB47" s="348">
        <f t="shared" si="21"/>
        <v>0</v>
      </c>
      <c r="AC47" s="350"/>
    </row>
    <row r="48" ht="24" spans="1:29">
      <c r="A48" s="284" t="s">
        <v>221</v>
      </c>
      <c r="B48" s="284" t="s">
        <v>199</v>
      </c>
      <c r="C48" s="284" t="s">
        <v>247</v>
      </c>
      <c r="D48" s="284" t="s">
        <v>213</v>
      </c>
      <c r="E48" s="348">
        <f t="shared" si="2"/>
        <v>11.18</v>
      </c>
      <c r="F48" s="348">
        <v>4.18</v>
      </c>
      <c r="G48" s="348">
        <v>2.09</v>
      </c>
      <c r="H48" s="348">
        <v>1.57</v>
      </c>
      <c r="I48" s="348">
        <v>0.05</v>
      </c>
      <c r="J48" s="348">
        <v>0.16</v>
      </c>
      <c r="K48" s="348">
        <v>3.13</v>
      </c>
      <c r="L48" s="348"/>
      <c r="M48" s="348">
        <f t="shared" si="13"/>
        <v>-1.391</v>
      </c>
      <c r="N48" s="348">
        <f>(SUM('工资福利（公务员、参公人员）'!R48:T48)+SUM('工资福利（事业）'!V48:X48,'工资福利（事业）'!AB48))*0.16</f>
        <v>-0.52</v>
      </c>
      <c r="O48" s="348">
        <f>(SUM('工资福利（公务员、参公人员）'!R48:S48)+SUM('工资福利（事业）'!V48:X48,'工资福利（事业）'!AB48))*0.08</f>
        <v>-0.26</v>
      </c>
      <c r="P48" s="348">
        <f>(SUM('工资福利（公务员、参公人员）'!R48:S48)+SUM('工资福利（事业）'!V48:X48,'工资福利（事业）'!AB48))*0.06</f>
        <v>-0.195</v>
      </c>
      <c r="Q48" s="348">
        <f>(SUM('工资福利（公务员、参公人员）'!R48:S48)+SUM('工资福利（事业）'!V48:X48,'工资福利（事业）'!AB48))*0.002</f>
        <v>-0.0065</v>
      </c>
      <c r="R48" s="348">
        <f>(SUM('工资福利（公务员、参公人员）'!R48:S48)+SUM('工资福利（事业）'!V48:X48,'工资福利（事业）'!AB48))*0.006</f>
        <v>-0.0195</v>
      </c>
      <c r="S48" s="348">
        <f>(SUM('工资福利（公务员、参公人员）'!R48:S48)+SUM('工资福利（事业）'!V48:X48,'工资福利（事业）'!AB48))*0.12</f>
        <v>-0.39</v>
      </c>
      <c r="T48" s="348"/>
      <c r="U48" s="348">
        <f t="shared" si="14"/>
        <v>9.789</v>
      </c>
      <c r="V48" s="348">
        <f t="shared" si="15"/>
        <v>3.66</v>
      </c>
      <c r="W48" s="348">
        <f t="shared" si="16"/>
        <v>1.83</v>
      </c>
      <c r="X48" s="348">
        <f t="shared" si="17"/>
        <v>1.375</v>
      </c>
      <c r="Y48" s="348">
        <f t="shared" si="18"/>
        <v>0.0435</v>
      </c>
      <c r="Z48" s="348">
        <f t="shared" si="19"/>
        <v>0.1405</v>
      </c>
      <c r="AA48" s="348">
        <f t="shared" si="20"/>
        <v>2.74</v>
      </c>
      <c r="AB48" s="348">
        <f t="shared" si="21"/>
        <v>0</v>
      </c>
      <c r="AC48" s="350"/>
    </row>
    <row r="49" ht="24" spans="1:29">
      <c r="A49" s="284" t="s">
        <v>221</v>
      </c>
      <c r="B49" s="284" t="s">
        <v>199</v>
      </c>
      <c r="C49" s="284" t="s">
        <v>248</v>
      </c>
      <c r="D49" s="284" t="s">
        <v>213</v>
      </c>
      <c r="E49" s="348">
        <f t="shared" si="2"/>
        <v>8.35</v>
      </c>
      <c r="F49" s="348">
        <v>3.12</v>
      </c>
      <c r="G49" s="348">
        <v>1.56</v>
      </c>
      <c r="H49" s="348">
        <v>1.17</v>
      </c>
      <c r="I49" s="348">
        <v>0.04</v>
      </c>
      <c r="J49" s="348">
        <v>0.12</v>
      </c>
      <c r="K49" s="348">
        <v>2.34</v>
      </c>
      <c r="L49" s="348"/>
      <c r="M49" s="348">
        <f t="shared" si="13"/>
        <v>0.87312</v>
      </c>
      <c r="N49" s="348">
        <f>(SUM('工资福利（公务员、参公人员）'!R49:T49)+SUM('工资福利（事业）'!V49:X49,'工资福利（事业）'!AB49))*0.16</f>
        <v>0.3264</v>
      </c>
      <c r="O49" s="348">
        <f>(SUM('工资福利（公务员、参公人员）'!R49:S49)+SUM('工资福利（事业）'!V49:X49,'工资福利（事业）'!AB49))*0.08</f>
        <v>0.1632</v>
      </c>
      <c r="P49" s="348">
        <f>(SUM('工资福利（公务员、参公人员）'!R49:S49)+SUM('工资福利（事业）'!V49:X49,'工资福利（事业）'!AB49))*0.06</f>
        <v>0.1224</v>
      </c>
      <c r="Q49" s="348">
        <f>(SUM('工资福利（公务员、参公人员）'!R49:S49)+SUM('工资福利（事业）'!V49:X49,'工资福利（事业）'!AB49))*0.002</f>
        <v>0.00408</v>
      </c>
      <c r="R49" s="348">
        <f>(SUM('工资福利（公务员、参公人员）'!R49:S49)+SUM('工资福利（事业）'!V49:X49,'工资福利（事业）'!AB49))*0.006</f>
        <v>0.01224</v>
      </c>
      <c r="S49" s="348">
        <f>(SUM('工资福利（公务员、参公人员）'!R49:S49)+SUM('工资福利（事业）'!V49:X49,'工资福利（事业）'!AB49))*0.12</f>
        <v>0.2448</v>
      </c>
      <c r="T49" s="348"/>
      <c r="U49" s="348">
        <f t="shared" si="14"/>
        <v>9.22312</v>
      </c>
      <c r="V49" s="348">
        <f t="shared" si="15"/>
        <v>3.4464</v>
      </c>
      <c r="W49" s="348">
        <f t="shared" si="16"/>
        <v>1.7232</v>
      </c>
      <c r="X49" s="348">
        <f t="shared" si="17"/>
        <v>1.2924</v>
      </c>
      <c r="Y49" s="348">
        <f t="shared" si="18"/>
        <v>0.04408</v>
      </c>
      <c r="Z49" s="348">
        <f t="shared" si="19"/>
        <v>0.13224</v>
      </c>
      <c r="AA49" s="348">
        <f t="shared" si="20"/>
        <v>2.5848</v>
      </c>
      <c r="AB49" s="348">
        <f t="shared" si="21"/>
        <v>0</v>
      </c>
      <c r="AC49" s="350"/>
    </row>
    <row r="50" ht="24" spans="1:29">
      <c r="A50" s="284" t="s">
        <v>221</v>
      </c>
      <c r="B50" s="284" t="s">
        <v>199</v>
      </c>
      <c r="C50" s="284" t="s">
        <v>249</v>
      </c>
      <c r="D50" s="284" t="s">
        <v>213</v>
      </c>
      <c r="E50" s="348">
        <f t="shared" si="2"/>
        <v>32.58</v>
      </c>
      <c r="F50" s="348">
        <v>12.18</v>
      </c>
      <c r="G50" s="348">
        <v>6.09</v>
      </c>
      <c r="H50" s="348">
        <v>4.57</v>
      </c>
      <c r="I50" s="348">
        <v>0.15</v>
      </c>
      <c r="J50" s="348">
        <v>0.46</v>
      </c>
      <c r="K50" s="348">
        <v>9.13</v>
      </c>
      <c r="L50" s="348"/>
      <c r="M50" s="348">
        <f t="shared" si="13"/>
        <v>3.4026</v>
      </c>
      <c r="N50" s="348">
        <f>(SUM('工资福利（公务员、参公人员）'!R50:T50)+SUM('工资福利（事业）'!V50:X50,'工资福利（事业）'!AB50))*0.16</f>
        <v>1.272</v>
      </c>
      <c r="O50" s="348">
        <f>(SUM('工资福利（公务员、参公人员）'!R50:S50)+SUM('工资福利（事业）'!V50:X50,'工资福利（事业）'!AB50))*0.08</f>
        <v>0.636</v>
      </c>
      <c r="P50" s="348">
        <f>(SUM('工资福利（公务员、参公人员）'!R50:S50)+SUM('工资福利（事业）'!V50:X50,'工资福利（事业）'!AB50))*0.06</f>
        <v>0.477</v>
      </c>
      <c r="Q50" s="348">
        <f>(SUM('工资福利（公务员、参公人员）'!R50:S50)+SUM('工资福利（事业）'!V50:X50,'工资福利（事业）'!AB50))*0.002</f>
        <v>0.0159</v>
      </c>
      <c r="R50" s="348">
        <f>(SUM('工资福利（公务员、参公人员）'!R50:S50)+SUM('工资福利（事业）'!V50:X50,'工资福利（事业）'!AB50))*0.006</f>
        <v>0.0477</v>
      </c>
      <c r="S50" s="348">
        <f>(SUM('工资福利（公务员、参公人员）'!R50:S50)+SUM('工资福利（事业）'!V50:X50,'工资福利（事业）'!AB50))*0.12</f>
        <v>0.954</v>
      </c>
      <c r="T50" s="348"/>
      <c r="U50" s="348">
        <f t="shared" si="14"/>
        <v>35.9826</v>
      </c>
      <c r="V50" s="348">
        <f t="shared" si="15"/>
        <v>13.452</v>
      </c>
      <c r="W50" s="348">
        <f t="shared" si="16"/>
        <v>6.726</v>
      </c>
      <c r="X50" s="348">
        <f t="shared" si="17"/>
        <v>5.047</v>
      </c>
      <c r="Y50" s="348">
        <f t="shared" si="18"/>
        <v>0.1659</v>
      </c>
      <c r="Z50" s="348">
        <f t="shared" si="19"/>
        <v>0.5077</v>
      </c>
      <c r="AA50" s="348">
        <f t="shared" si="20"/>
        <v>10.084</v>
      </c>
      <c r="AB50" s="348">
        <f t="shared" si="21"/>
        <v>0</v>
      </c>
      <c r="AC50" s="350"/>
    </row>
    <row r="51" ht="24" spans="1:29">
      <c r="A51" s="284" t="s">
        <v>221</v>
      </c>
      <c r="B51" s="284" t="s">
        <v>196</v>
      </c>
      <c r="C51" s="284" t="s">
        <v>250</v>
      </c>
      <c r="D51" s="284" t="s">
        <v>207</v>
      </c>
      <c r="E51" s="348">
        <f t="shared" si="2"/>
        <v>44.64</v>
      </c>
      <c r="F51" s="348">
        <v>17.18</v>
      </c>
      <c r="G51" s="348">
        <v>8.2</v>
      </c>
      <c r="H51" s="348">
        <v>6.15</v>
      </c>
      <c r="I51" s="348">
        <v>0.2</v>
      </c>
      <c r="J51" s="348">
        <v>0.61</v>
      </c>
      <c r="K51" s="348">
        <v>12.3</v>
      </c>
      <c r="L51" s="348"/>
      <c r="M51" s="348">
        <f t="shared" si="13"/>
        <v>1.41816</v>
      </c>
      <c r="N51" s="348">
        <f>(SUM('工资福利（公务员、参公人员）'!R51:T51)+SUM('工资福利（事业）'!V51:X51,'工资福利（事业）'!AB51))*0.16</f>
        <v>0.5552</v>
      </c>
      <c r="O51" s="348">
        <f>(SUM('工资福利（公务员、参公人员）'!R51:S51)+SUM('工资福利（事业）'!V51:X51,'工资福利（事业）'!AB51))*0.08</f>
        <v>0.2576</v>
      </c>
      <c r="P51" s="348">
        <f>(SUM('工资福利（公务员、参公人员）'!R51:S51)+SUM('工资福利（事业）'!V51:X51,'工资福利（事业）'!AB51))*0.06</f>
        <v>0.1932</v>
      </c>
      <c r="Q51" s="348">
        <f>(SUM('工资福利（公务员、参公人员）'!R51:S51)+SUM('工资福利（事业）'!V51:X51,'工资福利（事业）'!AB51))*0.002</f>
        <v>0.00644</v>
      </c>
      <c r="R51" s="348">
        <f>(SUM('工资福利（公务员、参公人员）'!R51:S51)+SUM('工资福利（事业）'!V51:X51,'工资福利（事业）'!AB51))*0.006</f>
        <v>0.01932</v>
      </c>
      <c r="S51" s="348">
        <f>(SUM('工资福利（公务员、参公人员）'!R51:S51)+SUM('工资福利（事业）'!V51:X51,'工资福利（事业）'!AB51))*0.12</f>
        <v>0.3864</v>
      </c>
      <c r="T51" s="348"/>
      <c r="U51" s="348">
        <f t="shared" si="14"/>
        <v>46.05816</v>
      </c>
      <c r="V51" s="348">
        <f t="shared" si="15"/>
        <v>17.7352</v>
      </c>
      <c r="W51" s="348">
        <f t="shared" si="16"/>
        <v>8.4576</v>
      </c>
      <c r="X51" s="348">
        <f t="shared" si="17"/>
        <v>6.3432</v>
      </c>
      <c r="Y51" s="348">
        <f t="shared" si="18"/>
        <v>0.20644</v>
      </c>
      <c r="Z51" s="348">
        <f t="shared" si="19"/>
        <v>0.62932</v>
      </c>
      <c r="AA51" s="348">
        <f t="shared" si="20"/>
        <v>12.6864</v>
      </c>
      <c r="AB51" s="348">
        <f t="shared" si="21"/>
        <v>0</v>
      </c>
      <c r="AC51" s="350"/>
    </row>
    <row r="52" ht="24" spans="1:29">
      <c r="A52" s="284" t="s">
        <v>221</v>
      </c>
      <c r="B52" s="284" t="s">
        <v>199</v>
      </c>
      <c r="C52" s="284" t="s">
        <v>251</v>
      </c>
      <c r="D52" s="284" t="s">
        <v>213</v>
      </c>
      <c r="E52" s="348">
        <f t="shared" si="2"/>
        <v>13.21</v>
      </c>
      <c r="F52" s="348">
        <v>4.94</v>
      </c>
      <c r="G52" s="348">
        <v>2.47</v>
      </c>
      <c r="H52" s="348">
        <v>1.85</v>
      </c>
      <c r="I52" s="348">
        <v>0.06</v>
      </c>
      <c r="J52" s="348">
        <v>0.19</v>
      </c>
      <c r="K52" s="348">
        <v>3.7</v>
      </c>
      <c r="L52" s="348"/>
      <c r="M52" s="348">
        <f t="shared" si="13"/>
        <v>1.251258</v>
      </c>
      <c r="N52" s="348">
        <f>(SUM('工资福利（公务员、参公人员）'!R52:T52)+SUM('工资福利（事业）'!V52:X52,'工资福利（事业）'!AB52))*0.16</f>
        <v>0.46776</v>
      </c>
      <c r="O52" s="348">
        <f>(SUM('工资福利（公务员、参公人员）'!R52:S52)+SUM('工资福利（事业）'!V52:X52,'工资福利（事业）'!AB52))*0.08</f>
        <v>0.23388</v>
      </c>
      <c r="P52" s="348">
        <f>(SUM('工资福利（公务员、参公人员）'!R52:S52)+SUM('工资福利（事业）'!V52:X52,'工资福利（事业）'!AB52))*0.06</f>
        <v>0.17541</v>
      </c>
      <c r="Q52" s="348">
        <f>(SUM('工资福利（公务员、参公人员）'!R52:S52)+SUM('工资福利（事业）'!V52:X52,'工资福利（事业）'!AB52))*0.002</f>
        <v>0.005847</v>
      </c>
      <c r="R52" s="348">
        <f>(SUM('工资福利（公务员、参公人员）'!R52:S52)+SUM('工资福利（事业）'!V52:X52,'工资福利（事业）'!AB52))*0.006</f>
        <v>0.017541</v>
      </c>
      <c r="S52" s="348">
        <f>(SUM('工资福利（公务员、参公人员）'!R52:S52)+SUM('工资福利（事业）'!V52:X52,'工资福利（事业）'!AB52))*0.12</f>
        <v>0.35082</v>
      </c>
      <c r="T52" s="348"/>
      <c r="U52" s="348">
        <f t="shared" si="14"/>
        <v>14.461258</v>
      </c>
      <c r="V52" s="348">
        <f t="shared" si="15"/>
        <v>5.40776</v>
      </c>
      <c r="W52" s="348">
        <f t="shared" si="16"/>
        <v>2.70388</v>
      </c>
      <c r="X52" s="348">
        <f t="shared" si="17"/>
        <v>2.02541</v>
      </c>
      <c r="Y52" s="348">
        <f t="shared" si="18"/>
        <v>0.065847</v>
      </c>
      <c r="Z52" s="348">
        <f t="shared" si="19"/>
        <v>0.207541</v>
      </c>
      <c r="AA52" s="348">
        <f t="shared" si="20"/>
        <v>4.05082</v>
      </c>
      <c r="AB52" s="348">
        <f t="shared" si="21"/>
        <v>0</v>
      </c>
      <c r="AC52" s="350"/>
    </row>
    <row r="53" ht="24" spans="1:29">
      <c r="A53" s="284" t="s">
        <v>221</v>
      </c>
      <c r="B53" s="284" t="s">
        <v>199</v>
      </c>
      <c r="C53" s="284" t="s">
        <v>252</v>
      </c>
      <c r="D53" s="284" t="s">
        <v>213</v>
      </c>
      <c r="E53" s="348">
        <f t="shared" si="2"/>
        <v>10.9</v>
      </c>
      <c r="F53" s="348">
        <v>4.07</v>
      </c>
      <c r="G53" s="348">
        <v>2.04</v>
      </c>
      <c r="H53" s="348">
        <v>1.53</v>
      </c>
      <c r="I53" s="348">
        <v>0.05</v>
      </c>
      <c r="J53" s="348">
        <v>0.15</v>
      </c>
      <c r="K53" s="348">
        <v>3.06</v>
      </c>
      <c r="L53" s="348"/>
      <c r="M53" s="348">
        <f t="shared" si="13"/>
        <v>1.4916656</v>
      </c>
      <c r="N53" s="348">
        <f>(SUM('工资福利（公务员、参公人员）'!R53:T53)+SUM('工资福利（事业）'!V53:X53,'工资福利（事业）'!AB53))*0.16</f>
        <v>0.557632</v>
      </c>
      <c r="O53" s="348">
        <f>(SUM('工资福利（公务员、参公人员）'!R53:S53)+SUM('工资福利（事业）'!V53:X53,'工资福利（事业）'!AB53))*0.08</f>
        <v>0.278816</v>
      </c>
      <c r="P53" s="348">
        <f>(SUM('工资福利（公务员、参公人员）'!R53:S53)+SUM('工资福利（事业）'!V53:X53,'工资福利（事业）'!AB53))*0.06</f>
        <v>0.209112</v>
      </c>
      <c r="Q53" s="348">
        <f>(SUM('工资福利（公务员、参公人员）'!R53:S53)+SUM('工资福利（事业）'!V53:X53,'工资福利（事业）'!AB53))*0.002</f>
        <v>0.0069704</v>
      </c>
      <c r="R53" s="348">
        <f>(SUM('工资福利（公务员、参公人员）'!R53:S53)+SUM('工资福利（事业）'!V53:X53,'工资福利（事业）'!AB53))*0.006</f>
        <v>0.0209112</v>
      </c>
      <c r="S53" s="348">
        <f>(SUM('工资福利（公务员、参公人员）'!R53:S53)+SUM('工资福利（事业）'!V53:X53,'工资福利（事业）'!AB53))*0.12</f>
        <v>0.418224</v>
      </c>
      <c r="T53" s="348"/>
      <c r="U53" s="348">
        <f t="shared" si="14"/>
        <v>12.3916656</v>
      </c>
      <c r="V53" s="348">
        <f t="shared" si="15"/>
        <v>4.627632</v>
      </c>
      <c r="W53" s="348">
        <f t="shared" si="16"/>
        <v>2.318816</v>
      </c>
      <c r="X53" s="348">
        <f t="shared" si="17"/>
        <v>1.739112</v>
      </c>
      <c r="Y53" s="348">
        <f t="shared" si="18"/>
        <v>0.0569704</v>
      </c>
      <c r="Z53" s="348">
        <f t="shared" si="19"/>
        <v>0.1709112</v>
      </c>
      <c r="AA53" s="348">
        <f t="shared" si="20"/>
        <v>3.478224</v>
      </c>
      <c r="AB53" s="348">
        <f t="shared" si="21"/>
        <v>0</v>
      </c>
      <c r="AC53" s="350"/>
    </row>
    <row r="54" ht="24" spans="1:29">
      <c r="A54" s="284" t="s">
        <v>221</v>
      </c>
      <c r="B54" s="284" t="s">
        <v>199</v>
      </c>
      <c r="C54" s="284" t="s">
        <v>253</v>
      </c>
      <c r="D54" s="284" t="s">
        <v>213</v>
      </c>
      <c r="E54" s="348">
        <f t="shared" si="2"/>
        <v>39.09</v>
      </c>
      <c r="F54" s="348">
        <v>14.61</v>
      </c>
      <c r="G54" s="348">
        <v>7.31</v>
      </c>
      <c r="H54" s="348">
        <v>5.48</v>
      </c>
      <c r="I54" s="348">
        <v>0.18</v>
      </c>
      <c r="J54" s="348">
        <v>0.55</v>
      </c>
      <c r="K54" s="348">
        <v>10.96</v>
      </c>
      <c r="L54" s="348"/>
      <c r="M54" s="348">
        <f t="shared" si="13"/>
        <v>10.63152</v>
      </c>
      <c r="N54" s="348">
        <f>(SUM('工资福利（公务员、参公人员）'!R54:T54)+SUM('工资福利（事业）'!V54:X54,'工资福利（事业）'!AB54))*0.16</f>
        <v>3.9744</v>
      </c>
      <c r="O54" s="348">
        <f>(SUM('工资福利（公务员、参公人员）'!R54:S54)+SUM('工资福利（事业）'!V54:X54,'工资福利（事业）'!AB54))*0.08</f>
        <v>1.9872</v>
      </c>
      <c r="P54" s="348">
        <f>(SUM('工资福利（公务员、参公人员）'!R54:S54)+SUM('工资福利（事业）'!V54:X54,'工资福利（事业）'!AB54))*0.06</f>
        <v>1.4904</v>
      </c>
      <c r="Q54" s="348">
        <f>(SUM('工资福利（公务员、参公人员）'!R54:S54)+SUM('工资福利（事业）'!V54:X54,'工资福利（事业）'!AB54))*0.002</f>
        <v>0.04968</v>
      </c>
      <c r="R54" s="348">
        <f>(SUM('工资福利（公务员、参公人员）'!R54:S54)+SUM('工资福利（事业）'!V54:X54,'工资福利（事业）'!AB54))*0.006</f>
        <v>0.14904</v>
      </c>
      <c r="S54" s="348">
        <f>(SUM('工资福利（公务员、参公人员）'!R54:S54)+SUM('工资福利（事业）'!V54:X54,'工资福利（事业）'!AB54))*0.12</f>
        <v>2.9808</v>
      </c>
      <c r="T54" s="348"/>
      <c r="U54" s="348">
        <f t="shared" si="14"/>
        <v>49.72152</v>
      </c>
      <c r="V54" s="348">
        <f t="shared" si="15"/>
        <v>18.5844</v>
      </c>
      <c r="W54" s="348">
        <f t="shared" si="16"/>
        <v>9.2972</v>
      </c>
      <c r="X54" s="348">
        <f t="shared" si="17"/>
        <v>6.9704</v>
      </c>
      <c r="Y54" s="348">
        <f t="shared" si="18"/>
        <v>0.22968</v>
      </c>
      <c r="Z54" s="348">
        <f t="shared" si="19"/>
        <v>0.69904</v>
      </c>
      <c r="AA54" s="348">
        <f t="shared" si="20"/>
        <v>13.9408</v>
      </c>
      <c r="AB54" s="348">
        <f t="shared" si="21"/>
        <v>0</v>
      </c>
      <c r="AC54" s="350"/>
    </row>
    <row r="55" ht="24" spans="1:29">
      <c r="A55" s="284" t="s">
        <v>221</v>
      </c>
      <c r="B55" s="284" t="s">
        <v>196</v>
      </c>
      <c r="C55" s="284" t="s">
        <v>254</v>
      </c>
      <c r="D55" s="284" t="s">
        <v>207</v>
      </c>
      <c r="E55" s="348">
        <f t="shared" si="2"/>
        <v>103.43</v>
      </c>
      <c r="F55" s="348">
        <v>39.74</v>
      </c>
      <c r="G55" s="348">
        <v>19.01</v>
      </c>
      <c r="H55" s="348">
        <v>14.26</v>
      </c>
      <c r="I55" s="348">
        <v>0.48</v>
      </c>
      <c r="J55" s="348">
        <v>1.43</v>
      </c>
      <c r="K55" s="348">
        <v>28.51</v>
      </c>
      <c r="L55" s="348"/>
      <c r="M55" s="348">
        <f t="shared" si="13"/>
        <v>-3.03484</v>
      </c>
      <c r="N55" s="348">
        <f>(SUM('工资福利（公务员、参公人员）'!R55:T55)+SUM('工资福利（事业）'!V55:X55,'工资福利（事业）'!AB55))*0.16</f>
        <v>-1.0704</v>
      </c>
      <c r="O55" s="348">
        <f>(SUM('工资福利（公务员、参公人员）'!R55:S55)+SUM('工资福利（事业）'!V55:X55,'工资福利（事业）'!AB55))*0.08</f>
        <v>-0.5864</v>
      </c>
      <c r="P55" s="348">
        <f>(SUM('工资福利（公务员、参公人员）'!R55:S55)+SUM('工资福利（事业）'!V55:X55,'工资福利（事业）'!AB55))*0.06</f>
        <v>-0.4398</v>
      </c>
      <c r="Q55" s="348">
        <f>(SUM('工资福利（公务员、参公人员）'!R55:S55)+SUM('工资福利（事业）'!V55:X55,'工资福利（事业）'!AB55))*0.002</f>
        <v>-0.01466</v>
      </c>
      <c r="R55" s="348">
        <f>(SUM('工资福利（公务员、参公人员）'!R55:S55)+SUM('工资福利（事业）'!V55:X55,'工资福利（事业）'!AB55))*0.006</f>
        <v>-0.04398</v>
      </c>
      <c r="S55" s="348">
        <f>(SUM('工资福利（公务员、参公人员）'!R55:S55)+SUM('工资福利（事业）'!V55:X55,'工资福利（事业）'!AB55))*0.12</f>
        <v>-0.8796</v>
      </c>
      <c r="T55" s="348"/>
      <c r="U55" s="348">
        <f t="shared" si="14"/>
        <v>100.39516</v>
      </c>
      <c r="V55" s="348">
        <f t="shared" si="15"/>
        <v>38.6696</v>
      </c>
      <c r="W55" s="348">
        <f t="shared" si="16"/>
        <v>18.4236</v>
      </c>
      <c r="X55" s="348">
        <f t="shared" si="17"/>
        <v>13.8202</v>
      </c>
      <c r="Y55" s="348">
        <f t="shared" si="18"/>
        <v>0.46534</v>
      </c>
      <c r="Z55" s="348">
        <f t="shared" si="19"/>
        <v>1.38602</v>
      </c>
      <c r="AA55" s="348">
        <f t="shared" si="20"/>
        <v>27.6304</v>
      </c>
      <c r="AB55" s="348">
        <f t="shared" si="21"/>
        <v>0</v>
      </c>
      <c r="AC55" s="350"/>
    </row>
    <row r="56" ht="24" spans="1:29">
      <c r="A56" s="284" t="s">
        <v>221</v>
      </c>
      <c r="B56" s="284" t="s">
        <v>199</v>
      </c>
      <c r="C56" s="284" t="s">
        <v>255</v>
      </c>
      <c r="D56" s="284" t="s">
        <v>213</v>
      </c>
      <c r="E56" s="348">
        <f t="shared" si="2"/>
        <v>23.26</v>
      </c>
      <c r="F56" s="348">
        <v>8.69</v>
      </c>
      <c r="G56" s="348">
        <v>4.35</v>
      </c>
      <c r="H56" s="348">
        <v>3.26</v>
      </c>
      <c r="I56" s="348">
        <v>0.11</v>
      </c>
      <c r="J56" s="348">
        <v>0.33</v>
      </c>
      <c r="K56" s="348">
        <v>6.52</v>
      </c>
      <c r="L56" s="348"/>
      <c r="M56" s="348">
        <f t="shared" si="13"/>
        <v>3.73644</v>
      </c>
      <c r="N56" s="348">
        <f>(SUM('工资福利（公务员、参公人员）'!R56:T56)+SUM('工资福利（事业）'!V56:X56,'工资福利（事业）'!AB56))*0.16</f>
        <v>1.3968</v>
      </c>
      <c r="O56" s="348">
        <f>(SUM('工资福利（公务员、参公人员）'!R56:S56)+SUM('工资福利（事业）'!V56:X56,'工资福利（事业）'!AB56))*0.08</f>
        <v>0.6984</v>
      </c>
      <c r="P56" s="348">
        <f>(SUM('工资福利（公务员、参公人员）'!R56:S56)+SUM('工资福利（事业）'!V56:X56,'工资福利（事业）'!AB56))*0.06</f>
        <v>0.5238</v>
      </c>
      <c r="Q56" s="348">
        <f>(SUM('工资福利（公务员、参公人员）'!R56:S56)+SUM('工资福利（事业）'!V56:X56,'工资福利（事业）'!AB56))*0.002</f>
        <v>0.01746</v>
      </c>
      <c r="R56" s="348">
        <f>(SUM('工资福利（公务员、参公人员）'!R56:S56)+SUM('工资福利（事业）'!V56:X56,'工资福利（事业）'!AB56))*0.006</f>
        <v>0.05238</v>
      </c>
      <c r="S56" s="348">
        <f>(SUM('工资福利（公务员、参公人员）'!R56:S56)+SUM('工资福利（事业）'!V56:X56,'工资福利（事业）'!AB56))*0.12</f>
        <v>1.0476</v>
      </c>
      <c r="T56" s="348"/>
      <c r="U56" s="348">
        <f t="shared" si="14"/>
        <v>26.99644</v>
      </c>
      <c r="V56" s="348">
        <f t="shared" si="15"/>
        <v>10.0868</v>
      </c>
      <c r="W56" s="348">
        <f t="shared" si="16"/>
        <v>5.0484</v>
      </c>
      <c r="X56" s="348">
        <f t="shared" si="17"/>
        <v>3.7838</v>
      </c>
      <c r="Y56" s="348">
        <f t="shared" si="18"/>
        <v>0.12746</v>
      </c>
      <c r="Z56" s="348">
        <f t="shared" si="19"/>
        <v>0.38238</v>
      </c>
      <c r="AA56" s="348">
        <f t="shared" si="20"/>
        <v>7.5676</v>
      </c>
      <c r="AB56" s="348">
        <f t="shared" si="21"/>
        <v>0</v>
      </c>
      <c r="AC56" s="350"/>
    </row>
    <row r="57" ht="24" spans="1:29">
      <c r="A57" s="284" t="s">
        <v>221</v>
      </c>
      <c r="B57" s="284" t="s">
        <v>199</v>
      </c>
      <c r="C57" s="284" t="s">
        <v>256</v>
      </c>
      <c r="D57" s="284" t="s">
        <v>213</v>
      </c>
      <c r="E57" s="348">
        <f t="shared" si="2"/>
        <v>23.04</v>
      </c>
      <c r="F57" s="348">
        <v>8.61</v>
      </c>
      <c r="G57" s="348">
        <v>4.31</v>
      </c>
      <c r="H57" s="348">
        <v>3.23</v>
      </c>
      <c r="I57" s="348">
        <v>0.11</v>
      </c>
      <c r="J57" s="348">
        <v>0.32</v>
      </c>
      <c r="K57" s="348">
        <v>6.46</v>
      </c>
      <c r="L57" s="348"/>
      <c r="M57" s="348">
        <f t="shared" si="13"/>
        <v>3.41544</v>
      </c>
      <c r="N57" s="348">
        <f>(SUM('工资福利（公务员、参公人员）'!R57:T57)+SUM('工资福利（事业）'!V57:X57,'工资福利（事业）'!AB57))*0.16</f>
        <v>1.2768</v>
      </c>
      <c r="O57" s="348">
        <f>(SUM('工资福利（公务员、参公人员）'!R57:S57)+SUM('工资福利（事业）'!V57:X57,'工资福利（事业）'!AB57))*0.08</f>
        <v>0.6384</v>
      </c>
      <c r="P57" s="348">
        <f>(SUM('工资福利（公务员、参公人员）'!R57:S57)+SUM('工资福利（事业）'!V57:X57,'工资福利（事业）'!AB57))*0.06</f>
        <v>0.4788</v>
      </c>
      <c r="Q57" s="348">
        <f>(SUM('工资福利（公务员、参公人员）'!R57:S57)+SUM('工资福利（事业）'!V57:X57,'工资福利（事业）'!AB57))*0.002</f>
        <v>0.01596</v>
      </c>
      <c r="R57" s="348">
        <f>(SUM('工资福利（公务员、参公人员）'!R57:S57)+SUM('工资福利（事业）'!V57:X57,'工资福利（事业）'!AB57))*0.006</f>
        <v>0.04788</v>
      </c>
      <c r="S57" s="348">
        <f>(SUM('工资福利（公务员、参公人员）'!R57:S57)+SUM('工资福利（事业）'!V57:X57,'工资福利（事业）'!AB57))*0.12</f>
        <v>0.9576</v>
      </c>
      <c r="T57" s="348"/>
      <c r="U57" s="348">
        <f t="shared" si="14"/>
        <v>26.45544</v>
      </c>
      <c r="V57" s="348">
        <f t="shared" si="15"/>
        <v>9.8868</v>
      </c>
      <c r="W57" s="348">
        <f t="shared" si="16"/>
        <v>4.9484</v>
      </c>
      <c r="X57" s="348">
        <f t="shared" si="17"/>
        <v>3.7088</v>
      </c>
      <c r="Y57" s="348">
        <f t="shared" si="18"/>
        <v>0.12596</v>
      </c>
      <c r="Z57" s="348">
        <f t="shared" si="19"/>
        <v>0.36788</v>
      </c>
      <c r="AA57" s="348">
        <f t="shared" si="20"/>
        <v>7.4176</v>
      </c>
      <c r="AB57" s="348">
        <f t="shared" si="21"/>
        <v>0</v>
      </c>
      <c r="AC57" s="350"/>
    </row>
    <row r="58" ht="24" spans="1:29">
      <c r="A58" s="284" t="s">
        <v>221</v>
      </c>
      <c r="B58" s="284" t="s">
        <v>199</v>
      </c>
      <c r="C58" s="284" t="s">
        <v>257</v>
      </c>
      <c r="D58" s="284" t="s">
        <v>213</v>
      </c>
      <c r="E58" s="348">
        <f t="shared" si="2"/>
        <v>69.77</v>
      </c>
      <c r="F58" s="348">
        <v>26.08</v>
      </c>
      <c r="G58" s="348">
        <v>13.04</v>
      </c>
      <c r="H58" s="348">
        <v>9.78</v>
      </c>
      <c r="I58" s="348">
        <v>0.33</v>
      </c>
      <c r="J58" s="348">
        <v>0.98</v>
      </c>
      <c r="K58" s="348">
        <v>19.56</v>
      </c>
      <c r="L58" s="348"/>
      <c r="M58" s="348">
        <f t="shared" si="13"/>
        <v>-0.428</v>
      </c>
      <c r="N58" s="348">
        <f>(SUM('工资福利（公务员、参公人员）'!R58:T58)+SUM('工资福利（事业）'!V58:X58,'工资福利（事业）'!AB58))*0.16</f>
        <v>-0.16</v>
      </c>
      <c r="O58" s="348">
        <f>(SUM('工资福利（公务员、参公人员）'!R58:S58)+SUM('工资福利（事业）'!V58:X58,'工资福利（事业）'!AB58))*0.08</f>
        <v>-0.08</v>
      </c>
      <c r="P58" s="348">
        <f>(SUM('工资福利（公务员、参公人员）'!R58:S58)+SUM('工资福利（事业）'!V58:X58,'工资福利（事业）'!AB58))*0.06</f>
        <v>-0.06</v>
      </c>
      <c r="Q58" s="348">
        <f>(SUM('工资福利（公务员、参公人员）'!R58:S58)+SUM('工资福利（事业）'!V58:X58,'工资福利（事业）'!AB58))*0.002</f>
        <v>-0.002</v>
      </c>
      <c r="R58" s="348">
        <f>(SUM('工资福利（公务员、参公人员）'!R58:S58)+SUM('工资福利（事业）'!V58:X58,'工资福利（事业）'!AB58))*0.006</f>
        <v>-0.006</v>
      </c>
      <c r="S58" s="348">
        <f>(SUM('工资福利（公务员、参公人员）'!R58:S58)+SUM('工资福利（事业）'!V58:X58,'工资福利（事业）'!AB58))*0.12</f>
        <v>-0.12</v>
      </c>
      <c r="T58" s="348"/>
      <c r="U58" s="348">
        <f t="shared" si="14"/>
        <v>69.342</v>
      </c>
      <c r="V58" s="348">
        <f t="shared" si="15"/>
        <v>25.92</v>
      </c>
      <c r="W58" s="348">
        <f t="shared" si="16"/>
        <v>12.96</v>
      </c>
      <c r="X58" s="348">
        <f t="shared" si="17"/>
        <v>9.72</v>
      </c>
      <c r="Y58" s="348">
        <f t="shared" si="18"/>
        <v>0.328</v>
      </c>
      <c r="Z58" s="348">
        <f t="shared" si="19"/>
        <v>0.974</v>
      </c>
      <c r="AA58" s="348">
        <f t="shared" si="20"/>
        <v>19.44</v>
      </c>
      <c r="AB58" s="348">
        <f t="shared" si="21"/>
        <v>0</v>
      </c>
      <c r="AC58" s="350"/>
    </row>
    <row r="59" ht="24" spans="1:29">
      <c r="A59" s="284" t="s">
        <v>221</v>
      </c>
      <c r="B59" s="284" t="s">
        <v>196</v>
      </c>
      <c r="C59" s="284" t="s">
        <v>258</v>
      </c>
      <c r="D59" s="284" t="s">
        <v>207</v>
      </c>
      <c r="E59" s="348">
        <f t="shared" si="2"/>
        <v>47.92</v>
      </c>
      <c r="F59" s="348">
        <v>18.44</v>
      </c>
      <c r="G59" s="348">
        <v>8.8</v>
      </c>
      <c r="H59" s="348">
        <v>6.6</v>
      </c>
      <c r="I59" s="348">
        <v>0.22</v>
      </c>
      <c r="J59" s="348">
        <v>0.66</v>
      </c>
      <c r="K59" s="348">
        <v>13.2</v>
      </c>
      <c r="L59" s="348"/>
      <c r="M59" s="348">
        <f t="shared" si="13"/>
        <v>8.69496</v>
      </c>
      <c r="N59" s="348">
        <f>(SUM('工资福利（公务员、参公人员）'!R59:T59)+SUM('工资福利（事业）'!V59:X59,'工资福利（事业）'!AB59))*0.16</f>
        <v>3.3296</v>
      </c>
      <c r="O59" s="348">
        <f>(SUM('工资福利（公务员、参公人员）'!R59:S59)+SUM('工资福利（事业）'!V59:X59,'工资福利（事业）'!AB59))*0.08</f>
        <v>1.6016</v>
      </c>
      <c r="P59" s="348">
        <f>(SUM('工资福利（公务员、参公人员）'!R59:S59)+SUM('工资福利（事业）'!V59:X59,'工资福利（事业）'!AB59))*0.06</f>
        <v>1.2012</v>
      </c>
      <c r="Q59" s="348">
        <f>(SUM('工资福利（公务员、参公人员）'!R59:S59)+SUM('工资福利（事业）'!V59:X59,'工资福利（事业）'!AB59))*0.002</f>
        <v>0.04004</v>
      </c>
      <c r="R59" s="348">
        <f>(SUM('工资福利（公务员、参公人员）'!R59:S59)+SUM('工资福利（事业）'!V59:X59,'工资福利（事业）'!AB59))*0.006</f>
        <v>0.12012</v>
      </c>
      <c r="S59" s="348">
        <f>(SUM('工资福利（公务员、参公人员）'!R59:S59)+SUM('工资福利（事业）'!V59:X59,'工资福利（事业）'!AB59))*0.12</f>
        <v>2.4024</v>
      </c>
      <c r="T59" s="348"/>
      <c r="U59" s="348">
        <f t="shared" si="14"/>
        <v>56.61496</v>
      </c>
      <c r="V59" s="348">
        <f t="shared" si="15"/>
        <v>21.7696</v>
      </c>
      <c r="W59" s="348">
        <f t="shared" si="16"/>
        <v>10.4016</v>
      </c>
      <c r="X59" s="348">
        <f t="shared" si="17"/>
        <v>7.8012</v>
      </c>
      <c r="Y59" s="348">
        <f t="shared" si="18"/>
        <v>0.26004</v>
      </c>
      <c r="Z59" s="348">
        <f t="shared" si="19"/>
        <v>0.78012</v>
      </c>
      <c r="AA59" s="348">
        <f t="shared" si="20"/>
        <v>15.6024</v>
      </c>
      <c r="AB59" s="348">
        <f t="shared" si="21"/>
        <v>0</v>
      </c>
      <c r="AC59" s="350"/>
    </row>
    <row r="60" ht="24" spans="1:29">
      <c r="A60" s="284" t="s">
        <v>221</v>
      </c>
      <c r="B60" s="284" t="s">
        <v>199</v>
      </c>
      <c r="C60" s="284" t="s">
        <v>259</v>
      </c>
      <c r="D60" s="284" t="s">
        <v>213</v>
      </c>
      <c r="E60" s="348">
        <f t="shared" si="2"/>
        <v>17.15</v>
      </c>
      <c r="F60" s="348">
        <v>6.41</v>
      </c>
      <c r="G60" s="348">
        <v>3.21</v>
      </c>
      <c r="H60" s="348">
        <v>2.4</v>
      </c>
      <c r="I60" s="348">
        <v>0.08</v>
      </c>
      <c r="J60" s="348">
        <v>0.24</v>
      </c>
      <c r="K60" s="348">
        <v>4.81</v>
      </c>
      <c r="L60" s="348"/>
      <c r="M60" s="348">
        <f t="shared" si="13"/>
        <v>-0.38948</v>
      </c>
      <c r="N60" s="348">
        <f>(SUM('工资福利（公务员、参公人员）'!R60:T60)+SUM('工资福利（事业）'!V60:X60,'工资福利（事业）'!AB60))*0.16</f>
        <v>-0.1456</v>
      </c>
      <c r="O60" s="348">
        <f>(SUM('工资福利（公务员、参公人员）'!R60:S60)+SUM('工资福利（事业）'!V60:X60,'工资福利（事业）'!AB60))*0.08</f>
        <v>-0.0728</v>
      </c>
      <c r="P60" s="348">
        <f>(SUM('工资福利（公务员、参公人员）'!R60:S60)+SUM('工资福利（事业）'!V60:X60,'工资福利（事业）'!AB60))*0.06</f>
        <v>-0.0546</v>
      </c>
      <c r="Q60" s="348">
        <f>(SUM('工资福利（公务员、参公人员）'!R60:S60)+SUM('工资福利（事业）'!V60:X60,'工资福利（事业）'!AB60))*0.002</f>
        <v>-0.00182</v>
      </c>
      <c r="R60" s="348">
        <f>(SUM('工资福利（公务员、参公人员）'!R60:S60)+SUM('工资福利（事业）'!V60:X60,'工资福利（事业）'!AB60))*0.006</f>
        <v>-0.00546</v>
      </c>
      <c r="S60" s="348">
        <f>(SUM('工资福利（公务员、参公人员）'!R60:S60)+SUM('工资福利（事业）'!V60:X60,'工资福利（事业）'!AB60))*0.12</f>
        <v>-0.1092</v>
      </c>
      <c r="T60" s="348"/>
      <c r="U60" s="348">
        <f t="shared" si="14"/>
        <v>16.76052</v>
      </c>
      <c r="V60" s="348">
        <f t="shared" si="15"/>
        <v>6.2644</v>
      </c>
      <c r="W60" s="348">
        <f t="shared" si="16"/>
        <v>3.1372</v>
      </c>
      <c r="X60" s="348">
        <f t="shared" si="17"/>
        <v>2.3454</v>
      </c>
      <c r="Y60" s="348">
        <f t="shared" si="18"/>
        <v>0.07818</v>
      </c>
      <c r="Z60" s="348">
        <f t="shared" si="19"/>
        <v>0.23454</v>
      </c>
      <c r="AA60" s="348">
        <f t="shared" si="20"/>
        <v>4.7008</v>
      </c>
      <c r="AB60" s="348">
        <f t="shared" si="21"/>
        <v>0</v>
      </c>
      <c r="AC60" s="350"/>
    </row>
    <row r="61" ht="24" spans="1:29">
      <c r="A61" s="284" t="s">
        <v>221</v>
      </c>
      <c r="B61" s="284" t="s">
        <v>199</v>
      </c>
      <c r="C61" s="284" t="s">
        <v>260</v>
      </c>
      <c r="D61" s="284" t="s">
        <v>213</v>
      </c>
      <c r="E61" s="348">
        <f t="shared" si="2"/>
        <v>16.48</v>
      </c>
      <c r="F61" s="348">
        <v>6.16</v>
      </c>
      <c r="G61" s="348">
        <v>3.08</v>
      </c>
      <c r="H61" s="348">
        <v>2.31</v>
      </c>
      <c r="I61" s="348">
        <v>0.08</v>
      </c>
      <c r="J61" s="348">
        <v>0.23</v>
      </c>
      <c r="K61" s="348">
        <v>4.62</v>
      </c>
      <c r="L61" s="348"/>
      <c r="M61" s="348">
        <f t="shared" si="13"/>
        <v>3.92048</v>
      </c>
      <c r="N61" s="348">
        <f>(SUM('工资福利（公务员、参公人员）'!R61:T61)+SUM('工资福利（事业）'!V61:X61,'工资福利（事业）'!AB61))*0.16</f>
        <v>1.4656</v>
      </c>
      <c r="O61" s="348">
        <f>(SUM('工资福利（公务员、参公人员）'!R61:S61)+SUM('工资福利（事业）'!V61:X61,'工资福利（事业）'!AB61))*0.08</f>
        <v>0.7328</v>
      </c>
      <c r="P61" s="348">
        <f>(SUM('工资福利（公务员、参公人员）'!R61:S61)+SUM('工资福利（事业）'!V61:X61,'工资福利（事业）'!AB61))*0.06</f>
        <v>0.5496</v>
      </c>
      <c r="Q61" s="348">
        <f>(SUM('工资福利（公务员、参公人员）'!R61:S61)+SUM('工资福利（事业）'!V61:X61,'工资福利（事业）'!AB61))*0.002</f>
        <v>0.01832</v>
      </c>
      <c r="R61" s="348">
        <f>(SUM('工资福利（公务员、参公人员）'!R61:S61)+SUM('工资福利（事业）'!V61:X61,'工资福利（事业）'!AB61))*0.006</f>
        <v>0.05496</v>
      </c>
      <c r="S61" s="348">
        <f>(SUM('工资福利（公务员、参公人员）'!R61:S61)+SUM('工资福利（事业）'!V61:X61,'工资福利（事业）'!AB61))*0.12</f>
        <v>1.0992</v>
      </c>
      <c r="T61" s="348"/>
      <c r="U61" s="348">
        <f t="shared" si="14"/>
        <v>20.40048</v>
      </c>
      <c r="V61" s="348">
        <f t="shared" si="15"/>
        <v>7.6256</v>
      </c>
      <c r="W61" s="348">
        <f t="shared" si="16"/>
        <v>3.8128</v>
      </c>
      <c r="X61" s="348">
        <f t="shared" si="17"/>
        <v>2.8596</v>
      </c>
      <c r="Y61" s="348">
        <f t="shared" si="18"/>
        <v>0.09832</v>
      </c>
      <c r="Z61" s="348">
        <f t="shared" si="19"/>
        <v>0.28496</v>
      </c>
      <c r="AA61" s="348">
        <f t="shared" si="20"/>
        <v>5.7192</v>
      </c>
      <c r="AB61" s="348">
        <f t="shared" si="21"/>
        <v>0</v>
      </c>
      <c r="AC61" s="350"/>
    </row>
    <row r="62" ht="24" spans="1:29">
      <c r="A62" s="284" t="s">
        <v>221</v>
      </c>
      <c r="B62" s="284" t="s">
        <v>199</v>
      </c>
      <c r="C62" s="284" t="s">
        <v>261</v>
      </c>
      <c r="D62" s="284" t="s">
        <v>213</v>
      </c>
      <c r="E62" s="348">
        <f t="shared" si="2"/>
        <v>36.88</v>
      </c>
      <c r="F62" s="348">
        <v>13.79</v>
      </c>
      <c r="G62" s="348">
        <v>6.89</v>
      </c>
      <c r="H62" s="348">
        <v>5.17</v>
      </c>
      <c r="I62" s="348">
        <v>0.17</v>
      </c>
      <c r="J62" s="348">
        <v>0.52</v>
      </c>
      <c r="K62" s="348">
        <v>10.34</v>
      </c>
      <c r="L62" s="348"/>
      <c r="M62" s="348">
        <f t="shared" si="13"/>
        <v>5.64104</v>
      </c>
      <c r="N62" s="348">
        <f>(SUM('工资福利（公务员、参公人员）'!R62:T62)+SUM('工资福利（事业）'!V62:X62,'工资福利（事业）'!AB62))*0.16</f>
        <v>2.1088</v>
      </c>
      <c r="O62" s="348">
        <f>(SUM('工资福利（公务员、参公人员）'!R62:S62)+SUM('工资福利（事业）'!V62:X62,'工资福利（事业）'!AB62))*0.08</f>
        <v>1.0544</v>
      </c>
      <c r="P62" s="348">
        <f>(SUM('工资福利（公务员、参公人员）'!R62:S62)+SUM('工资福利（事业）'!V62:X62,'工资福利（事业）'!AB62))*0.06</f>
        <v>0.7908</v>
      </c>
      <c r="Q62" s="348">
        <f>(SUM('工资福利（公务员、参公人员）'!R62:S62)+SUM('工资福利（事业）'!V62:X62,'工资福利（事业）'!AB62))*0.002</f>
        <v>0.02636</v>
      </c>
      <c r="R62" s="348">
        <f>(SUM('工资福利（公务员、参公人员）'!R62:S62)+SUM('工资福利（事业）'!V62:X62,'工资福利（事业）'!AB62))*0.006</f>
        <v>0.07908</v>
      </c>
      <c r="S62" s="348">
        <f>(SUM('工资福利（公务员、参公人员）'!R62:S62)+SUM('工资福利（事业）'!V62:X62,'工资福利（事业）'!AB62))*0.12</f>
        <v>1.5816</v>
      </c>
      <c r="T62" s="348"/>
      <c r="U62" s="348">
        <f t="shared" si="14"/>
        <v>42.52104</v>
      </c>
      <c r="V62" s="348">
        <f t="shared" si="15"/>
        <v>15.8988</v>
      </c>
      <c r="W62" s="348">
        <f t="shared" si="16"/>
        <v>7.9444</v>
      </c>
      <c r="X62" s="348">
        <f t="shared" si="17"/>
        <v>5.9608</v>
      </c>
      <c r="Y62" s="348">
        <f t="shared" si="18"/>
        <v>0.19636</v>
      </c>
      <c r="Z62" s="348">
        <f t="shared" si="19"/>
        <v>0.59908</v>
      </c>
      <c r="AA62" s="348">
        <f t="shared" si="20"/>
        <v>11.9216</v>
      </c>
      <c r="AB62" s="348">
        <f t="shared" si="21"/>
        <v>0</v>
      </c>
      <c r="AC62" s="350"/>
    </row>
    <row r="63" ht="24" spans="1:29">
      <c r="A63" s="284" t="s">
        <v>221</v>
      </c>
      <c r="B63" s="284" t="s">
        <v>196</v>
      </c>
      <c r="C63" s="284" t="s">
        <v>262</v>
      </c>
      <c r="D63" s="284" t="s">
        <v>207</v>
      </c>
      <c r="E63" s="348">
        <f t="shared" si="2"/>
        <v>79.72</v>
      </c>
      <c r="F63" s="348">
        <v>30.68</v>
      </c>
      <c r="G63" s="348">
        <v>14.64</v>
      </c>
      <c r="H63" s="348">
        <v>10.98</v>
      </c>
      <c r="I63" s="348">
        <v>0.37</v>
      </c>
      <c r="J63" s="348">
        <v>1.1</v>
      </c>
      <c r="K63" s="348">
        <v>21.95</v>
      </c>
      <c r="L63" s="348"/>
      <c r="M63" s="348">
        <f t="shared" si="13"/>
        <v>8.91236</v>
      </c>
      <c r="N63" s="348">
        <f>(SUM('工资福利（公务员、参公人员）'!R63:T63)+SUM('工资福利（事业）'!V63:X63,'工资福利（事业）'!AB63))*0.16</f>
        <v>3.3728</v>
      </c>
      <c r="O63" s="348">
        <f>(SUM('工资福利（公务员、参公人员）'!R63:S63)+SUM('工资福利（事业）'!V63:X63,'工资福利（事业）'!AB63))*0.08</f>
        <v>1.6536</v>
      </c>
      <c r="P63" s="348">
        <f>(SUM('工资福利（公务员、参公人员）'!R63:S63)+SUM('工资福利（事业）'!V63:X63,'工资福利（事业）'!AB63))*0.06</f>
        <v>1.2402</v>
      </c>
      <c r="Q63" s="348">
        <f>(SUM('工资福利（公务员、参公人员）'!R63:S63)+SUM('工资福利（事业）'!V63:X63,'工资福利（事业）'!AB63))*0.002</f>
        <v>0.04134</v>
      </c>
      <c r="R63" s="348">
        <f>(SUM('工资福利（公务员、参公人员）'!R63:S63)+SUM('工资福利（事业）'!V63:X63,'工资福利（事业）'!AB63))*0.006</f>
        <v>0.12402</v>
      </c>
      <c r="S63" s="348">
        <f>(SUM('工资福利（公务员、参公人员）'!R63:S63)+SUM('工资福利（事业）'!V63:X63,'工资福利（事业）'!AB63))*0.12</f>
        <v>2.4804</v>
      </c>
      <c r="T63" s="348"/>
      <c r="U63" s="348">
        <f t="shared" si="14"/>
        <v>88.63236</v>
      </c>
      <c r="V63" s="348">
        <f t="shared" si="15"/>
        <v>34.0528</v>
      </c>
      <c r="W63" s="348">
        <f t="shared" si="16"/>
        <v>16.2936</v>
      </c>
      <c r="X63" s="348">
        <f t="shared" si="17"/>
        <v>12.2202</v>
      </c>
      <c r="Y63" s="348">
        <f t="shared" si="18"/>
        <v>0.41134</v>
      </c>
      <c r="Z63" s="348">
        <f t="shared" si="19"/>
        <v>1.22402</v>
      </c>
      <c r="AA63" s="348">
        <f t="shared" si="20"/>
        <v>24.4304</v>
      </c>
      <c r="AB63" s="348">
        <f t="shared" si="21"/>
        <v>0</v>
      </c>
      <c r="AC63" s="350"/>
    </row>
    <row r="64" ht="24" spans="1:29">
      <c r="A64" s="284" t="s">
        <v>221</v>
      </c>
      <c r="B64" s="284" t="s">
        <v>199</v>
      </c>
      <c r="C64" s="284" t="s">
        <v>263</v>
      </c>
      <c r="D64" s="284" t="s">
        <v>213</v>
      </c>
      <c r="E64" s="348">
        <f t="shared" si="2"/>
        <v>18.6</v>
      </c>
      <c r="F64" s="348">
        <v>6.95</v>
      </c>
      <c r="G64" s="348">
        <v>3.48</v>
      </c>
      <c r="H64" s="348">
        <v>2.61</v>
      </c>
      <c r="I64" s="348">
        <v>0.09</v>
      </c>
      <c r="J64" s="348">
        <v>0.26</v>
      </c>
      <c r="K64" s="348">
        <v>5.21</v>
      </c>
      <c r="L64" s="348"/>
      <c r="M64" s="348">
        <f t="shared" si="13"/>
        <v>-0.57352</v>
      </c>
      <c r="N64" s="348">
        <f>(SUM('工资福利（公务员、参公人员）'!R64:T64)+SUM('工资福利（事业）'!V64:X64,'工资福利（事业）'!AB64))*0.16</f>
        <v>-0.2144</v>
      </c>
      <c r="O64" s="348">
        <f>(SUM('工资福利（公务员、参公人员）'!R64:S64)+SUM('工资福利（事业）'!V64:X64,'工资福利（事业）'!AB64))*0.08</f>
        <v>-0.1072</v>
      </c>
      <c r="P64" s="348">
        <f>(SUM('工资福利（公务员、参公人员）'!R64:S64)+SUM('工资福利（事业）'!V64:X64,'工资福利（事业）'!AB64))*0.06</f>
        <v>-0.0804</v>
      </c>
      <c r="Q64" s="348">
        <f>(SUM('工资福利（公务员、参公人员）'!R64:S64)+SUM('工资福利（事业）'!V64:X64,'工资福利（事业）'!AB64))*0.002</f>
        <v>-0.00268</v>
      </c>
      <c r="R64" s="348">
        <f>(SUM('工资福利（公务员、参公人员）'!R64:S64)+SUM('工资福利（事业）'!V64:X64,'工资福利（事业）'!AB64))*0.006</f>
        <v>-0.00804</v>
      </c>
      <c r="S64" s="348">
        <f>(SUM('工资福利（公务员、参公人员）'!R64:S64)+SUM('工资福利（事业）'!V64:X64,'工资福利（事业）'!AB64))*0.12</f>
        <v>-0.1608</v>
      </c>
      <c r="T64" s="348"/>
      <c r="U64" s="348">
        <f t="shared" si="14"/>
        <v>18.02648</v>
      </c>
      <c r="V64" s="348">
        <f t="shared" si="15"/>
        <v>6.7356</v>
      </c>
      <c r="W64" s="348">
        <f t="shared" si="16"/>
        <v>3.3728</v>
      </c>
      <c r="X64" s="348">
        <f t="shared" si="17"/>
        <v>2.5296</v>
      </c>
      <c r="Y64" s="348">
        <f t="shared" si="18"/>
        <v>0.08732</v>
      </c>
      <c r="Z64" s="348">
        <f t="shared" si="19"/>
        <v>0.25196</v>
      </c>
      <c r="AA64" s="348">
        <f t="shared" si="20"/>
        <v>5.0492</v>
      </c>
      <c r="AB64" s="348">
        <f t="shared" si="21"/>
        <v>0</v>
      </c>
      <c r="AC64" s="350"/>
    </row>
    <row r="65" ht="24" spans="1:29">
      <c r="A65" s="284" t="s">
        <v>221</v>
      </c>
      <c r="B65" s="284" t="s">
        <v>199</v>
      </c>
      <c r="C65" s="284" t="s">
        <v>264</v>
      </c>
      <c r="D65" s="284" t="s">
        <v>213</v>
      </c>
      <c r="E65" s="348">
        <f t="shared" si="2"/>
        <v>24.91</v>
      </c>
      <c r="F65" s="348">
        <v>9.31</v>
      </c>
      <c r="G65" s="348">
        <v>4.66</v>
      </c>
      <c r="H65" s="348">
        <v>3.49</v>
      </c>
      <c r="I65" s="348">
        <v>0.12</v>
      </c>
      <c r="J65" s="348">
        <v>0.35</v>
      </c>
      <c r="K65" s="348">
        <v>6.98</v>
      </c>
      <c r="L65" s="348"/>
      <c r="M65" s="348">
        <f t="shared" si="13"/>
        <v>2.5038</v>
      </c>
      <c r="N65" s="348">
        <f>(SUM('工资福利（公务员、参公人员）'!R65:T65)+SUM('工资福利（事业）'!V65:X65,'工资福利（事业）'!AB65))*0.16</f>
        <v>0.936</v>
      </c>
      <c r="O65" s="348">
        <f>(SUM('工资福利（公务员、参公人员）'!R65:S65)+SUM('工资福利（事业）'!V65:X65,'工资福利（事业）'!AB65))*0.08</f>
        <v>0.468</v>
      </c>
      <c r="P65" s="348">
        <f>(SUM('工资福利（公务员、参公人员）'!R65:S65)+SUM('工资福利（事业）'!V65:X65,'工资福利（事业）'!AB65))*0.06</f>
        <v>0.351</v>
      </c>
      <c r="Q65" s="348">
        <f>(SUM('工资福利（公务员、参公人员）'!R65:S65)+SUM('工资福利（事业）'!V65:X65,'工资福利（事业）'!AB65))*0.002</f>
        <v>0.0117</v>
      </c>
      <c r="R65" s="348">
        <f>(SUM('工资福利（公务员、参公人员）'!R65:S65)+SUM('工资福利（事业）'!V65:X65,'工资福利（事业）'!AB65))*0.006</f>
        <v>0.0351</v>
      </c>
      <c r="S65" s="348">
        <f>(SUM('工资福利（公务员、参公人员）'!R65:S65)+SUM('工资福利（事业）'!V65:X65,'工资福利（事业）'!AB65))*0.12</f>
        <v>0.702</v>
      </c>
      <c r="T65" s="348"/>
      <c r="U65" s="348">
        <f t="shared" si="14"/>
        <v>27.4138</v>
      </c>
      <c r="V65" s="348">
        <f t="shared" si="15"/>
        <v>10.246</v>
      </c>
      <c r="W65" s="348">
        <f t="shared" si="16"/>
        <v>5.128</v>
      </c>
      <c r="X65" s="348">
        <f t="shared" si="17"/>
        <v>3.841</v>
      </c>
      <c r="Y65" s="348">
        <f t="shared" si="18"/>
        <v>0.1317</v>
      </c>
      <c r="Z65" s="348">
        <f t="shared" si="19"/>
        <v>0.3851</v>
      </c>
      <c r="AA65" s="348">
        <f t="shared" si="20"/>
        <v>7.682</v>
      </c>
      <c r="AB65" s="348">
        <f t="shared" si="21"/>
        <v>0</v>
      </c>
      <c r="AC65" s="350"/>
    </row>
    <row r="66" ht="24" spans="1:29">
      <c r="A66" s="284" t="s">
        <v>221</v>
      </c>
      <c r="B66" s="284" t="s">
        <v>199</v>
      </c>
      <c r="C66" s="284" t="s">
        <v>265</v>
      </c>
      <c r="D66" s="284" t="s">
        <v>213</v>
      </c>
      <c r="E66" s="348">
        <f t="shared" si="2"/>
        <v>59.88</v>
      </c>
      <c r="F66" s="348">
        <v>22.39</v>
      </c>
      <c r="G66" s="348">
        <v>11.19</v>
      </c>
      <c r="H66" s="348">
        <v>8.39</v>
      </c>
      <c r="I66" s="348">
        <v>0.28</v>
      </c>
      <c r="J66" s="348">
        <v>0.84</v>
      </c>
      <c r="K66" s="348">
        <v>16.79</v>
      </c>
      <c r="L66" s="348"/>
      <c r="M66" s="348">
        <f t="shared" si="13"/>
        <v>11.52176</v>
      </c>
      <c r="N66" s="348">
        <f>(SUM('工资福利（公务员、参公人员）'!R66:T66)+SUM('工资福利（事业）'!V66:X66,'工资福利（事业）'!AB66))*0.16</f>
        <v>4.3072</v>
      </c>
      <c r="O66" s="348">
        <f>(SUM('工资福利（公务员、参公人员）'!R66:S66)+SUM('工资福利（事业）'!V66:X66,'工资福利（事业）'!AB66))*0.08</f>
        <v>2.1536</v>
      </c>
      <c r="P66" s="348">
        <f>(SUM('工资福利（公务员、参公人员）'!R66:S66)+SUM('工资福利（事业）'!V66:X66,'工资福利（事业）'!AB66))*0.06</f>
        <v>1.6152</v>
      </c>
      <c r="Q66" s="348">
        <f>(SUM('工资福利（公务员、参公人员）'!R66:S66)+SUM('工资福利（事业）'!V66:X66,'工资福利（事业）'!AB66))*0.002</f>
        <v>0.05384</v>
      </c>
      <c r="R66" s="348">
        <f>(SUM('工资福利（公务员、参公人员）'!R66:S66)+SUM('工资福利（事业）'!V66:X66,'工资福利（事业）'!AB66))*0.006</f>
        <v>0.16152</v>
      </c>
      <c r="S66" s="348">
        <f>(SUM('工资福利（公务员、参公人员）'!R66:S66)+SUM('工资福利（事业）'!V66:X66,'工资福利（事业）'!AB66))*0.12</f>
        <v>3.2304</v>
      </c>
      <c r="T66" s="348"/>
      <c r="U66" s="348">
        <f t="shared" si="14"/>
        <v>71.40176</v>
      </c>
      <c r="V66" s="348">
        <f t="shared" si="15"/>
        <v>26.6972</v>
      </c>
      <c r="W66" s="348">
        <f t="shared" si="16"/>
        <v>13.3436</v>
      </c>
      <c r="X66" s="348">
        <f t="shared" si="17"/>
        <v>10.0052</v>
      </c>
      <c r="Y66" s="348">
        <f t="shared" si="18"/>
        <v>0.33384</v>
      </c>
      <c r="Z66" s="348">
        <f t="shared" si="19"/>
        <v>1.00152</v>
      </c>
      <c r="AA66" s="348">
        <f t="shared" si="20"/>
        <v>20.0204</v>
      </c>
      <c r="AB66" s="348">
        <f t="shared" si="21"/>
        <v>0</v>
      </c>
      <c r="AC66" s="350"/>
    </row>
    <row r="67" ht="24" spans="1:29">
      <c r="A67" s="284" t="s">
        <v>221</v>
      </c>
      <c r="B67" s="284" t="s">
        <v>196</v>
      </c>
      <c r="C67" s="284" t="s">
        <v>266</v>
      </c>
      <c r="D67" s="284" t="s">
        <v>207</v>
      </c>
      <c r="E67" s="348">
        <f t="shared" si="2"/>
        <v>70.52</v>
      </c>
      <c r="F67" s="348">
        <v>27.14</v>
      </c>
      <c r="G67" s="348">
        <v>12.95</v>
      </c>
      <c r="H67" s="348">
        <v>9.71</v>
      </c>
      <c r="I67" s="348">
        <v>0.32</v>
      </c>
      <c r="J67" s="348">
        <v>0.97</v>
      </c>
      <c r="K67" s="348">
        <v>19.43</v>
      </c>
      <c r="L67" s="348"/>
      <c r="M67" s="348">
        <f t="shared" si="13"/>
        <v>13.125</v>
      </c>
      <c r="N67" s="348">
        <f>(SUM('工资福利（公务员、参公人员）'!R67:T67)+SUM('工资福利（事业）'!V67:X67,'工资福利（事业）'!AB67))*0.16</f>
        <v>4.9376</v>
      </c>
      <c r="O67" s="348">
        <f>(SUM('工资福利（公务员、参公人员）'!R67:S67)+SUM('工资福利（事业）'!V67:X67,'工资福利（事业）'!AB67))*0.08</f>
        <v>2.444</v>
      </c>
      <c r="P67" s="348">
        <f>(SUM('工资福利（公务员、参公人员）'!R67:S67)+SUM('工资福利（事业）'!V67:X67,'工资福利（事业）'!AB67))*0.06</f>
        <v>1.833</v>
      </c>
      <c r="Q67" s="348">
        <f>(SUM('工资福利（公务员、参公人员）'!R67:S67)+SUM('工资福利（事业）'!V67:X67,'工资福利（事业）'!AB67))*0.002</f>
        <v>0.0611</v>
      </c>
      <c r="R67" s="348">
        <f>(SUM('工资福利（公务员、参公人员）'!R67:S67)+SUM('工资福利（事业）'!V67:X67,'工资福利（事业）'!AB67))*0.006</f>
        <v>0.1833</v>
      </c>
      <c r="S67" s="348">
        <f>(SUM('工资福利（公务员、参公人员）'!R67:S67)+SUM('工资福利（事业）'!V67:X67,'工资福利（事业）'!AB67))*0.12</f>
        <v>3.666</v>
      </c>
      <c r="T67" s="348"/>
      <c r="U67" s="348">
        <f t="shared" si="14"/>
        <v>83.645</v>
      </c>
      <c r="V67" s="348">
        <f t="shared" si="15"/>
        <v>32.0776</v>
      </c>
      <c r="W67" s="348">
        <f t="shared" si="16"/>
        <v>15.394</v>
      </c>
      <c r="X67" s="348">
        <f t="shared" si="17"/>
        <v>11.543</v>
      </c>
      <c r="Y67" s="348">
        <f t="shared" si="18"/>
        <v>0.3811</v>
      </c>
      <c r="Z67" s="348">
        <f t="shared" si="19"/>
        <v>1.1533</v>
      </c>
      <c r="AA67" s="348">
        <f t="shared" si="20"/>
        <v>23.096</v>
      </c>
      <c r="AB67" s="348">
        <f t="shared" si="21"/>
        <v>0</v>
      </c>
      <c r="AC67" s="350"/>
    </row>
    <row r="68" ht="24" spans="1:29">
      <c r="A68" s="284" t="s">
        <v>221</v>
      </c>
      <c r="B68" s="284" t="s">
        <v>199</v>
      </c>
      <c r="C68" s="284" t="s">
        <v>267</v>
      </c>
      <c r="D68" s="284" t="s">
        <v>213</v>
      </c>
      <c r="E68" s="348">
        <f t="shared" si="2"/>
        <v>14.75</v>
      </c>
      <c r="F68" s="348">
        <v>5.51</v>
      </c>
      <c r="G68" s="348">
        <v>2.76</v>
      </c>
      <c r="H68" s="348">
        <v>2.07</v>
      </c>
      <c r="I68" s="348">
        <v>0.07</v>
      </c>
      <c r="J68" s="348">
        <v>0.21</v>
      </c>
      <c r="K68" s="348">
        <v>4.13</v>
      </c>
      <c r="L68" s="348"/>
      <c r="M68" s="348">
        <f t="shared" si="13"/>
        <v>1.87892</v>
      </c>
      <c r="N68" s="348">
        <f>(SUM('工资福利（公务员、参公人员）'!R68:T68)+SUM('工资福利（事业）'!V68:X68,'工资福利（事业）'!AB68))*0.16</f>
        <v>0.7024</v>
      </c>
      <c r="O68" s="348">
        <f>(SUM('工资福利（公务员、参公人员）'!R68:S68)+SUM('工资福利（事业）'!V68:X68,'工资福利（事业）'!AB68))*0.08</f>
        <v>0.3512</v>
      </c>
      <c r="P68" s="348">
        <f>(SUM('工资福利（公务员、参公人员）'!R68:S68)+SUM('工资福利（事业）'!V68:X68,'工资福利（事业）'!AB68))*0.06</f>
        <v>0.2634</v>
      </c>
      <c r="Q68" s="348">
        <f>(SUM('工资福利（公务员、参公人员）'!R68:S68)+SUM('工资福利（事业）'!V68:X68,'工资福利（事业）'!AB68))*0.002</f>
        <v>0.00878</v>
      </c>
      <c r="R68" s="348">
        <f>(SUM('工资福利（公务员、参公人员）'!R68:S68)+SUM('工资福利（事业）'!V68:X68,'工资福利（事业）'!AB68))*0.006</f>
        <v>0.02634</v>
      </c>
      <c r="S68" s="348">
        <f>(SUM('工资福利（公务员、参公人员）'!R68:S68)+SUM('工资福利（事业）'!V68:X68,'工资福利（事业）'!AB68))*0.12</f>
        <v>0.5268</v>
      </c>
      <c r="T68" s="348"/>
      <c r="U68" s="348">
        <f t="shared" si="14"/>
        <v>16.62892</v>
      </c>
      <c r="V68" s="348">
        <f t="shared" si="15"/>
        <v>6.2124</v>
      </c>
      <c r="W68" s="348">
        <f t="shared" si="16"/>
        <v>3.1112</v>
      </c>
      <c r="X68" s="348">
        <f t="shared" si="17"/>
        <v>2.3334</v>
      </c>
      <c r="Y68" s="348">
        <f t="shared" si="18"/>
        <v>0.07878</v>
      </c>
      <c r="Z68" s="348">
        <f t="shared" si="19"/>
        <v>0.23634</v>
      </c>
      <c r="AA68" s="348">
        <f t="shared" si="20"/>
        <v>4.6568</v>
      </c>
      <c r="AB68" s="348">
        <f t="shared" si="21"/>
        <v>0</v>
      </c>
      <c r="AC68" s="350"/>
    </row>
    <row r="69" ht="24" spans="1:29">
      <c r="A69" s="284" t="s">
        <v>221</v>
      </c>
      <c r="B69" s="284" t="s">
        <v>199</v>
      </c>
      <c r="C69" s="284" t="s">
        <v>268</v>
      </c>
      <c r="D69" s="284" t="s">
        <v>213</v>
      </c>
      <c r="E69" s="348">
        <f t="shared" si="2"/>
        <v>11.34</v>
      </c>
      <c r="F69" s="348">
        <v>4.24</v>
      </c>
      <c r="G69" s="348">
        <v>2.12</v>
      </c>
      <c r="H69" s="348">
        <v>1.59</v>
      </c>
      <c r="I69" s="348">
        <v>0.05</v>
      </c>
      <c r="J69" s="348">
        <v>0.16</v>
      </c>
      <c r="K69" s="348">
        <v>3.18</v>
      </c>
      <c r="L69" s="348"/>
      <c r="M69" s="348">
        <f t="shared" si="13"/>
        <v>3.09872</v>
      </c>
      <c r="N69" s="348">
        <f>(SUM('工资福利（公务员、参公人员）'!R69:T69)+SUM('工资福利（事业）'!V69:X69,'工资福利（事业）'!AB69))*0.16</f>
        <v>1.1584</v>
      </c>
      <c r="O69" s="348">
        <f>(SUM('工资福利（公务员、参公人员）'!R69:S69)+SUM('工资福利（事业）'!V69:X69,'工资福利（事业）'!AB69))*0.08</f>
        <v>0.5792</v>
      </c>
      <c r="P69" s="348">
        <f>(SUM('工资福利（公务员、参公人员）'!R69:S69)+SUM('工资福利（事业）'!V69:X69,'工资福利（事业）'!AB69))*0.06</f>
        <v>0.4344</v>
      </c>
      <c r="Q69" s="348">
        <f>(SUM('工资福利（公务员、参公人员）'!R69:S69)+SUM('工资福利（事业）'!V69:X69,'工资福利（事业）'!AB69))*0.002</f>
        <v>0.01448</v>
      </c>
      <c r="R69" s="348">
        <f>(SUM('工资福利（公务员、参公人员）'!R69:S69)+SUM('工资福利（事业）'!V69:X69,'工资福利（事业）'!AB69))*0.006</f>
        <v>0.04344</v>
      </c>
      <c r="S69" s="348">
        <f>(SUM('工资福利（公务员、参公人员）'!R69:S69)+SUM('工资福利（事业）'!V69:X69,'工资福利（事业）'!AB69))*0.12</f>
        <v>0.8688</v>
      </c>
      <c r="T69" s="348"/>
      <c r="U69" s="348">
        <f t="shared" si="14"/>
        <v>14.43872</v>
      </c>
      <c r="V69" s="348">
        <f t="shared" si="15"/>
        <v>5.3984</v>
      </c>
      <c r="W69" s="348">
        <f t="shared" si="16"/>
        <v>2.6992</v>
      </c>
      <c r="X69" s="348">
        <f t="shared" si="17"/>
        <v>2.0244</v>
      </c>
      <c r="Y69" s="348">
        <f t="shared" si="18"/>
        <v>0.06448</v>
      </c>
      <c r="Z69" s="348">
        <f t="shared" si="19"/>
        <v>0.20344</v>
      </c>
      <c r="AA69" s="348">
        <f t="shared" si="20"/>
        <v>4.0488</v>
      </c>
      <c r="AB69" s="348">
        <f t="shared" si="21"/>
        <v>0</v>
      </c>
      <c r="AC69" s="350"/>
    </row>
    <row r="70" ht="24" spans="1:29">
      <c r="A70" s="284" t="s">
        <v>221</v>
      </c>
      <c r="B70" s="284" t="s">
        <v>199</v>
      </c>
      <c r="C70" s="284" t="s">
        <v>269</v>
      </c>
      <c r="D70" s="284" t="s">
        <v>213</v>
      </c>
      <c r="E70" s="348">
        <f t="shared" si="2"/>
        <v>50.7</v>
      </c>
      <c r="F70" s="348">
        <v>18.95</v>
      </c>
      <c r="G70" s="348">
        <v>9.48</v>
      </c>
      <c r="H70" s="348">
        <v>7.11</v>
      </c>
      <c r="I70" s="348">
        <v>0.24</v>
      </c>
      <c r="J70" s="348">
        <v>0.71</v>
      </c>
      <c r="K70" s="348">
        <v>14.21</v>
      </c>
      <c r="L70" s="348"/>
      <c r="M70" s="348">
        <f t="shared" si="13"/>
        <v>-2.44816</v>
      </c>
      <c r="N70" s="348">
        <f>(SUM('工资福利（公务员、参公人员）'!R70:T70)+SUM('工资福利（事业）'!V70:X70,'工资福利（事业）'!AB70))*0.16</f>
        <v>-0.9152</v>
      </c>
      <c r="O70" s="348">
        <f>(SUM('工资福利（公务员、参公人员）'!R70:S70)+SUM('工资福利（事业）'!V70:X70,'工资福利（事业）'!AB70))*0.08</f>
        <v>-0.4576</v>
      </c>
      <c r="P70" s="348">
        <f>(SUM('工资福利（公务员、参公人员）'!R70:S70)+SUM('工资福利（事业）'!V70:X70,'工资福利（事业）'!AB70))*0.06</f>
        <v>-0.3432</v>
      </c>
      <c r="Q70" s="348">
        <f>(SUM('工资福利（公务员、参公人员）'!R70:S70)+SUM('工资福利（事业）'!V70:X70,'工资福利（事业）'!AB70))*0.002</f>
        <v>-0.01144</v>
      </c>
      <c r="R70" s="348">
        <f>(SUM('工资福利（公务员、参公人员）'!R70:S70)+SUM('工资福利（事业）'!V70:X70,'工资福利（事业）'!AB70))*0.006</f>
        <v>-0.03432</v>
      </c>
      <c r="S70" s="348">
        <f>(SUM('工资福利（公务员、参公人员）'!R70:S70)+SUM('工资福利（事业）'!V70:X70,'工资福利（事业）'!AB70))*0.12</f>
        <v>-0.6864</v>
      </c>
      <c r="T70" s="348"/>
      <c r="U70" s="348">
        <f t="shared" si="14"/>
        <v>48.25184</v>
      </c>
      <c r="V70" s="348">
        <f t="shared" si="15"/>
        <v>18.0348</v>
      </c>
      <c r="W70" s="348">
        <f t="shared" si="16"/>
        <v>9.0224</v>
      </c>
      <c r="X70" s="348">
        <f t="shared" si="17"/>
        <v>6.7668</v>
      </c>
      <c r="Y70" s="348">
        <f t="shared" si="18"/>
        <v>0.22856</v>
      </c>
      <c r="Z70" s="348">
        <f t="shared" si="19"/>
        <v>0.67568</v>
      </c>
      <c r="AA70" s="348">
        <f t="shared" si="20"/>
        <v>13.5236</v>
      </c>
      <c r="AB70" s="348">
        <f t="shared" si="21"/>
        <v>0</v>
      </c>
      <c r="AC70" s="350"/>
    </row>
    <row r="71" ht="24" spans="1:29">
      <c r="A71" s="284" t="s">
        <v>221</v>
      </c>
      <c r="B71" s="284" t="s">
        <v>196</v>
      </c>
      <c r="C71" s="284" t="s">
        <v>270</v>
      </c>
      <c r="D71" s="284" t="s">
        <v>207</v>
      </c>
      <c r="E71" s="348">
        <f t="shared" si="2"/>
        <v>69.35</v>
      </c>
      <c r="F71" s="348">
        <v>26.67</v>
      </c>
      <c r="G71" s="348">
        <v>12.74</v>
      </c>
      <c r="H71" s="348">
        <v>9.55</v>
      </c>
      <c r="I71" s="348">
        <v>0.32</v>
      </c>
      <c r="J71" s="348">
        <v>0.96</v>
      </c>
      <c r="K71" s="348">
        <v>19.11</v>
      </c>
      <c r="L71" s="348"/>
      <c r="M71" s="348">
        <f t="shared" si="13"/>
        <v>0.94544</v>
      </c>
      <c r="N71" s="348">
        <f>(SUM('工资福利（公务员、参公人员）'!R71:T71)+SUM('工资福利（事业）'!V71:X71,'工资福利（事业）'!AB71))*0.16</f>
        <v>0.3344</v>
      </c>
      <c r="O71" s="348">
        <f>(SUM('工资福利（公务员、参公人员）'!R71:S71)+SUM('工资福利（事业）'!V71:X71,'工资福利（事业）'!AB71))*0.08</f>
        <v>0.1824</v>
      </c>
      <c r="P71" s="348">
        <f>(SUM('工资福利（公务员、参公人员）'!R71:S71)+SUM('工资福利（事业）'!V71:X71,'工资福利（事业）'!AB71))*0.06</f>
        <v>0.1368</v>
      </c>
      <c r="Q71" s="348">
        <f>(SUM('工资福利（公务员、参公人员）'!R71:S71)+SUM('工资福利（事业）'!V71:X71,'工资福利（事业）'!AB71))*0.002</f>
        <v>0.00456</v>
      </c>
      <c r="R71" s="348">
        <f>(SUM('工资福利（公务员、参公人员）'!R71:S71)+SUM('工资福利（事业）'!V71:X71,'工资福利（事业）'!AB71))*0.006</f>
        <v>0.01368</v>
      </c>
      <c r="S71" s="348">
        <f>(SUM('工资福利（公务员、参公人员）'!R71:S71)+SUM('工资福利（事业）'!V71:X71,'工资福利（事业）'!AB71))*0.12</f>
        <v>0.2736</v>
      </c>
      <c r="T71" s="348"/>
      <c r="U71" s="348">
        <f t="shared" si="14"/>
        <v>70.29544</v>
      </c>
      <c r="V71" s="348">
        <f t="shared" si="15"/>
        <v>27.0044</v>
      </c>
      <c r="W71" s="348">
        <f t="shared" si="16"/>
        <v>12.9224</v>
      </c>
      <c r="X71" s="348">
        <f t="shared" si="17"/>
        <v>9.6868</v>
      </c>
      <c r="Y71" s="348">
        <f t="shared" si="18"/>
        <v>0.32456</v>
      </c>
      <c r="Z71" s="348">
        <f t="shared" si="19"/>
        <v>0.97368</v>
      </c>
      <c r="AA71" s="348">
        <f t="shared" si="20"/>
        <v>19.3836</v>
      </c>
      <c r="AB71" s="348">
        <f t="shared" si="21"/>
        <v>0</v>
      </c>
      <c r="AC71" s="350"/>
    </row>
    <row r="72" ht="24" spans="1:29">
      <c r="A72" s="284" t="s">
        <v>221</v>
      </c>
      <c r="B72" s="284" t="s">
        <v>199</v>
      </c>
      <c r="C72" s="284" t="s">
        <v>271</v>
      </c>
      <c r="D72" s="284" t="s">
        <v>213</v>
      </c>
      <c r="E72" s="348">
        <f t="shared" ref="E72:E135" si="22">SUM(F72:L72)</f>
        <v>9.96</v>
      </c>
      <c r="F72" s="348">
        <v>3.72</v>
      </c>
      <c r="G72" s="348">
        <v>1.86</v>
      </c>
      <c r="H72" s="348">
        <v>1.4</v>
      </c>
      <c r="I72" s="348">
        <v>0.05</v>
      </c>
      <c r="J72" s="348">
        <v>0.14</v>
      </c>
      <c r="K72" s="348">
        <v>2.79</v>
      </c>
      <c r="L72" s="348"/>
      <c r="M72" s="348">
        <f t="shared" si="13"/>
        <v>1.6617956</v>
      </c>
      <c r="N72" s="348">
        <f>(SUM('工资福利（公务员、参公人员）'!R72:T72)+SUM('工资福利（事业）'!V72:X72,'工资福利（事业）'!AB72))*0.16</f>
        <v>0.621232</v>
      </c>
      <c r="O72" s="348">
        <f>(SUM('工资福利（公务员、参公人员）'!R72:S72)+SUM('工资福利（事业）'!V72:X72,'工资福利（事业）'!AB72))*0.08</f>
        <v>0.310616</v>
      </c>
      <c r="P72" s="348">
        <f>(SUM('工资福利（公务员、参公人员）'!R72:S72)+SUM('工资福利（事业）'!V72:X72,'工资福利（事业）'!AB72))*0.06</f>
        <v>0.232962</v>
      </c>
      <c r="Q72" s="348">
        <f>(SUM('工资福利（公务员、参公人员）'!R72:S72)+SUM('工资福利（事业）'!V72:X72,'工资福利（事业）'!AB72))*0.002</f>
        <v>0.0077654</v>
      </c>
      <c r="R72" s="348">
        <f>(SUM('工资福利（公务员、参公人员）'!R72:S72)+SUM('工资福利（事业）'!V72:X72,'工资福利（事业）'!AB72))*0.006</f>
        <v>0.0232962</v>
      </c>
      <c r="S72" s="348">
        <f>(SUM('工资福利（公务员、参公人员）'!R72:S72)+SUM('工资福利（事业）'!V72:X72,'工资福利（事业）'!AB72))*0.12</f>
        <v>0.465924</v>
      </c>
      <c r="T72" s="348"/>
      <c r="U72" s="348">
        <f t="shared" si="14"/>
        <v>11.6217956</v>
      </c>
      <c r="V72" s="348">
        <f t="shared" si="15"/>
        <v>4.341232</v>
      </c>
      <c r="W72" s="348">
        <f t="shared" si="16"/>
        <v>2.170616</v>
      </c>
      <c r="X72" s="348">
        <f t="shared" si="17"/>
        <v>1.632962</v>
      </c>
      <c r="Y72" s="348">
        <f t="shared" si="18"/>
        <v>0.0577654</v>
      </c>
      <c r="Z72" s="348">
        <f t="shared" si="19"/>
        <v>0.1632962</v>
      </c>
      <c r="AA72" s="348">
        <f t="shared" si="20"/>
        <v>3.255924</v>
      </c>
      <c r="AB72" s="348">
        <f t="shared" si="21"/>
        <v>0</v>
      </c>
      <c r="AC72" s="350"/>
    </row>
    <row r="73" ht="24" customHeight="1" spans="1:29">
      <c r="A73" s="284" t="s">
        <v>221</v>
      </c>
      <c r="B73" s="284" t="s">
        <v>199</v>
      </c>
      <c r="C73" s="284" t="s">
        <v>272</v>
      </c>
      <c r="D73" s="284" t="s">
        <v>213</v>
      </c>
      <c r="E73" s="348">
        <f t="shared" si="22"/>
        <v>19.66</v>
      </c>
      <c r="F73" s="348">
        <v>7.35</v>
      </c>
      <c r="G73" s="348">
        <v>3.67</v>
      </c>
      <c r="H73" s="348">
        <v>2.76</v>
      </c>
      <c r="I73" s="348">
        <v>0.09</v>
      </c>
      <c r="J73" s="348">
        <v>0.28</v>
      </c>
      <c r="K73" s="348">
        <v>5.51</v>
      </c>
      <c r="L73" s="348"/>
      <c r="M73" s="348">
        <f t="shared" ref="M73:M104" si="23">SUM(N73:T73)</f>
        <v>1.09996</v>
      </c>
      <c r="N73" s="348">
        <f>(SUM('工资福利（公务员、参公人员）'!R73:T73)+SUM('工资福利（事业）'!V73:X73,'工资福利（事业）'!AB73))*0.16</f>
        <v>0.4112</v>
      </c>
      <c r="O73" s="348">
        <f>(SUM('工资福利（公务员、参公人员）'!R73:S73)+SUM('工资福利（事业）'!V73:X73,'工资福利（事业）'!AB73))*0.08</f>
        <v>0.2056</v>
      </c>
      <c r="P73" s="348">
        <f>(SUM('工资福利（公务员、参公人员）'!R73:S73)+SUM('工资福利（事业）'!V73:X73,'工资福利（事业）'!AB73))*0.06</f>
        <v>0.1542</v>
      </c>
      <c r="Q73" s="348">
        <f>(SUM('工资福利（公务员、参公人员）'!R73:S73)+SUM('工资福利（事业）'!V73:X73,'工资福利（事业）'!AB73))*0.002</f>
        <v>0.00514</v>
      </c>
      <c r="R73" s="348">
        <f>(SUM('工资福利（公务员、参公人员）'!R73:S73)+SUM('工资福利（事业）'!V73:X73,'工资福利（事业）'!AB73))*0.006</f>
        <v>0.01542</v>
      </c>
      <c r="S73" s="348">
        <f>(SUM('工资福利（公务员、参公人员）'!R73:S73)+SUM('工资福利（事业）'!V73:X73,'工资福利（事业）'!AB73))*0.12</f>
        <v>0.3084</v>
      </c>
      <c r="T73" s="348"/>
      <c r="U73" s="348">
        <f t="shared" ref="U73:U104" si="24">SUM(V73:AB73)</f>
        <v>20.75996</v>
      </c>
      <c r="V73" s="348">
        <f t="shared" ref="V73:V104" si="25">F73+N73</f>
        <v>7.7612</v>
      </c>
      <c r="W73" s="348">
        <f t="shared" ref="W73:W104" si="26">G73+O73</f>
        <v>3.8756</v>
      </c>
      <c r="X73" s="348">
        <f t="shared" ref="X73:X104" si="27">H73+P73</f>
        <v>2.9142</v>
      </c>
      <c r="Y73" s="348">
        <f t="shared" ref="Y73:Y104" si="28">I73+Q73</f>
        <v>0.09514</v>
      </c>
      <c r="Z73" s="348">
        <f t="shared" ref="Z73:Z104" si="29">J73+R73</f>
        <v>0.29542</v>
      </c>
      <c r="AA73" s="348">
        <f t="shared" ref="AA73:AA104" si="30">K73+S73</f>
        <v>5.8184</v>
      </c>
      <c r="AB73" s="348">
        <f t="shared" ref="AB73:AB104" si="31">L73+T73</f>
        <v>0</v>
      </c>
      <c r="AC73" s="350"/>
    </row>
    <row r="74" ht="24" customHeight="1" spans="1:29">
      <c r="A74" s="284" t="s">
        <v>221</v>
      </c>
      <c r="B74" s="284" t="s">
        <v>199</v>
      </c>
      <c r="C74" s="284" t="s">
        <v>273</v>
      </c>
      <c r="D74" s="284" t="s">
        <v>213</v>
      </c>
      <c r="E74" s="348">
        <f t="shared" si="22"/>
        <v>56.54</v>
      </c>
      <c r="F74" s="348">
        <v>21.14</v>
      </c>
      <c r="G74" s="348">
        <v>10.57</v>
      </c>
      <c r="H74" s="348">
        <v>7.93</v>
      </c>
      <c r="I74" s="348">
        <v>0.26</v>
      </c>
      <c r="J74" s="348">
        <v>0.79</v>
      </c>
      <c r="K74" s="348">
        <v>15.85</v>
      </c>
      <c r="L74" s="348"/>
      <c r="M74" s="348">
        <f t="shared" si="23"/>
        <v>3.8948</v>
      </c>
      <c r="N74" s="348">
        <f>(SUM('工资福利（公务员、参公人员）'!R74:T74)+SUM('工资福利（事业）'!V74:X74,'工资福利（事业）'!AB74))*0.16</f>
        <v>1.456</v>
      </c>
      <c r="O74" s="348">
        <f>(SUM('工资福利（公务员、参公人员）'!R74:S74)+SUM('工资福利（事业）'!V74:X74,'工资福利（事业）'!AB74))*0.08</f>
        <v>0.728</v>
      </c>
      <c r="P74" s="348">
        <f>(SUM('工资福利（公务员、参公人员）'!R74:S74)+SUM('工资福利（事业）'!V74:X74,'工资福利（事业）'!AB74))*0.06</f>
        <v>0.546</v>
      </c>
      <c r="Q74" s="348">
        <f>(SUM('工资福利（公务员、参公人员）'!R74:S74)+SUM('工资福利（事业）'!V74:X74,'工资福利（事业）'!AB74))*0.002</f>
        <v>0.0182</v>
      </c>
      <c r="R74" s="348">
        <f>(SUM('工资福利（公务员、参公人员）'!R74:S74)+SUM('工资福利（事业）'!V74:X74,'工资福利（事业）'!AB74))*0.006</f>
        <v>0.0546</v>
      </c>
      <c r="S74" s="348">
        <f>(SUM('工资福利（公务员、参公人员）'!R74:S74)+SUM('工资福利（事业）'!V74:X74,'工资福利（事业）'!AB74))*0.12</f>
        <v>1.092</v>
      </c>
      <c r="T74" s="348"/>
      <c r="U74" s="348">
        <f t="shared" si="24"/>
        <v>60.4348</v>
      </c>
      <c r="V74" s="348">
        <f t="shared" si="25"/>
        <v>22.596</v>
      </c>
      <c r="W74" s="348">
        <f t="shared" si="26"/>
        <v>11.298</v>
      </c>
      <c r="X74" s="348">
        <f t="shared" si="27"/>
        <v>8.476</v>
      </c>
      <c r="Y74" s="348">
        <f t="shared" si="28"/>
        <v>0.2782</v>
      </c>
      <c r="Z74" s="348">
        <f t="shared" si="29"/>
        <v>0.8446</v>
      </c>
      <c r="AA74" s="348">
        <f t="shared" si="30"/>
        <v>16.942</v>
      </c>
      <c r="AB74" s="348">
        <f t="shared" si="31"/>
        <v>0</v>
      </c>
      <c r="AC74" s="350"/>
    </row>
    <row r="75" ht="24" spans="1:29">
      <c r="A75" s="284" t="s">
        <v>221</v>
      </c>
      <c r="B75" s="284" t="s">
        <v>196</v>
      </c>
      <c r="C75" s="284" t="s">
        <v>274</v>
      </c>
      <c r="D75" s="284" t="s">
        <v>207</v>
      </c>
      <c r="E75" s="348">
        <f t="shared" si="22"/>
        <v>56.42</v>
      </c>
      <c r="F75" s="348">
        <v>21.71</v>
      </c>
      <c r="G75" s="348">
        <v>10.36</v>
      </c>
      <c r="H75" s="348">
        <v>7.77</v>
      </c>
      <c r="I75" s="348">
        <v>0.26</v>
      </c>
      <c r="J75" s="348">
        <v>0.78</v>
      </c>
      <c r="K75" s="348">
        <v>15.54</v>
      </c>
      <c r="L75" s="348"/>
      <c r="M75" s="348">
        <f t="shared" si="23"/>
        <v>2.75348</v>
      </c>
      <c r="N75" s="348">
        <f>(SUM('工资福利（公务员、参公人员）'!R75:T75)+SUM('工资福利（事业）'!V75:X75,'工资福利（事业）'!AB75))*0.16</f>
        <v>1.0624</v>
      </c>
      <c r="O75" s="348">
        <f>(SUM('工资福利（公务员、参公人员）'!R75:S75)+SUM('工资福利（事业）'!V75:X75,'工资福利（事业）'!AB75))*0.08</f>
        <v>0.5048</v>
      </c>
      <c r="P75" s="348">
        <f>(SUM('工资福利（公务员、参公人员）'!R75:S75)+SUM('工资福利（事业）'!V75:X75,'工资福利（事业）'!AB75))*0.06</f>
        <v>0.3786</v>
      </c>
      <c r="Q75" s="348">
        <f>(SUM('工资福利（公务员、参公人员）'!R75:S75)+SUM('工资福利（事业）'!V75:X75,'工资福利（事业）'!AB75))*0.002</f>
        <v>0.01262</v>
      </c>
      <c r="R75" s="348">
        <f>(SUM('工资福利（公务员、参公人员）'!R75:S75)+SUM('工资福利（事业）'!V75:X75,'工资福利（事业）'!AB75))*0.006</f>
        <v>0.03786</v>
      </c>
      <c r="S75" s="348">
        <f>(SUM('工资福利（公务员、参公人员）'!R75:S75)+SUM('工资福利（事业）'!V75:X75,'工资福利（事业）'!AB75))*0.12</f>
        <v>0.7572</v>
      </c>
      <c r="T75" s="348"/>
      <c r="U75" s="348">
        <f t="shared" si="24"/>
        <v>59.17348</v>
      </c>
      <c r="V75" s="348">
        <f t="shared" si="25"/>
        <v>22.7724</v>
      </c>
      <c r="W75" s="348">
        <f t="shared" si="26"/>
        <v>10.8648</v>
      </c>
      <c r="X75" s="348">
        <f t="shared" si="27"/>
        <v>8.1486</v>
      </c>
      <c r="Y75" s="348">
        <f t="shared" si="28"/>
        <v>0.27262</v>
      </c>
      <c r="Z75" s="348">
        <f t="shared" si="29"/>
        <v>0.81786</v>
      </c>
      <c r="AA75" s="348">
        <f t="shared" si="30"/>
        <v>16.2972</v>
      </c>
      <c r="AB75" s="348">
        <f t="shared" si="31"/>
        <v>0</v>
      </c>
      <c r="AC75" s="350"/>
    </row>
    <row r="76" ht="24" spans="1:29">
      <c r="A76" s="284" t="s">
        <v>221</v>
      </c>
      <c r="B76" s="284" t="s">
        <v>199</v>
      </c>
      <c r="C76" s="284" t="s">
        <v>275</v>
      </c>
      <c r="D76" s="284" t="s">
        <v>213</v>
      </c>
      <c r="E76" s="348">
        <f t="shared" si="22"/>
        <v>12.1</v>
      </c>
      <c r="F76" s="348">
        <v>4.52</v>
      </c>
      <c r="G76" s="348">
        <v>2.26</v>
      </c>
      <c r="H76" s="348">
        <v>1.7</v>
      </c>
      <c r="I76" s="348">
        <v>0.06</v>
      </c>
      <c r="J76" s="348">
        <v>0.17</v>
      </c>
      <c r="K76" s="348">
        <v>3.39</v>
      </c>
      <c r="L76" s="348"/>
      <c r="M76" s="348">
        <f t="shared" si="23"/>
        <v>1.43808</v>
      </c>
      <c r="N76" s="348">
        <f>(SUM('工资福利（公务员、参公人员）'!R76:T76)+SUM('工资福利（事业）'!V76:X76,'工资福利（事业）'!AB76))*0.16</f>
        <v>0.5376</v>
      </c>
      <c r="O76" s="348">
        <f>(SUM('工资福利（公务员、参公人员）'!R76:S76)+SUM('工资福利（事业）'!V76:X76,'工资福利（事业）'!AB76))*0.08</f>
        <v>0.2688</v>
      </c>
      <c r="P76" s="348">
        <f>(SUM('工资福利（公务员、参公人员）'!R76:S76)+SUM('工资福利（事业）'!V76:X76,'工资福利（事业）'!AB76))*0.06</f>
        <v>0.2016</v>
      </c>
      <c r="Q76" s="348">
        <f>(SUM('工资福利（公务员、参公人员）'!R76:S76)+SUM('工资福利（事业）'!V76:X76,'工资福利（事业）'!AB76))*0.002</f>
        <v>0.00672</v>
      </c>
      <c r="R76" s="348">
        <f>(SUM('工资福利（公务员、参公人员）'!R76:S76)+SUM('工资福利（事业）'!V76:X76,'工资福利（事业）'!AB76))*0.006</f>
        <v>0.02016</v>
      </c>
      <c r="S76" s="348">
        <f>(SUM('工资福利（公务员、参公人员）'!R76:S76)+SUM('工资福利（事业）'!V76:X76,'工资福利（事业）'!AB76))*0.12</f>
        <v>0.4032</v>
      </c>
      <c r="T76" s="348"/>
      <c r="U76" s="348">
        <f t="shared" si="24"/>
        <v>13.53808</v>
      </c>
      <c r="V76" s="348">
        <f t="shared" si="25"/>
        <v>5.0576</v>
      </c>
      <c r="W76" s="348">
        <f t="shared" si="26"/>
        <v>2.5288</v>
      </c>
      <c r="X76" s="348">
        <f t="shared" si="27"/>
        <v>1.9016</v>
      </c>
      <c r="Y76" s="348">
        <f t="shared" si="28"/>
        <v>0.06672</v>
      </c>
      <c r="Z76" s="348">
        <f t="shared" si="29"/>
        <v>0.19016</v>
      </c>
      <c r="AA76" s="348">
        <f t="shared" si="30"/>
        <v>3.7932</v>
      </c>
      <c r="AB76" s="348">
        <f t="shared" si="31"/>
        <v>0</v>
      </c>
      <c r="AC76" s="350"/>
    </row>
    <row r="77" ht="24" spans="1:29">
      <c r="A77" s="284" t="s">
        <v>221</v>
      </c>
      <c r="B77" s="284" t="s">
        <v>199</v>
      </c>
      <c r="C77" s="284" t="s">
        <v>276</v>
      </c>
      <c r="D77" s="284" t="s">
        <v>213</v>
      </c>
      <c r="E77" s="348">
        <f t="shared" si="22"/>
        <v>10.58</v>
      </c>
      <c r="F77" s="348">
        <v>3.95</v>
      </c>
      <c r="G77" s="348">
        <v>1.98</v>
      </c>
      <c r="H77" s="348">
        <v>1.48</v>
      </c>
      <c r="I77" s="348">
        <v>0.05</v>
      </c>
      <c r="J77" s="348">
        <v>0.15</v>
      </c>
      <c r="K77" s="348">
        <v>2.97</v>
      </c>
      <c r="L77" s="348"/>
      <c r="M77" s="348">
        <f t="shared" si="23"/>
        <v>2.96604</v>
      </c>
      <c r="N77" s="348">
        <f>(SUM('工资福利（公务员、参公人员）'!R77:T77)+SUM('工资福利（事业）'!V77:X77,'工资福利（事业）'!AB77))*0.16</f>
        <v>1.1088</v>
      </c>
      <c r="O77" s="348">
        <f>(SUM('工资福利（公务员、参公人员）'!R77:S77)+SUM('工资福利（事业）'!V77:X77,'工资福利（事业）'!AB77))*0.08</f>
        <v>0.5544</v>
      </c>
      <c r="P77" s="348">
        <f>(SUM('工资福利（公务员、参公人员）'!R77:S77)+SUM('工资福利（事业）'!V77:X77,'工资福利（事业）'!AB77))*0.06</f>
        <v>0.4158</v>
      </c>
      <c r="Q77" s="348">
        <f>(SUM('工资福利（公务员、参公人员）'!R77:S77)+SUM('工资福利（事业）'!V77:X77,'工资福利（事业）'!AB77))*0.002</f>
        <v>0.01386</v>
      </c>
      <c r="R77" s="348">
        <f>(SUM('工资福利（公务员、参公人员）'!R77:S77)+SUM('工资福利（事业）'!V77:X77,'工资福利（事业）'!AB77))*0.006</f>
        <v>0.04158</v>
      </c>
      <c r="S77" s="348">
        <f>(SUM('工资福利（公务员、参公人员）'!R77:S77)+SUM('工资福利（事业）'!V77:X77,'工资福利（事业）'!AB77))*0.12</f>
        <v>0.8316</v>
      </c>
      <c r="T77" s="348"/>
      <c r="U77" s="348">
        <f t="shared" si="24"/>
        <v>13.54604</v>
      </c>
      <c r="V77" s="348">
        <f t="shared" si="25"/>
        <v>5.0588</v>
      </c>
      <c r="W77" s="348">
        <f t="shared" si="26"/>
        <v>2.5344</v>
      </c>
      <c r="X77" s="348">
        <f t="shared" si="27"/>
        <v>1.8958</v>
      </c>
      <c r="Y77" s="348">
        <f t="shared" si="28"/>
        <v>0.06386</v>
      </c>
      <c r="Z77" s="348">
        <f t="shared" si="29"/>
        <v>0.19158</v>
      </c>
      <c r="AA77" s="348">
        <f t="shared" si="30"/>
        <v>3.8016</v>
      </c>
      <c r="AB77" s="348">
        <f t="shared" si="31"/>
        <v>0</v>
      </c>
      <c r="AC77" s="350"/>
    </row>
    <row r="78" ht="24" spans="1:29">
      <c r="A78" s="284" t="s">
        <v>221</v>
      </c>
      <c r="B78" s="284" t="s">
        <v>199</v>
      </c>
      <c r="C78" s="284" t="s">
        <v>277</v>
      </c>
      <c r="D78" s="284" t="s">
        <v>213</v>
      </c>
      <c r="E78" s="348">
        <f t="shared" si="22"/>
        <v>53.22</v>
      </c>
      <c r="F78" s="348">
        <v>19.89</v>
      </c>
      <c r="G78" s="348">
        <v>9.95</v>
      </c>
      <c r="H78" s="348">
        <v>7.46</v>
      </c>
      <c r="I78" s="348">
        <v>0.25</v>
      </c>
      <c r="J78" s="348">
        <v>0.75</v>
      </c>
      <c r="K78" s="348">
        <v>14.92</v>
      </c>
      <c r="L78" s="348"/>
      <c r="M78" s="348">
        <f t="shared" si="23"/>
        <v>1.83612</v>
      </c>
      <c r="N78" s="348">
        <f>(SUM('工资福利（公务员、参公人员）'!R78:T78)+SUM('工资福利（事业）'!V78:X78,'工资福利（事业）'!AB78))*0.16</f>
        <v>0.6864</v>
      </c>
      <c r="O78" s="348">
        <f>(SUM('工资福利（公务员、参公人员）'!R78:S78)+SUM('工资福利（事业）'!V78:X78,'工资福利（事业）'!AB78))*0.08</f>
        <v>0.3432</v>
      </c>
      <c r="P78" s="348">
        <f>(SUM('工资福利（公务员、参公人员）'!R78:S78)+SUM('工资福利（事业）'!V78:X78,'工资福利（事业）'!AB78))*0.06</f>
        <v>0.2574</v>
      </c>
      <c r="Q78" s="348">
        <f>(SUM('工资福利（公务员、参公人员）'!R78:S78)+SUM('工资福利（事业）'!V78:X78,'工资福利（事业）'!AB78))*0.002</f>
        <v>0.00858</v>
      </c>
      <c r="R78" s="348">
        <f>(SUM('工资福利（公务员、参公人员）'!R78:S78)+SUM('工资福利（事业）'!V78:X78,'工资福利（事业）'!AB78))*0.006</f>
        <v>0.02574</v>
      </c>
      <c r="S78" s="348">
        <f>(SUM('工资福利（公务员、参公人员）'!R78:S78)+SUM('工资福利（事业）'!V78:X78,'工资福利（事业）'!AB78))*0.12</f>
        <v>0.5148</v>
      </c>
      <c r="T78" s="348"/>
      <c r="U78" s="348">
        <f t="shared" si="24"/>
        <v>55.05612</v>
      </c>
      <c r="V78" s="348">
        <f t="shared" si="25"/>
        <v>20.5764</v>
      </c>
      <c r="W78" s="348">
        <f t="shared" si="26"/>
        <v>10.2932</v>
      </c>
      <c r="X78" s="348">
        <f t="shared" si="27"/>
        <v>7.7174</v>
      </c>
      <c r="Y78" s="348">
        <f t="shared" si="28"/>
        <v>0.25858</v>
      </c>
      <c r="Z78" s="348">
        <f t="shared" si="29"/>
        <v>0.77574</v>
      </c>
      <c r="AA78" s="348">
        <f t="shared" si="30"/>
        <v>15.4348</v>
      </c>
      <c r="AB78" s="348">
        <f t="shared" si="31"/>
        <v>0</v>
      </c>
      <c r="AC78" s="350"/>
    </row>
    <row r="79" ht="24" spans="1:29">
      <c r="A79" s="284" t="s">
        <v>221</v>
      </c>
      <c r="B79" s="284" t="s">
        <v>196</v>
      </c>
      <c r="C79" s="284" t="s">
        <v>278</v>
      </c>
      <c r="D79" s="284" t="s">
        <v>207</v>
      </c>
      <c r="E79" s="348">
        <f t="shared" si="22"/>
        <v>57.95</v>
      </c>
      <c r="F79" s="348">
        <v>22.3</v>
      </c>
      <c r="G79" s="348">
        <v>10.64</v>
      </c>
      <c r="H79" s="348">
        <v>7.98</v>
      </c>
      <c r="I79" s="348">
        <v>0.27</v>
      </c>
      <c r="J79" s="348">
        <v>0.8</v>
      </c>
      <c r="K79" s="348">
        <v>15.96</v>
      </c>
      <c r="L79" s="348"/>
      <c r="M79" s="348">
        <f t="shared" si="23"/>
        <v>3.97916</v>
      </c>
      <c r="N79" s="348">
        <f>(SUM('工资福利（公务员、参公人员）'!R79:T79)+SUM('工资福利（事业）'!V79:X79,'工资福利（事业）'!AB79))*0.16</f>
        <v>1.5216</v>
      </c>
      <c r="O79" s="348">
        <f>(SUM('工资福利（公务员、参公人员）'!R79:S79)+SUM('工资福利（事业）'!V79:X79,'工资福利（事业）'!AB79))*0.08</f>
        <v>0.7336</v>
      </c>
      <c r="P79" s="348">
        <f>(SUM('工资福利（公务员、参公人员）'!R79:S79)+SUM('工资福利（事业）'!V79:X79,'工资福利（事业）'!AB79))*0.06</f>
        <v>0.5502</v>
      </c>
      <c r="Q79" s="348">
        <f>(SUM('工资福利（公务员、参公人员）'!R79:S79)+SUM('工资福利（事业）'!V79:X79,'工资福利（事业）'!AB79))*0.002</f>
        <v>0.01834</v>
      </c>
      <c r="R79" s="348">
        <f>(SUM('工资福利（公务员、参公人员）'!R79:S79)+SUM('工资福利（事业）'!V79:X79,'工资福利（事业）'!AB79))*0.006</f>
        <v>0.05502</v>
      </c>
      <c r="S79" s="348">
        <f>(SUM('工资福利（公务员、参公人员）'!R79:S79)+SUM('工资福利（事业）'!V79:X79,'工资福利（事业）'!AB79))*0.12</f>
        <v>1.1004</v>
      </c>
      <c r="T79" s="348"/>
      <c r="U79" s="348">
        <f t="shared" si="24"/>
        <v>61.92916</v>
      </c>
      <c r="V79" s="348">
        <f t="shared" si="25"/>
        <v>23.8216</v>
      </c>
      <c r="W79" s="348">
        <f t="shared" si="26"/>
        <v>11.3736</v>
      </c>
      <c r="X79" s="348">
        <f t="shared" si="27"/>
        <v>8.5302</v>
      </c>
      <c r="Y79" s="348">
        <f t="shared" si="28"/>
        <v>0.28834</v>
      </c>
      <c r="Z79" s="348">
        <f t="shared" si="29"/>
        <v>0.85502</v>
      </c>
      <c r="AA79" s="348">
        <f t="shared" si="30"/>
        <v>17.0604</v>
      </c>
      <c r="AB79" s="348">
        <f t="shared" si="31"/>
        <v>0</v>
      </c>
      <c r="AC79" s="350"/>
    </row>
    <row r="80" ht="24" spans="1:29">
      <c r="A80" s="284" t="s">
        <v>221</v>
      </c>
      <c r="B80" s="284" t="s">
        <v>199</v>
      </c>
      <c r="C80" s="284" t="s">
        <v>279</v>
      </c>
      <c r="D80" s="284" t="s">
        <v>213</v>
      </c>
      <c r="E80" s="348">
        <f t="shared" si="22"/>
        <v>14.41</v>
      </c>
      <c r="F80" s="348">
        <v>5.39</v>
      </c>
      <c r="G80" s="348">
        <v>2.69</v>
      </c>
      <c r="H80" s="348">
        <v>2.02</v>
      </c>
      <c r="I80" s="348">
        <v>0.07</v>
      </c>
      <c r="J80" s="348">
        <v>0.2</v>
      </c>
      <c r="K80" s="348">
        <v>4.04</v>
      </c>
      <c r="L80" s="348"/>
      <c r="M80" s="348">
        <f t="shared" si="23"/>
        <v>3.54812</v>
      </c>
      <c r="N80" s="348">
        <f>(SUM('工资福利（公务员、参公人员）'!R80:T80)+SUM('工资福利（事业）'!V80:X80,'工资福利（事业）'!AB80))*0.16</f>
        <v>1.3264</v>
      </c>
      <c r="O80" s="348">
        <f>(SUM('工资福利（公务员、参公人员）'!R80:S80)+SUM('工资福利（事业）'!V80:X80,'工资福利（事业）'!AB80))*0.08</f>
        <v>0.6632</v>
      </c>
      <c r="P80" s="348">
        <f>(SUM('工资福利（公务员、参公人员）'!R80:S80)+SUM('工资福利（事业）'!V80:X80,'工资福利（事业）'!AB80))*0.06</f>
        <v>0.4974</v>
      </c>
      <c r="Q80" s="348">
        <f>(SUM('工资福利（公务员、参公人员）'!R80:S80)+SUM('工资福利（事业）'!V80:X80,'工资福利（事业）'!AB80))*0.002</f>
        <v>0.01658</v>
      </c>
      <c r="R80" s="348">
        <f>(SUM('工资福利（公务员、参公人员）'!R80:S80)+SUM('工资福利（事业）'!V80:X80,'工资福利（事业）'!AB80))*0.006</f>
        <v>0.04974</v>
      </c>
      <c r="S80" s="348">
        <f>(SUM('工资福利（公务员、参公人员）'!R80:S80)+SUM('工资福利（事业）'!V80:X80,'工资福利（事业）'!AB80))*0.12</f>
        <v>0.9948</v>
      </c>
      <c r="T80" s="348"/>
      <c r="U80" s="348">
        <f t="shared" si="24"/>
        <v>17.95812</v>
      </c>
      <c r="V80" s="348">
        <f t="shared" si="25"/>
        <v>6.7164</v>
      </c>
      <c r="W80" s="348">
        <f t="shared" si="26"/>
        <v>3.3532</v>
      </c>
      <c r="X80" s="348">
        <f t="shared" si="27"/>
        <v>2.5174</v>
      </c>
      <c r="Y80" s="348">
        <f t="shared" si="28"/>
        <v>0.08658</v>
      </c>
      <c r="Z80" s="348">
        <f t="shared" si="29"/>
        <v>0.24974</v>
      </c>
      <c r="AA80" s="348">
        <f t="shared" si="30"/>
        <v>5.0348</v>
      </c>
      <c r="AB80" s="348">
        <f t="shared" si="31"/>
        <v>0</v>
      </c>
      <c r="AC80" s="350"/>
    </row>
    <row r="81" ht="24" spans="1:29">
      <c r="A81" s="284" t="s">
        <v>221</v>
      </c>
      <c r="B81" s="284" t="s">
        <v>199</v>
      </c>
      <c r="C81" s="284" t="s">
        <v>280</v>
      </c>
      <c r="D81" s="284" t="s">
        <v>213</v>
      </c>
      <c r="E81" s="348">
        <f t="shared" si="22"/>
        <v>10.22</v>
      </c>
      <c r="F81" s="348">
        <v>3.82</v>
      </c>
      <c r="G81" s="348">
        <v>1.91</v>
      </c>
      <c r="H81" s="348">
        <v>1.43</v>
      </c>
      <c r="I81" s="348">
        <v>0.05</v>
      </c>
      <c r="J81" s="348">
        <v>0.14</v>
      </c>
      <c r="K81" s="348">
        <v>2.87</v>
      </c>
      <c r="L81" s="348"/>
      <c r="M81" s="348">
        <f t="shared" si="23"/>
        <v>3.4454</v>
      </c>
      <c r="N81" s="348">
        <f>(SUM('工资福利（公务员、参公人员）'!R81:T81)+SUM('工资福利（事业）'!V81:X81,'工资福利（事业）'!AB81))*0.16</f>
        <v>1.288</v>
      </c>
      <c r="O81" s="348">
        <f>(SUM('工资福利（公务员、参公人员）'!R81:S81)+SUM('工资福利（事业）'!V81:X81,'工资福利（事业）'!AB81))*0.08</f>
        <v>0.644</v>
      </c>
      <c r="P81" s="348">
        <f>(SUM('工资福利（公务员、参公人员）'!R81:S81)+SUM('工资福利（事业）'!V81:X81,'工资福利（事业）'!AB81))*0.06</f>
        <v>0.483</v>
      </c>
      <c r="Q81" s="348">
        <f>(SUM('工资福利（公务员、参公人员）'!R81:S81)+SUM('工资福利（事业）'!V81:X81,'工资福利（事业）'!AB81))*0.002</f>
        <v>0.0161</v>
      </c>
      <c r="R81" s="348">
        <f>(SUM('工资福利（公务员、参公人员）'!R81:S81)+SUM('工资福利（事业）'!V81:X81,'工资福利（事业）'!AB81))*0.006</f>
        <v>0.0483</v>
      </c>
      <c r="S81" s="348">
        <f>(SUM('工资福利（公务员、参公人员）'!R81:S81)+SUM('工资福利（事业）'!V81:X81,'工资福利（事业）'!AB81))*0.12</f>
        <v>0.966</v>
      </c>
      <c r="T81" s="348"/>
      <c r="U81" s="348">
        <f t="shared" si="24"/>
        <v>13.6654</v>
      </c>
      <c r="V81" s="348">
        <f t="shared" si="25"/>
        <v>5.108</v>
      </c>
      <c r="W81" s="348">
        <f t="shared" si="26"/>
        <v>2.554</v>
      </c>
      <c r="X81" s="348">
        <f t="shared" si="27"/>
        <v>1.913</v>
      </c>
      <c r="Y81" s="348">
        <f t="shared" si="28"/>
        <v>0.0661</v>
      </c>
      <c r="Z81" s="348">
        <f t="shared" si="29"/>
        <v>0.1883</v>
      </c>
      <c r="AA81" s="348">
        <f t="shared" si="30"/>
        <v>3.836</v>
      </c>
      <c r="AB81" s="348">
        <f t="shared" si="31"/>
        <v>0</v>
      </c>
      <c r="AC81" s="350"/>
    </row>
    <row r="82" ht="24" spans="1:29">
      <c r="A82" s="284" t="s">
        <v>221</v>
      </c>
      <c r="B82" s="284" t="s">
        <v>199</v>
      </c>
      <c r="C82" s="284" t="s">
        <v>281</v>
      </c>
      <c r="D82" s="284" t="s">
        <v>213</v>
      </c>
      <c r="E82" s="348">
        <f t="shared" si="22"/>
        <v>52.05</v>
      </c>
      <c r="F82" s="348">
        <v>19.46</v>
      </c>
      <c r="G82" s="348">
        <v>9.73</v>
      </c>
      <c r="H82" s="348">
        <v>7.3</v>
      </c>
      <c r="I82" s="348">
        <v>0.24</v>
      </c>
      <c r="J82" s="348">
        <v>0.73</v>
      </c>
      <c r="K82" s="348">
        <v>14.59</v>
      </c>
      <c r="L82" s="348"/>
      <c r="M82" s="348">
        <f t="shared" si="23"/>
        <v>1.86608</v>
      </c>
      <c r="N82" s="348">
        <f>(SUM('工资福利（公务员、参公人员）'!R82:T82)+SUM('工资福利（事业）'!V82:X82,'工资福利（事业）'!AB82))*0.16</f>
        <v>0.6976</v>
      </c>
      <c r="O82" s="348">
        <f>(SUM('工资福利（公务员、参公人员）'!R82:S82)+SUM('工资福利（事业）'!V82:X82,'工资福利（事业）'!AB82))*0.08</f>
        <v>0.3488</v>
      </c>
      <c r="P82" s="348">
        <f>(SUM('工资福利（公务员、参公人员）'!R82:S82)+SUM('工资福利（事业）'!V82:X82,'工资福利（事业）'!AB82))*0.06</f>
        <v>0.2616</v>
      </c>
      <c r="Q82" s="348">
        <f>(SUM('工资福利（公务员、参公人员）'!R82:S82)+SUM('工资福利（事业）'!V82:X82,'工资福利（事业）'!AB82))*0.002</f>
        <v>0.00872</v>
      </c>
      <c r="R82" s="348">
        <f>(SUM('工资福利（公务员、参公人员）'!R82:S82)+SUM('工资福利（事业）'!V82:X82,'工资福利（事业）'!AB82))*0.006</f>
        <v>0.02616</v>
      </c>
      <c r="S82" s="348">
        <f>(SUM('工资福利（公务员、参公人员）'!R82:S82)+SUM('工资福利（事业）'!V82:X82,'工资福利（事业）'!AB82))*0.12</f>
        <v>0.5232</v>
      </c>
      <c r="T82" s="348"/>
      <c r="U82" s="348">
        <f t="shared" si="24"/>
        <v>53.91608</v>
      </c>
      <c r="V82" s="348">
        <f t="shared" si="25"/>
        <v>20.1576</v>
      </c>
      <c r="W82" s="348">
        <f t="shared" si="26"/>
        <v>10.0788</v>
      </c>
      <c r="X82" s="348">
        <f t="shared" si="27"/>
        <v>7.5616</v>
      </c>
      <c r="Y82" s="348">
        <f t="shared" si="28"/>
        <v>0.24872</v>
      </c>
      <c r="Z82" s="348">
        <f t="shared" si="29"/>
        <v>0.75616</v>
      </c>
      <c r="AA82" s="348">
        <f t="shared" si="30"/>
        <v>15.1132</v>
      </c>
      <c r="AB82" s="348">
        <f t="shared" si="31"/>
        <v>0</v>
      </c>
      <c r="AC82" s="350"/>
    </row>
    <row r="83" ht="24" spans="1:29">
      <c r="A83" s="284" t="s">
        <v>221</v>
      </c>
      <c r="B83" s="284" t="s">
        <v>196</v>
      </c>
      <c r="C83" s="284" t="s">
        <v>282</v>
      </c>
      <c r="D83" s="284" t="s">
        <v>207</v>
      </c>
      <c r="E83" s="348">
        <f t="shared" si="22"/>
        <v>55.02</v>
      </c>
      <c r="F83" s="348">
        <v>21.17</v>
      </c>
      <c r="G83" s="348">
        <v>10.1</v>
      </c>
      <c r="H83" s="348">
        <v>7.58</v>
      </c>
      <c r="I83" s="348">
        <v>0.25</v>
      </c>
      <c r="J83" s="348">
        <v>0.76</v>
      </c>
      <c r="K83" s="348">
        <v>15.16</v>
      </c>
      <c r="L83" s="348"/>
      <c r="M83" s="348">
        <f t="shared" si="23"/>
        <v>-1.89848</v>
      </c>
      <c r="N83" s="348">
        <f>(SUM('工资福利（公务员、参公人员）'!R83:T83)+SUM('工资福利（事业）'!V83:X83,'工资福利（事业）'!AB83))*0.16</f>
        <v>-0.7568</v>
      </c>
      <c r="O83" s="348">
        <f>(SUM('工资福利（公务员、参公人员）'!R83:S83)+SUM('工资福利（事业）'!V83:X83,'工资福利（事业）'!AB83))*0.08</f>
        <v>-0.3408</v>
      </c>
      <c r="P83" s="348">
        <f>(SUM('工资福利（公务员、参公人员）'!R83:S83)+SUM('工资福利（事业）'!V83:X83,'工资福利（事业）'!AB83))*0.06</f>
        <v>-0.2556</v>
      </c>
      <c r="Q83" s="348">
        <f>(SUM('工资福利（公务员、参公人员）'!R83:S83)+SUM('工资福利（事业）'!V83:X83,'工资福利（事业）'!AB83))*0.002</f>
        <v>-0.00852</v>
      </c>
      <c r="R83" s="348">
        <f>(SUM('工资福利（公务员、参公人员）'!R83:S83)+SUM('工资福利（事业）'!V83:X83,'工资福利（事业）'!AB83))*0.006</f>
        <v>-0.02556</v>
      </c>
      <c r="S83" s="348">
        <f>(SUM('工资福利（公务员、参公人员）'!R83:S83)+SUM('工资福利（事业）'!V83:X83,'工资福利（事业）'!AB83))*0.12</f>
        <v>-0.5112</v>
      </c>
      <c r="T83" s="348"/>
      <c r="U83" s="348">
        <f t="shared" si="24"/>
        <v>53.12152</v>
      </c>
      <c r="V83" s="348">
        <f t="shared" si="25"/>
        <v>20.4132</v>
      </c>
      <c r="W83" s="348">
        <f t="shared" si="26"/>
        <v>9.7592</v>
      </c>
      <c r="X83" s="348">
        <f t="shared" si="27"/>
        <v>7.3244</v>
      </c>
      <c r="Y83" s="348">
        <f t="shared" si="28"/>
        <v>0.24148</v>
      </c>
      <c r="Z83" s="348">
        <f t="shared" si="29"/>
        <v>0.73444</v>
      </c>
      <c r="AA83" s="348">
        <f t="shared" si="30"/>
        <v>14.6488</v>
      </c>
      <c r="AB83" s="348">
        <f t="shared" si="31"/>
        <v>0</v>
      </c>
      <c r="AC83" s="350"/>
    </row>
    <row r="84" ht="24" spans="1:29">
      <c r="A84" s="284" t="s">
        <v>221</v>
      </c>
      <c r="B84" s="284" t="s">
        <v>199</v>
      </c>
      <c r="C84" s="284" t="s">
        <v>283</v>
      </c>
      <c r="D84" s="284" t="s">
        <v>213</v>
      </c>
      <c r="E84" s="348">
        <f t="shared" si="22"/>
        <v>13.84</v>
      </c>
      <c r="F84" s="348">
        <v>5.18</v>
      </c>
      <c r="G84" s="348">
        <v>2.59</v>
      </c>
      <c r="H84" s="348">
        <v>1.94</v>
      </c>
      <c r="I84" s="348">
        <v>0.06</v>
      </c>
      <c r="J84" s="348">
        <v>0.19</v>
      </c>
      <c r="K84" s="348">
        <v>3.88</v>
      </c>
      <c r="L84" s="348"/>
      <c r="M84" s="348">
        <f t="shared" si="23"/>
        <v>-2.70924</v>
      </c>
      <c r="N84" s="348">
        <f>(SUM('工资福利（公务员、参公人员）'!R84:T84)+SUM('工资福利（事业）'!V84:X84,'工资福利（事业）'!AB84))*0.16</f>
        <v>-1.0128</v>
      </c>
      <c r="O84" s="348">
        <f>(SUM('工资福利（公务员、参公人员）'!R84:S84)+SUM('工资福利（事业）'!V84:X84,'工资福利（事业）'!AB84))*0.08</f>
        <v>-0.5064</v>
      </c>
      <c r="P84" s="348">
        <f>(SUM('工资福利（公务员、参公人员）'!R84:S84)+SUM('工资福利（事业）'!V84:X84,'工资福利（事业）'!AB84))*0.06</f>
        <v>-0.3798</v>
      </c>
      <c r="Q84" s="348">
        <f>(SUM('工资福利（公务员、参公人员）'!R84:S84)+SUM('工资福利（事业）'!V84:X84,'工资福利（事业）'!AB84))*0.002</f>
        <v>-0.01266</v>
      </c>
      <c r="R84" s="348">
        <f>(SUM('工资福利（公务员、参公人员）'!R84:S84)+SUM('工资福利（事业）'!V84:X84,'工资福利（事业）'!AB84))*0.006</f>
        <v>-0.03798</v>
      </c>
      <c r="S84" s="348">
        <f>(SUM('工资福利（公务员、参公人员）'!R84:S84)+SUM('工资福利（事业）'!V84:X84,'工资福利（事业）'!AB84))*0.12</f>
        <v>-0.7596</v>
      </c>
      <c r="T84" s="348"/>
      <c r="U84" s="348">
        <f t="shared" si="24"/>
        <v>11.13076</v>
      </c>
      <c r="V84" s="348">
        <f t="shared" si="25"/>
        <v>4.1672</v>
      </c>
      <c r="W84" s="348">
        <f t="shared" si="26"/>
        <v>2.0836</v>
      </c>
      <c r="X84" s="348">
        <f t="shared" si="27"/>
        <v>1.5602</v>
      </c>
      <c r="Y84" s="348">
        <f t="shared" si="28"/>
        <v>0.04734</v>
      </c>
      <c r="Z84" s="348">
        <f t="shared" si="29"/>
        <v>0.15202</v>
      </c>
      <c r="AA84" s="348">
        <f t="shared" si="30"/>
        <v>3.1204</v>
      </c>
      <c r="AB84" s="348">
        <f t="shared" si="31"/>
        <v>0</v>
      </c>
      <c r="AC84" s="350"/>
    </row>
    <row r="85" ht="24" spans="1:29">
      <c r="A85" s="284" t="s">
        <v>221</v>
      </c>
      <c r="B85" s="284" t="s">
        <v>199</v>
      </c>
      <c r="C85" s="284" t="s">
        <v>284</v>
      </c>
      <c r="D85" s="284" t="s">
        <v>213</v>
      </c>
      <c r="E85" s="348">
        <f t="shared" si="22"/>
        <v>10.7</v>
      </c>
      <c r="F85" s="348">
        <v>4</v>
      </c>
      <c r="G85" s="348">
        <v>2</v>
      </c>
      <c r="H85" s="348">
        <v>1.5</v>
      </c>
      <c r="I85" s="348">
        <v>0.05</v>
      </c>
      <c r="J85" s="348">
        <v>0.15</v>
      </c>
      <c r="K85" s="348">
        <v>3</v>
      </c>
      <c r="L85" s="348"/>
      <c r="M85" s="348">
        <f t="shared" si="23"/>
        <v>4.85352</v>
      </c>
      <c r="N85" s="348">
        <f>(SUM('工资福利（公务员、参公人员）'!R85:T85)+SUM('工资福利（事业）'!V85:X85,'工资福利（事业）'!AB85))*0.16</f>
        <v>1.8144</v>
      </c>
      <c r="O85" s="348">
        <f>(SUM('工资福利（公务员、参公人员）'!R85:S85)+SUM('工资福利（事业）'!V85:X85,'工资福利（事业）'!AB85))*0.08</f>
        <v>0.9072</v>
      </c>
      <c r="P85" s="348">
        <f>(SUM('工资福利（公务员、参公人员）'!R85:S85)+SUM('工资福利（事业）'!V85:X85,'工资福利（事业）'!AB85))*0.06</f>
        <v>0.6804</v>
      </c>
      <c r="Q85" s="348">
        <f>(SUM('工资福利（公务员、参公人员）'!R85:S85)+SUM('工资福利（事业）'!V85:X85,'工资福利（事业）'!AB85))*0.002</f>
        <v>0.02268</v>
      </c>
      <c r="R85" s="348">
        <f>(SUM('工资福利（公务员、参公人员）'!R85:S85)+SUM('工资福利（事业）'!V85:X85,'工资福利（事业）'!AB85))*0.006</f>
        <v>0.06804</v>
      </c>
      <c r="S85" s="348">
        <f>(SUM('工资福利（公务员、参公人员）'!R85:S85)+SUM('工资福利（事业）'!V85:X85,'工资福利（事业）'!AB85))*0.12</f>
        <v>1.3608</v>
      </c>
      <c r="T85" s="348"/>
      <c r="U85" s="348">
        <f t="shared" si="24"/>
        <v>15.55352</v>
      </c>
      <c r="V85" s="348">
        <f t="shared" si="25"/>
        <v>5.8144</v>
      </c>
      <c r="W85" s="348">
        <f t="shared" si="26"/>
        <v>2.9072</v>
      </c>
      <c r="X85" s="348">
        <f t="shared" si="27"/>
        <v>2.1804</v>
      </c>
      <c r="Y85" s="348">
        <f t="shared" si="28"/>
        <v>0.07268</v>
      </c>
      <c r="Z85" s="348">
        <f t="shared" si="29"/>
        <v>0.21804</v>
      </c>
      <c r="AA85" s="348">
        <f t="shared" si="30"/>
        <v>4.3608</v>
      </c>
      <c r="AB85" s="348">
        <f t="shared" si="31"/>
        <v>0</v>
      </c>
      <c r="AC85" s="350"/>
    </row>
    <row r="86" ht="24" spans="1:29">
      <c r="A86" s="284" t="s">
        <v>221</v>
      </c>
      <c r="B86" s="284" t="s">
        <v>199</v>
      </c>
      <c r="C86" s="284" t="s">
        <v>285</v>
      </c>
      <c r="D86" s="284" t="s">
        <v>213</v>
      </c>
      <c r="E86" s="348">
        <f t="shared" si="22"/>
        <v>32.68</v>
      </c>
      <c r="F86" s="348">
        <v>12.22</v>
      </c>
      <c r="G86" s="348">
        <v>6.11</v>
      </c>
      <c r="H86" s="348">
        <v>4.58</v>
      </c>
      <c r="I86" s="348">
        <v>0.15</v>
      </c>
      <c r="J86" s="348">
        <v>0.46</v>
      </c>
      <c r="K86" s="348">
        <v>9.16</v>
      </c>
      <c r="L86" s="348"/>
      <c r="M86" s="348">
        <f t="shared" si="23"/>
        <v>5.63676</v>
      </c>
      <c r="N86" s="348">
        <f>(SUM('工资福利（公务员、参公人员）'!R86:T86)+SUM('工资福利（事业）'!V86:X86,'工资福利（事业）'!AB86))*0.16</f>
        <v>2.1072</v>
      </c>
      <c r="O86" s="348">
        <f>(SUM('工资福利（公务员、参公人员）'!R86:S86)+SUM('工资福利（事业）'!V86:X86,'工资福利（事业）'!AB86))*0.08</f>
        <v>1.0536</v>
      </c>
      <c r="P86" s="348">
        <f>(SUM('工资福利（公务员、参公人员）'!R86:S86)+SUM('工资福利（事业）'!V86:X86,'工资福利（事业）'!AB86))*0.06</f>
        <v>0.7902</v>
      </c>
      <c r="Q86" s="348">
        <f>(SUM('工资福利（公务员、参公人员）'!R86:S86)+SUM('工资福利（事业）'!V86:X86,'工资福利（事业）'!AB86))*0.002</f>
        <v>0.02634</v>
      </c>
      <c r="R86" s="348">
        <f>(SUM('工资福利（公务员、参公人员）'!R86:S86)+SUM('工资福利（事业）'!V86:X86,'工资福利（事业）'!AB86))*0.006</f>
        <v>0.07902</v>
      </c>
      <c r="S86" s="348">
        <f>(SUM('工资福利（公务员、参公人员）'!R86:S86)+SUM('工资福利（事业）'!V86:X86,'工资福利（事业）'!AB86))*0.12</f>
        <v>1.5804</v>
      </c>
      <c r="T86" s="348"/>
      <c r="U86" s="348">
        <f t="shared" si="24"/>
        <v>38.31676</v>
      </c>
      <c r="V86" s="348">
        <f t="shared" si="25"/>
        <v>14.3272</v>
      </c>
      <c r="W86" s="348">
        <f t="shared" si="26"/>
        <v>7.1636</v>
      </c>
      <c r="X86" s="348">
        <f t="shared" si="27"/>
        <v>5.3702</v>
      </c>
      <c r="Y86" s="348">
        <f t="shared" si="28"/>
        <v>0.17634</v>
      </c>
      <c r="Z86" s="348">
        <f t="shared" si="29"/>
        <v>0.53902</v>
      </c>
      <c r="AA86" s="348">
        <f t="shared" si="30"/>
        <v>10.7404</v>
      </c>
      <c r="AB86" s="348">
        <f t="shared" si="31"/>
        <v>0</v>
      </c>
      <c r="AC86" s="350"/>
    </row>
    <row r="87" ht="24" spans="1:29">
      <c r="A87" s="284" t="s">
        <v>221</v>
      </c>
      <c r="B87" s="284" t="s">
        <v>196</v>
      </c>
      <c r="C87" s="284" t="s">
        <v>286</v>
      </c>
      <c r="D87" s="284" t="s">
        <v>207</v>
      </c>
      <c r="E87" s="348">
        <f t="shared" si="22"/>
        <v>32.2</v>
      </c>
      <c r="F87" s="348">
        <v>12.38</v>
      </c>
      <c r="G87" s="348">
        <v>5.92</v>
      </c>
      <c r="H87" s="348">
        <v>4.44</v>
      </c>
      <c r="I87" s="348">
        <v>0.15</v>
      </c>
      <c r="J87" s="348">
        <v>0.44</v>
      </c>
      <c r="K87" s="348">
        <v>8.87</v>
      </c>
      <c r="L87" s="348"/>
      <c r="M87" s="348">
        <f t="shared" si="23"/>
        <v>4.97212</v>
      </c>
      <c r="N87" s="348">
        <f>(SUM('工资福利（公务员、参公人员）'!R87:T87)+SUM('工资福利（事业）'!V87:X87,'工资福利（事业）'!AB87))*0.16</f>
        <v>1.8928</v>
      </c>
      <c r="O87" s="348">
        <f>(SUM('工资福利（公务员、参公人员）'!R87:S87)+SUM('工资福利（事业）'!V87:X87,'工资福利（事业）'!AB87))*0.08</f>
        <v>0.9192</v>
      </c>
      <c r="P87" s="348">
        <f>(SUM('工资福利（公务员、参公人员）'!R87:S87)+SUM('工资福利（事业）'!V87:X87,'工资福利（事业）'!AB87))*0.06</f>
        <v>0.6894</v>
      </c>
      <c r="Q87" s="348">
        <f>(SUM('工资福利（公务员、参公人员）'!R87:S87)+SUM('工资福利（事业）'!V87:X87,'工资福利（事业）'!AB87))*0.002</f>
        <v>0.02298</v>
      </c>
      <c r="R87" s="348">
        <f>(SUM('工资福利（公务员、参公人员）'!R87:S87)+SUM('工资福利（事业）'!V87:X87,'工资福利（事业）'!AB87))*0.006</f>
        <v>0.06894</v>
      </c>
      <c r="S87" s="348">
        <f>(SUM('工资福利（公务员、参公人员）'!R87:S87)+SUM('工资福利（事业）'!V87:X87,'工资福利（事业）'!AB87))*0.12</f>
        <v>1.3788</v>
      </c>
      <c r="T87" s="348"/>
      <c r="U87" s="348">
        <f t="shared" si="24"/>
        <v>37.17212</v>
      </c>
      <c r="V87" s="348">
        <f t="shared" si="25"/>
        <v>14.2728</v>
      </c>
      <c r="W87" s="348">
        <f t="shared" si="26"/>
        <v>6.8392</v>
      </c>
      <c r="X87" s="348">
        <f t="shared" si="27"/>
        <v>5.1294</v>
      </c>
      <c r="Y87" s="348">
        <f t="shared" si="28"/>
        <v>0.17298</v>
      </c>
      <c r="Z87" s="348">
        <f t="shared" si="29"/>
        <v>0.50894</v>
      </c>
      <c r="AA87" s="348">
        <f t="shared" si="30"/>
        <v>10.2488</v>
      </c>
      <c r="AB87" s="348">
        <f t="shared" si="31"/>
        <v>0</v>
      </c>
      <c r="AC87" s="350"/>
    </row>
    <row r="88" ht="24" spans="1:29">
      <c r="A88" s="284" t="s">
        <v>221</v>
      </c>
      <c r="B88" s="284" t="s">
        <v>199</v>
      </c>
      <c r="C88" s="284" t="s">
        <v>287</v>
      </c>
      <c r="D88" s="284" t="s">
        <v>213</v>
      </c>
      <c r="E88" s="348">
        <f t="shared" si="22"/>
        <v>10.09</v>
      </c>
      <c r="F88" s="348">
        <v>3.77</v>
      </c>
      <c r="G88" s="348">
        <v>1.89</v>
      </c>
      <c r="H88" s="348">
        <v>1.41</v>
      </c>
      <c r="I88" s="348">
        <v>0.05</v>
      </c>
      <c r="J88" s="348">
        <v>0.14</v>
      </c>
      <c r="K88" s="348">
        <v>2.83</v>
      </c>
      <c r="L88" s="348"/>
      <c r="M88" s="348">
        <f t="shared" si="23"/>
        <v>-0.41302</v>
      </c>
      <c r="N88" s="348">
        <f>(SUM('工资福利（公务员、参公人员）'!R88:T88)+SUM('工资福利（事业）'!V88:X88,'工资福利（事业）'!AB88))*0.16</f>
        <v>-0.1544</v>
      </c>
      <c r="O88" s="348">
        <f>(SUM('工资福利（公务员、参公人员）'!R88:S88)+SUM('工资福利（事业）'!V88:X88,'工资福利（事业）'!AB88))*0.08</f>
        <v>-0.0772</v>
      </c>
      <c r="P88" s="348">
        <f>(SUM('工资福利（公务员、参公人员）'!R88:S88)+SUM('工资福利（事业）'!V88:X88,'工资福利（事业）'!AB88))*0.06</f>
        <v>-0.0579</v>
      </c>
      <c r="Q88" s="348">
        <f>(SUM('工资福利（公务员、参公人员）'!R88:S88)+SUM('工资福利（事业）'!V88:X88,'工资福利（事业）'!AB88))*0.002</f>
        <v>-0.00193</v>
      </c>
      <c r="R88" s="348">
        <f>(SUM('工资福利（公务员、参公人员）'!R88:S88)+SUM('工资福利（事业）'!V88:X88,'工资福利（事业）'!AB88))*0.006</f>
        <v>-0.00579</v>
      </c>
      <c r="S88" s="348">
        <f>(SUM('工资福利（公务员、参公人员）'!R88:S88)+SUM('工资福利（事业）'!V88:X88,'工资福利（事业）'!AB88))*0.12</f>
        <v>-0.1158</v>
      </c>
      <c r="T88" s="348"/>
      <c r="U88" s="348">
        <f t="shared" si="24"/>
        <v>9.67698</v>
      </c>
      <c r="V88" s="348">
        <f t="shared" si="25"/>
        <v>3.6156</v>
      </c>
      <c r="W88" s="348">
        <f t="shared" si="26"/>
        <v>1.8128</v>
      </c>
      <c r="X88" s="348">
        <f t="shared" si="27"/>
        <v>1.3521</v>
      </c>
      <c r="Y88" s="348">
        <f t="shared" si="28"/>
        <v>0.04807</v>
      </c>
      <c r="Z88" s="348">
        <f t="shared" si="29"/>
        <v>0.13421</v>
      </c>
      <c r="AA88" s="348">
        <f t="shared" si="30"/>
        <v>2.7142</v>
      </c>
      <c r="AB88" s="348">
        <f t="shared" si="31"/>
        <v>0</v>
      </c>
      <c r="AC88" s="350"/>
    </row>
    <row r="89" ht="24" spans="1:29">
      <c r="A89" s="284" t="s">
        <v>221</v>
      </c>
      <c r="B89" s="284" t="s">
        <v>199</v>
      </c>
      <c r="C89" s="284" t="s">
        <v>288</v>
      </c>
      <c r="D89" s="284" t="s">
        <v>213</v>
      </c>
      <c r="E89" s="348">
        <f t="shared" si="22"/>
        <v>10.32</v>
      </c>
      <c r="F89" s="348">
        <v>3.86</v>
      </c>
      <c r="G89" s="348">
        <v>1.93</v>
      </c>
      <c r="H89" s="348">
        <v>1.45</v>
      </c>
      <c r="I89" s="348">
        <v>0.05</v>
      </c>
      <c r="J89" s="348">
        <v>0.14</v>
      </c>
      <c r="K89" s="348">
        <v>2.89</v>
      </c>
      <c r="L89" s="348"/>
      <c r="M89" s="348">
        <f t="shared" si="23"/>
        <v>1.0878048</v>
      </c>
      <c r="N89" s="348">
        <f>(SUM('工资福利（公务员、参公人员）'!R89:T89)+SUM('工资福利（事业）'!V89:X89,'工资福利（事业）'!AB89))*0.16</f>
        <v>0.406656</v>
      </c>
      <c r="O89" s="348">
        <f>(SUM('工资福利（公务员、参公人员）'!R89:S89)+SUM('工资福利（事业）'!V89:X89,'工资福利（事业）'!AB89))*0.08</f>
        <v>0.203328</v>
      </c>
      <c r="P89" s="348">
        <f>(SUM('工资福利（公务员、参公人员）'!R89:S89)+SUM('工资福利（事业）'!V89:X89,'工资福利（事业）'!AB89))*0.06</f>
        <v>0.152496</v>
      </c>
      <c r="Q89" s="348">
        <f>(SUM('工资福利（公务员、参公人员）'!R89:S89)+SUM('工资福利（事业）'!V89:X89,'工资福利（事业）'!AB89))*0.002</f>
        <v>0.0050832</v>
      </c>
      <c r="R89" s="348">
        <f>(SUM('工资福利（公务员、参公人员）'!R89:S89)+SUM('工资福利（事业）'!V89:X89,'工资福利（事业）'!AB89))*0.006</f>
        <v>0.0152496</v>
      </c>
      <c r="S89" s="348">
        <f>(SUM('工资福利（公务员、参公人员）'!R89:S89)+SUM('工资福利（事业）'!V89:X89,'工资福利（事业）'!AB89))*0.12</f>
        <v>0.304992</v>
      </c>
      <c r="T89" s="348"/>
      <c r="U89" s="348">
        <f t="shared" si="24"/>
        <v>11.4078048</v>
      </c>
      <c r="V89" s="348">
        <f t="shared" si="25"/>
        <v>4.266656</v>
      </c>
      <c r="W89" s="348">
        <f t="shared" si="26"/>
        <v>2.133328</v>
      </c>
      <c r="X89" s="348">
        <f t="shared" si="27"/>
        <v>1.602496</v>
      </c>
      <c r="Y89" s="348">
        <f t="shared" si="28"/>
        <v>0.0550832</v>
      </c>
      <c r="Z89" s="348">
        <f t="shared" si="29"/>
        <v>0.1552496</v>
      </c>
      <c r="AA89" s="348">
        <f t="shared" si="30"/>
        <v>3.194992</v>
      </c>
      <c r="AB89" s="348">
        <f t="shared" si="31"/>
        <v>0</v>
      </c>
      <c r="AC89" s="350"/>
    </row>
    <row r="90" ht="24" spans="1:29">
      <c r="A90" s="284" t="s">
        <v>221</v>
      </c>
      <c r="B90" s="284" t="s">
        <v>199</v>
      </c>
      <c r="C90" s="284" t="s">
        <v>289</v>
      </c>
      <c r="D90" s="284" t="s">
        <v>213</v>
      </c>
      <c r="E90" s="348">
        <f t="shared" si="22"/>
        <v>22.79</v>
      </c>
      <c r="F90" s="348">
        <v>8.52</v>
      </c>
      <c r="G90" s="348">
        <v>4.26</v>
      </c>
      <c r="H90" s="348">
        <v>3.19</v>
      </c>
      <c r="I90" s="348">
        <v>0.11</v>
      </c>
      <c r="J90" s="348">
        <v>0.32</v>
      </c>
      <c r="K90" s="348">
        <v>6.39</v>
      </c>
      <c r="L90" s="348"/>
      <c r="M90" s="348">
        <f t="shared" si="23"/>
        <v>9.71988</v>
      </c>
      <c r="N90" s="348">
        <f>(SUM('工资福利（公务员、参公人员）'!R90:T90)+SUM('工资福利（事业）'!V90:X90,'工资福利（事业）'!AB90))*0.16</f>
        <v>3.6336</v>
      </c>
      <c r="O90" s="348">
        <f>(SUM('工资福利（公务员、参公人员）'!R90:S90)+SUM('工资福利（事业）'!V90:X90,'工资福利（事业）'!AB90))*0.08</f>
        <v>1.8168</v>
      </c>
      <c r="P90" s="348">
        <f>(SUM('工资福利（公务员、参公人员）'!R90:S90)+SUM('工资福利（事业）'!V90:X90,'工资福利（事业）'!AB90))*0.06</f>
        <v>1.3626</v>
      </c>
      <c r="Q90" s="348">
        <f>(SUM('工资福利（公务员、参公人员）'!R90:S90)+SUM('工资福利（事业）'!V90:X90,'工资福利（事业）'!AB90))*0.002</f>
        <v>0.04542</v>
      </c>
      <c r="R90" s="348">
        <f>(SUM('工资福利（公务员、参公人员）'!R90:S90)+SUM('工资福利（事业）'!V90:X90,'工资福利（事业）'!AB90))*0.006</f>
        <v>0.13626</v>
      </c>
      <c r="S90" s="348">
        <f>(SUM('工资福利（公务员、参公人员）'!R90:S90)+SUM('工资福利（事业）'!V90:X90,'工资福利（事业）'!AB90))*0.12</f>
        <v>2.7252</v>
      </c>
      <c r="T90" s="348"/>
      <c r="U90" s="348">
        <f t="shared" si="24"/>
        <v>32.50988</v>
      </c>
      <c r="V90" s="348">
        <f t="shared" si="25"/>
        <v>12.1536</v>
      </c>
      <c r="W90" s="348">
        <f t="shared" si="26"/>
        <v>6.0768</v>
      </c>
      <c r="X90" s="348">
        <f t="shared" si="27"/>
        <v>4.5526</v>
      </c>
      <c r="Y90" s="348">
        <f t="shared" si="28"/>
        <v>0.15542</v>
      </c>
      <c r="Z90" s="348">
        <f t="shared" si="29"/>
        <v>0.45626</v>
      </c>
      <c r="AA90" s="348">
        <f t="shared" si="30"/>
        <v>9.1152</v>
      </c>
      <c r="AB90" s="348">
        <f t="shared" si="31"/>
        <v>0</v>
      </c>
      <c r="AC90" s="350"/>
    </row>
    <row r="91" ht="24" spans="1:29">
      <c r="A91" s="284" t="s">
        <v>290</v>
      </c>
      <c r="B91" s="284" t="s">
        <v>196</v>
      </c>
      <c r="C91" s="284" t="s">
        <v>291</v>
      </c>
      <c r="D91" s="284" t="s">
        <v>292</v>
      </c>
      <c r="E91" s="348">
        <f t="shared" si="22"/>
        <v>64.19</v>
      </c>
      <c r="F91" s="348">
        <v>24.73</v>
      </c>
      <c r="G91" s="348">
        <v>11.78</v>
      </c>
      <c r="H91" s="348">
        <v>8.84</v>
      </c>
      <c r="I91" s="348">
        <v>0.29</v>
      </c>
      <c r="J91" s="348">
        <v>0.88</v>
      </c>
      <c r="K91" s="348">
        <v>17.67</v>
      </c>
      <c r="L91" s="348"/>
      <c r="M91" s="348">
        <f t="shared" si="23"/>
        <v>-1.40812</v>
      </c>
      <c r="N91" s="348">
        <f>(SUM('工资福利（公务员、参公人员）'!R91:T91)+SUM('工资福利（事业）'!V91:X91,'工资福利（事业）'!AB91))*0.16</f>
        <v>-0.5264</v>
      </c>
      <c r="O91" s="348">
        <f>(SUM('工资福利（公务员、参公人员）'!R91:S91)+SUM('工资福利（事业）'!V91:X91,'工资福利（事业）'!AB91))*0.08</f>
        <v>-0.2632</v>
      </c>
      <c r="P91" s="348">
        <f>(SUM('工资福利（公务员、参公人员）'!R91:S91)+SUM('工资福利（事业）'!V91:X91,'工资福利（事业）'!AB91))*0.06</f>
        <v>-0.1974</v>
      </c>
      <c r="Q91" s="348">
        <f>(SUM('工资福利（公务员、参公人员）'!R91:S91)+SUM('工资福利（事业）'!V91:X91,'工资福利（事业）'!AB91))*0.002</f>
        <v>-0.00658</v>
      </c>
      <c r="R91" s="348">
        <f>(SUM('工资福利（公务员、参公人员）'!R91:S91)+SUM('工资福利（事业）'!V91:X91,'工资福利（事业）'!AB91))*0.006</f>
        <v>-0.01974</v>
      </c>
      <c r="S91" s="348">
        <f>(SUM('工资福利（公务员、参公人员）'!R91:S91)+SUM('工资福利（事业）'!V91:X91,'工资福利（事业）'!AB91))*0.12</f>
        <v>-0.3948</v>
      </c>
      <c r="T91" s="348"/>
      <c r="U91" s="348">
        <f t="shared" si="24"/>
        <v>62.78188</v>
      </c>
      <c r="V91" s="348">
        <f t="shared" si="25"/>
        <v>24.2036</v>
      </c>
      <c r="W91" s="348">
        <f t="shared" si="26"/>
        <v>11.5168</v>
      </c>
      <c r="X91" s="348">
        <f t="shared" si="27"/>
        <v>8.6426</v>
      </c>
      <c r="Y91" s="348">
        <f t="shared" si="28"/>
        <v>0.28342</v>
      </c>
      <c r="Z91" s="348">
        <f t="shared" si="29"/>
        <v>0.86026</v>
      </c>
      <c r="AA91" s="348">
        <f t="shared" si="30"/>
        <v>17.2752</v>
      </c>
      <c r="AB91" s="348">
        <f t="shared" si="31"/>
        <v>0</v>
      </c>
      <c r="AC91" s="350"/>
    </row>
    <row r="92" ht="24" spans="1:29">
      <c r="A92" s="284" t="s">
        <v>290</v>
      </c>
      <c r="B92" s="284" t="s">
        <v>199</v>
      </c>
      <c r="C92" s="284" t="s">
        <v>293</v>
      </c>
      <c r="D92" s="284" t="s">
        <v>294</v>
      </c>
      <c r="E92" s="348">
        <f t="shared" si="22"/>
        <v>15</v>
      </c>
      <c r="F92" s="348">
        <v>5.61</v>
      </c>
      <c r="G92" s="348">
        <v>2.8</v>
      </c>
      <c r="H92" s="348">
        <v>2.1</v>
      </c>
      <c r="I92" s="348">
        <v>0.07</v>
      </c>
      <c r="J92" s="348">
        <v>0.21</v>
      </c>
      <c r="K92" s="348">
        <v>4.21</v>
      </c>
      <c r="L92" s="348"/>
      <c r="M92" s="348">
        <f t="shared" si="23"/>
        <v>2.9869264</v>
      </c>
      <c r="N92" s="348">
        <f>(SUM('工资福利（公务员、参公人员）'!R92:T92)+SUM('工资福利（事业）'!V92:X92,'工资福利（事业）'!AB92))*0.16</f>
        <v>1.116608</v>
      </c>
      <c r="O92" s="348">
        <f>(SUM('工资福利（公务员、参公人员）'!R92:S92)+SUM('工资福利（事业）'!V92:X92,'工资福利（事业）'!AB92))*0.08</f>
        <v>0.558304</v>
      </c>
      <c r="P92" s="348">
        <f>(SUM('工资福利（公务员、参公人员）'!R92:S92)+SUM('工资福利（事业）'!V92:X92,'工资福利（事业）'!AB92))*0.06</f>
        <v>0.418728</v>
      </c>
      <c r="Q92" s="348">
        <f>(SUM('工资福利（公务员、参公人员）'!R92:S92)+SUM('工资福利（事业）'!V92:X92,'工资福利（事业）'!AB92))*0.002</f>
        <v>0.0139576</v>
      </c>
      <c r="R92" s="348">
        <f>(SUM('工资福利（公务员、参公人员）'!R92:S92)+SUM('工资福利（事业）'!V92:X92,'工资福利（事业）'!AB92))*0.006</f>
        <v>0.0418728</v>
      </c>
      <c r="S92" s="348">
        <f>(SUM('工资福利（公务员、参公人员）'!R92:S92)+SUM('工资福利（事业）'!V92:X92,'工资福利（事业）'!AB92))*0.12</f>
        <v>0.837456</v>
      </c>
      <c r="T92" s="348"/>
      <c r="U92" s="348">
        <f t="shared" si="24"/>
        <v>17.9869264</v>
      </c>
      <c r="V92" s="348">
        <f t="shared" si="25"/>
        <v>6.726608</v>
      </c>
      <c r="W92" s="348">
        <f t="shared" si="26"/>
        <v>3.358304</v>
      </c>
      <c r="X92" s="348">
        <f t="shared" si="27"/>
        <v>2.518728</v>
      </c>
      <c r="Y92" s="348">
        <f t="shared" si="28"/>
        <v>0.0839576</v>
      </c>
      <c r="Z92" s="348">
        <f t="shared" si="29"/>
        <v>0.2518728</v>
      </c>
      <c r="AA92" s="348">
        <f t="shared" si="30"/>
        <v>5.047456</v>
      </c>
      <c r="AB92" s="348">
        <f t="shared" si="31"/>
        <v>0</v>
      </c>
      <c r="AC92" s="350"/>
    </row>
    <row r="93" ht="24" spans="1:29">
      <c r="A93" s="284" t="s">
        <v>290</v>
      </c>
      <c r="B93" s="284" t="s">
        <v>199</v>
      </c>
      <c r="C93" s="284" t="s">
        <v>295</v>
      </c>
      <c r="D93" s="284" t="s">
        <v>294</v>
      </c>
      <c r="E93" s="348">
        <f t="shared" si="22"/>
        <v>11.56</v>
      </c>
      <c r="F93" s="348">
        <v>4.33</v>
      </c>
      <c r="G93" s="348">
        <v>2.16</v>
      </c>
      <c r="H93" s="348">
        <v>1.62</v>
      </c>
      <c r="I93" s="348">
        <v>0.05</v>
      </c>
      <c r="J93" s="348">
        <v>0.16</v>
      </c>
      <c r="K93" s="348">
        <v>3.24</v>
      </c>
      <c r="L93" s="348"/>
      <c r="M93" s="348">
        <f t="shared" si="23"/>
        <v>0.138244</v>
      </c>
      <c r="N93" s="348">
        <f>(SUM('工资福利（公务员、参公人员）'!R93:T93)+SUM('工资福利（事业）'!V93:X93,'工资福利（事业）'!AB93))*0.16</f>
        <v>0.05168</v>
      </c>
      <c r="O93" s="348">
        <f>(SUM('工资福利（公务员、参公人员）'!R93:S93)+SUM('工资福利（事业）'!V93:X93,'工资福利（事业）'!AB93))*0.08</f>
        <v>0.02584</v>
      </c>
      <c r="P93" s="348">
        <f>(SUM('工资福利（公务员、参公人员）'!R93:S93)+SUM('工资福利（事业）'!V93:X93,'工资福利（事业）'!AB93))*0.06</f>
        <v>0.01938</v>
      </c>
      <c r="Q93" s="348">
        <f>(SUM('工资福利（公务员、参公人员）'!R93:S93)+SUM('工资福利（事业）'!V93:X93,'工资福利（事业）'!AB93))*0.002</f>
        <v>0.000646</v>
      </c>
      <c r="R93" s="348">
        <f>(SUM('工资福利（公务员、参公人员）'!R93:S93)+SUM('工资福利（事业）'!V93:X93,'工资福利（事业）'!AB93))*0.006</f>
        <v>0.001938</v>
      </c>
      <c r="S93" s="348">
        <f>(SUM('工资福利（公务员、参公人员）'!R93:S93)+SUM('工资福利（事业）'!V93:X93,'工资福利（事业）'!AB93))*0.12</f>
        <v>0.03876</v>
      </c>
      <c r="T93" s="348"/>
      <c r="U93" s="348">
        <f t="shared" si="24"/>
        <v>11.698244</v>
      </c>
      <c r="V93" s="348">
        <f t="shared" si="25"/>
        <v>4.38168</v>
      </c>
      <c r="W93" s="348">
        <f t="shared" si="26"/>
        <v>2.18584</v>
      </c>
      <c r="X93" s="348">
        <f t="shared" si="27"/>
        <v>1.63938</v>
      </c>
      <c r="Y93" s="348">
        <f t="shared" si="28"/>
        <v>0.050646</v>
      </c>
      <c r="Z93" s="348">
        <f t="shared" si="29"/>
        <v>0.161938</v>
      </c>
      <c r="AA93" s="348">
        <f t="shared" si="30"/>
        <v>3.27876</v>
      </c>
      <c r="AB93" s="348">
        <f t="shared" si="31"/>
        <v>0</v>
      </c>
      <c r="AC93" s="350"/>
    </row>
    <row r="94" ht="24" spans="1:29">
      <c r="A94" s="284" t="s">
        <v>290</v>
      </c>
      <c r="B94" s="284" t="s">
        <v>199</v>
      </c>
      <c r="C94" s="284" t="s">
        <v>296</v>
      </c>
      <c r="D94" s="284" t="s">
        <v>294</v>
      </c>
      <c r="E94" s="348">
        <f t="shared" si="22"/>
        <v>7.32</v>
      </c>
      <c r="F94" s="348">
        <v>2.74</v>
      </c>
      <c r="G94" s="348">
        <v>1.37</v>
      </c>
      <c r="H94" s="348">
        <v>1.03</v>
      </c>
      <c r="I94" s="348">
        <v>0.03</v>
      </c>
      <c r="J94" s="348">
        <v>0.1</v>
      </c>
      <c r="K94" s="348">
        <v>2.05</v>
      </c>
      <c r="L94" s="348"/>
      <c r="M94" s="348">
        <f t="shared" si="23"/>
        <v>0.43228</v>
      </c>
      <c r="N94" s="348">
        <f>(SUM('工资福利（公务员、参公人员）'!R94:T94)+SUM('工资福利（事业）'!V94:X94,'工资福利（事业）'!AB94))*0.16</f>
        <v>0.1616</v>
      </c>
      <c r="O94" s="348">
        <f>(SUM('工资福利（公务员、参公人员）'!R94:S94)+SUM('工资福利（事业）'!V94:X94,'工资福利（事业）'!AB94))*0.08</f>
        <v>0.0808</v>
      </c>
      <c r="P94" s="348">
        <f>(SUM('工资福利（公务员、参公人员）'!R94:S94)+SUM('工资福利（事业）'!V94:X94,'工资福利（事业）'!AB94))*0.06</f>
        <v>0.0606</v>
      </c>
      <c r="Q94" s="348">
        <f>(SUM('工资福利（公务员、参公人员）'!R94:S94)+SUM('工资福利（事业）'!V94:X94,'工资福利（事业）'!AB94))*0.002</f>
        <v>0.00202</v>
      </c>
      <c r="R94" s="348">
        <f>(SUM('工资福利（公务员、参公人员）'!R94:S94)+SUM('工资福利（事业）'!V94:X94,'工资福利（事业）'!AB94))*0.006</f>
        <v>0.00606</v>
      </c>
      <c r="S94" s="348">
        <f>(SUM('工资福利（公务员、参公人员）'!R94:S94)+SUM('工资福利（事业）'!V94:X94,'工资福利（事业）'!AB94))*0.12</f>
        <v>0.1212</v>
      </c>
      <c r="T94" s="348"/>
      <c r="U94" s="348">
        <f t="shared" si="24"/>
        <v>7.75228</v>
      </c>
      <c r="V94" s="348">
        <f t="shared" si="25"/>
        <v>2.9016</v>
      </c>
      <c r="W94" s="348">
        <f t="shared" si="26"/>
        <v>1.4508</v>
      </c>
      <c r="X94" s="348">
        <f t="shared" si="27"/>
        <v>1.0906</v>
      </c>
      <c r="Y94" s="348">
        <f t="shared" si="28"/>
        <v>0.03202</v>
      </c>
      <c r="Z94" s="348">
        <f t="shared" si="29"/>
        <v>0.10606</v>
      </c>
      <c r="AA94" s="348">
        <f t="shared" si="30"/>
        <v>2.1712</v>
      </c>
      <c r="AB94" s="348">
        <f t="shared" si="31"/>
        <v>0</v>
      </c>
      <c r="AC94" s="350"/>
    </row>
    <row r="95" ht="24" spans="1:29">
      <c r="A95" s="284" t="s">
        <v>290</v>
      </c>
      <c r="B95" s="284" t="s">
        <v>199</v>
      </c>
      <c r="C95" s="284" t="s">
        <v>297</v>
      </c>
      <c r="D95" s="284" t="s">
        <v>294</v>
      </c>
      <c r="E95" s="348">
        <f t="shared" si="22"/>
        <v>15.33</v>
      </c>
      <c r="F95" s="348">
        <v>5.73</v>
      </c>
      <c r="G95" s="348">
        <v>2.87</v>
      </c>
      <c r="H95" s="348">
        <v>2.15</v>
      </c>
      <c r="I95" s="348">
        <v>0.07</v>
      </c>
      <c r="J95" s="348">
        <v>0.21</v>
      </c>
      <c r="K95" s="348">
        <v>4.3</v>
      </c>
      <c r="L95" s="348"/>
      <c r="M95" s="348">
        <f t="shared" si="23"/>
        <v>4.173</v>
      </c>
      <c r="N95" s="348">
        <f>(SUM('工资福利（公务员、参公人员）'!R95:T95)+SUM('工资福利（事业）'!V95:X95,'工资福利（事业）'!AB95))*0.16</f>
        <v>1.56</v>
      </c>
      <c r="O95" s="348">
        <f>(SUM('工资福利（公务员、参公人员）'!R95:S95)+SUM('工资福利（事业）'!V95:X95,'工资福利（事业）'!AB95))*0.08</f>
        <v>0.78</v>
      </c>
      <c r="P95" s="348">
        <f>(SUM('工资福利（公务员、参公人员）'!R95:S95)+SUM('工资福利（事业）'!V95:X95,'工资福利（事业）'!AB95))*0.06</f>
        <v>0.585</v>
      </c>
      <c r="Q95" s="348">
        <f>(SUM('工资福利（公务员、参公人员）'!R95:S95)+SUM('工资福利（事业）'!V95:X95,'工资福利（事业）'!AB95))*0.002</f>
        <v>0.0195</v>
      </c>
      <c r="R95" s="348">
        <f>(SUM('工资福利（公务员、参公人员）'!R95:S95)+SUM('工资福利（事业）'!V95:X95,'工资福利（事业）'!AB95))*0.006</f>
        <v>0.0585</v>
      </c>
      <c r="S95" s="348">
        <f>(SUM('工资福利（公务员、参公人员）'!R95:S95)+SUM('工资福利（事业）'!V95:X95,'工资福利（事业）'!AB95))*0.12</f>
        <v>1.17</v>
      </c>
      <c r="T95" s="348"/>
      <c r="U95" s="348">
        <f t="shared" si="24"/>
        <v>19.503</v>
      </c>
      <c r="V95" s="348">
        <f t="shared" si="25"/>
        <v>7.29</v>
      </c>
      <c r="W95" s="348">
        <f t="shared" si="26"/>
        <v>3.65</v>
      </c>
      <c r="X95" s="348">
        <f t="shared" si="27"/>
        <v>2.735</v>
      </c>
      <c r="Y95" s="348">
        <f t="shared" si="28"/>
        <v>0.0895</v>
      </c>
      <c r="Z95" s="348">
        <f t="shared" si="29"/>
        <v>0.2685</v>
      </c>
      <c r="AA95" s="348">
        <f t="shared" si="30"/>
        <v>5.47</v>
      </c>
      <c r="AB95" s="348">
        <f t="shared" si="31"/>
        <v>0</v>
      </c>
      <c r="AC95" s="350"/>
    </row>
    <row r="96" ht="24" spans="1:29">
      <c r="A96" s="284" t="s">
        <v>290</v>
      </c>
      <c r="B96" s="284" t="s">
        <v>199</v>
      </c>
      <c r="C96" s="284" t="s">
        <v>298</v>
      </c>
      <c r="D96" s="284" t="s">
        <v>294</v>
      </c>
      <c r="E96" s="348">
        <f t="shared" si="22"/>
        <v>16.34</v>
      </c>
      <c r="F96" s="348">
        <v>6.11</v>
      </c>
      <c r="G96" s="348">
        <v>3.05</v>
      </c>
      <c r="H96" s="348">
        <v>2.29</v>
      </c>
      <c r="I96" s="348">
        <v>0.08</v>
      </c>
      <c r="J96" s="348">
        <v>0.23</v>
      </c>
      <c r="K96" s="348">
        <v>4.58</v>
      </c>
      <c r="L96" s="348"/>
      <c r="M96" s="348">
        <f t="shared" si="23"/>
        <v>0.952728</v>
      </c>
      <c r="N96" s="348">
        <f>(SUM('工资福利（公务员、参公人员）'!R96:T96)+SUM('工资福利（事业）'!V96:X96,'工资福利（事业）'!AB96))*0.16</f>
        <v>0.35616</v>
      </c>
      <c r="O96" s="348">
        <f>(SUM('工资福利（公务员、参公人员）'!R96:S96)+SUM('工资福利（事业）'!V96:X96,'工资福利（事业）'!AB96))*0.08</f>
        <v>0.17808</v>
      </c>
      <c r="P96" s="348">
        <f>(SUM('工资福利（公务员、参公人员）'!R96:S96)+SUM('工资福利（事业）'!V96:X96,'工资福利（事业）'!AB96))*0.06</f>
        <v>0.13356</v>
      </c>
      <c r="Q96" s="348">
        <f>(SUM('工资福利（公务员、参公人员）'!R96:S96)+SUM('工资福利（事业）'!V96:X96,'工资福利（事业）'!AB96))*0.002</f>
        <v>0.004452</v>
      </c>
      <c r="R96" s="348">
        <f>(SUM('工资福利（公务员、参公人员）'!R96:S96)+SUM('工资福利（事业）'!V96:X96,'工资福利（事业）'!AB96))*0.006</f>
        <v>0.013356</v>
      </c>
      <c r="S96" s="348">
        <f>(SUM('工资福利（公务员、参公人员）'!R96:S96)+SUM('工资福利（事业）'!V96:X96,'工资福利（事业）'!AB96))*0.12</f>
        <v>0.26712</v>
      </c>
      <c r="T96" s="348"/>
      <c r="U96" s="348">
        <f t="shared" si="24"/>
        <v>17.292728</v>
      </c>
      <c r="V96" s="348">
        <f t="shared" si="25"/>
        <v>6.46616</v>
      </c>
      <c r="W96" s="348">
        <f t="shared" si="26"/>
        <v>3.22808</v>
      </c>
      <c r="X96" s="348">
        <f t="shared" si="27"/>
        <v>2.42356</v>
      </c>
      <c r="Y96" s="348">
        <f t="shared" si="28"/>
        <v>0.084452</v>
      </c>
      <c r="Z96" s="348">
        <f t="shared" si="29"/>
        <v>0.243356</v>
      </c>
      <c r="AA96" s="348">
        <f t="shared" si="30"/>
        <v>4.84712</v>
      </c>
      <c r="AB96" s="348">
        <f t="shared" si="31"/>
        <v>0</v>
      </c>
      <c r="AC96" s="350"/>
    </row>
    <row r="97" ht="24" spans="1:29">
      <c r="A97" s="284" t="s">
        <v>195</v>
      </c>
      <c r="B97" s="284" t="s">
        <v>196</v>
      </c>
      <c r="C97" s="284" t="s">
        <v>299</v>
      </c>
      <c r="D97" s="284" t="s">
        <v>300</v>
      </c>
      <c r="E97" s="348">
        <f t="shared" si="22"/>
        <v>33.03</v>
      </c>
      <c r="F97" s="348">
        <v>12.73</v>
      </c>
      <c r="G97" s="348">
        <v>6.06</v>
      </c>
      <c r="H97" s="348">
        <v>4.55</v>
      </c>
      <c r="I97" s="348">
        <v>0.15</v>
      </c>
      <c r="J97" s="348">
        <v>0.45</v>
      </c>
      <c r="K97" s="348">
        <v>9.09</v>
      </c>
      <c r="L97" s="348"/>
      <c r="M97" s="348">
        <f t="shared" si="23"/>
        <v>-2.19292</v>
      </c>
      <c r="N97" s="348">
        <f>(SUM('工资福利（公务员、参公人员）'!R97:T97)+SUM('工资福利（事业）'!V97:X97,'工资福利（事业）'!AB97))*0.16</f>
        <v>-0.8288</v>
      </c>
      <c r="O97" s="348">
        <f>(SUM('工资福利（公务员、参公人员）'!R97:S97)+SUM('工资福利（事业）'!V97:X97,'工资福利（事业）'!AB97))*0.08</f>
        <v>-0.4072</v>
      </c>
      <c r="P97" s="348">
        <f>(SUM('工资福利（公务员、参公人员）'!R97:S97)+SUM('工资福利（事业）'!V97:X97,'工资福利（事业）'!AB97))*0.06</f>
        <v>-0.3054</v>
      </c>
      <c r="Q97" s="348">
        <f>(SUM('工资福利（公务员、参公人员）'!R97:S97)+SUM('工资福利（事业）'!V97:X97,'工资福利（事业）'!AB97))*0.002</f>
        <v>-0.01018</v>
      </c>
      <c r="R97" s="348">
        <f>(SUM('工资福利（公务员、参公人员）'!R97:S97)+SUM('工资福利（事业）'!V97:X97,'工资福利（事业）'!AB97))*0.006</f>
        <v>-0.03054</v>
      </c>
      <c r="S97" s="348">
        <f>(SUM('工资福利（公务员、参公人员）'!R97:S97)+SUM('工资福利（事业）'!V97:X97,'工资福利（事业）'!AB97))*0.12</f>
        <v>-0.6108</v>
      </c>
      <c r="T97" s="348"/>
      <c r="U97" s="348">
        <f t="shared" si="24"/>
        <v>30.83708</v>
      </c>
      <c r="V97" s="348">
        <f t="shared" si="25"/>
        <v>11.9012</v>
      </c>
      <c r="W97" s="348">
        <f t="shared" si="26"/>
        <v>5.6528</v>
      </c>
      <c r="X97" s="348">
        <f t="shared" si="27"/>
        <v>4.2446</v>
      </c>
      <c r="Y97" s="348">
        <f t="shared" si="28"/>
        <v>0.13982</v>
      </c>
      <c r="Z97" s="348">
        <f t="shared" si="29"/>
        <v>0.41946</v>
      </c>
      <c r="AA97" s="348">
        <f t="shared" si="30"/>
        <v>8.4792</v>
      </c>
      <c r="AB97" s="348">
        <f t="shared" si="31"/>
        <v>0</v>
      </c>
      <c r="AC97" s="350"/>
    </row>
    <row r="98" ht="24" spans="1:29">
      <c r="A98" s="284" t="s">
        <v>195</v>
      </c>
      <c r="B98" s="284" t="s">
        <v>196</v>
      </c>
      <c r="C98" s="284" t="s">
        <v>301</v>
      </c>
      <c r="D98" s="284" t="s">
        <v>300</v>
      </c>
      <c r="E98" s="348">
        <f t="shared" si="22"/>
        <v>17.61</v>
      </c>
      <c r="F98" s="348">
        <v>6.79</v>
      </c>
      <c r="G98" s="348">
        <v>3.23</v>
      </c>
      <c r="H98" s="348">
        <v>2.42</v>
      </c>
      <c r="I98" s="348">
        <v>0.08</v>
      </c>
      <c r="J98" s="348">
        <v>0.24</v>
      </c>
      <c r="K98" s="348">
        <v>4.85</v>
      </c>
      <c r="L98" s="348"/>
      <c r="M98" s="348">
        <f t="shared" si="23"/>
        <v>-0.60784</v>
      </c>
      <c r="N98" s="348">
        <f>(SUM('工资福利（公务员、参公人员）'!R98:T98)+SUM('工资福利（事业）'!V98:X98,'工资福利（事业）'!AB98))*0.16</f>
        <v>-0.2112</v>
      </c>
      <c r="O98" s="348">
        <f>(SUM('工资福利（公务员、参公人员）'!R98:S98)+SUM('工资福利（事业）'!V98:X98,'工资福利（事业）'!AB98))*0.08</f>
        <v>-0.1184</v>
      </c>
      <c r="P98" s="348">
        <f>(SUM('工资福利（公务员、参公人员）'!R98:S98)+SUM('工资福利（事业）'!V98:X98,'工资福利（事业）'!AB98))*0.06</f>
        <v>-0.0888</v>
      </c>
      <c r="Q98" s="348">
        <f>(SUM('工资福利（公务员、参公人员）'!R98:S98)+SUM('工资福利（事业）'!V98:X98,'工资福利（事业）'!AB98))*0.002</f>
        <v>-0.00296</v>
      </c>
      <c r="R98" s="348">
        <f>(SUM('工资福利（公务员、参公人员）'!R98:S98)+SUM('工资福利（事业）'!V98:X98,'工资福利（事业）'!AB98))*0.006</f>
        <v>-0.00888</v>
      </c>
      <c r="S98" s="348">
        <f>(SUM('工资福利（公务员、参公人员）'!R98:S98)+SUM('工资福利（事业）'!V98:X98,'工资福利（事业）'!AB98))*0.12</f>
        <v>-0.1776</v>
      </c>
      <c r="T98" s="348"/>
      <c r="U98" s="348">
        <f t="shared" si="24"/>
        <v>17.00216</v>
      </c>
      <c r="V98" s="348">
        <f t="shared" si="25"/>
        <v>6.5788</v>
      </c>
      <c r="W98" s="348">
        <f t="shared" si="26"/>
        <v>3.1116</v>
      </c>
      <c r="X98" s="348">
        <f t="shared" si="27"/>
        <v>2.3312</v>
      </c>
      <c r="Y98" s="348">
        <f t="shared" si="28"/>
        <v>0.07704</v>
      </c>
      <c r="Z98" s="348">
        <f t="shared" si="29"/>
        <v>0.23112</v>
      </c>
      <c r="AA98" s="348">
        <f t="shared" si="30"/>
        <v>4.6724</v>
      </c>
      <c r="AB98" s="348">
        <f t="shared" si="31"/>
        <v>0</v>
      </c>
      <c r="AC98" s="350"/>
    </row>
    <row r="99" ht="24" spans="1:29">
      <c r="A99" s="284" t="s">
        <v>195</v>
      </c>
      <c r="B99" s="284" t="s">
        <v>196</v>
      </c>
      <c r="C99" s="284" t="s">
        <v>302</v>
      </c>
      <c r="D99" s="284" t="s">
        <v>300</v>
      </c>
      <c r="E99" s="348">
        <f t="shared" si="22"/>
        <v>12.51</v>
      </c>
      <c r="F99" s="348">
        <v>4.82</v>
      </c>
      <c r="G99" s="348">
        <v>2.3</v>
      </c>
      <c r="H99" s="348">
        <v>1.72</v>
      </c>
      <c r="I99" s="348">
        <v>0.06</v>
      </c>
      <c r="J99" s="348">
        <v>0.17</v>
      </c>
      <c r="K99" s="348">
        <v>3.44</v>
      </c>
      <c r="L99" s="348"/>
      <c r="M99" s="348">
        <f t="shared" si="23"/>
        <v>2.81564</v>
      </c>
      <c r="N99" s="348">
        <f>(SUM('工资福利（公务员、参公人员）'!R99:T99)+SUM('工资福利（事业）'!V99:X99,'工资福利（事业）'!AB99))*0.16</f>
        <v>1.0656</v>
      </c>
      <c r="O99" s="348">
        <f>(SUM('工资福利（公务员、参公人员）'!R99:S99)+SUM('工资福利（事业）'!V99:X99,'工资福利（事业）'!AB99))*0.08</f>
        <v>0.5224</v>
      </c>
      <c r="P99" s="348">
        <f>(SUM('工资福利（公务员、参公人员）'!R99:S99)+SUM('工资福利（事业）'!V99:X99,'工资福利（事业）'!AB99))*0.06</f>
        <v>0.3918</v>
      </c>
      <c r="Q99" s="348">
        <f>(SUM('工资福利（公务员、参公人员）'!R99:S99)+SUM('工资福利（事业）'!V99:X99,'工资福利（事业）'!AB99))*0.002</f>
        <v>0.01306</v>
      </c>
      <c r="R99" s="348">
        <f>(SUM('工资福利（公务员、参公人员）'!R99:S99)+SUM('工资福利（事业）'!V99:X99,'工资福利（事业）'!AB99))*0.006</f>
        <v>0.03918</v>
      </c>
      <c r="S99" s="348">
        <f>(SUM('工资福利（公务员、参公人员）'!R99:S99)+SUM('工资福利（事业）'!V99:X99,'工资福利（事业）'!AB99))*0.12</f>
        <v>0.7836</v>
      </c>
      <c r="T99" s="348"/>
      <c r="U99" s="348">
        <f t="shared" si="24"/>
        <v>15.32564</v>
      </c>
      <c r="V99" s="348">
        <f t="shared" si="25"/>
        <v>5.8856</v>
      </c>
      <c r="W99" s="348">
        <f t="shared" si="26"/>
        <v>2.8224</v>
      </c>
      <c r="X99" s="348">
        <f t="shared" si="27"/>
        <v>2.1118</v>
      </c>
      <c r="Y99" s="348">
        <f t="shared" si="28"/>
        <v>0.07306</v>
      </c>
      <c r="Z99" s="348">
        <f t="shared" si="29"/>
        <v>0.20918</v>
      </c>
      <c r="AA99" s="348">
        <f t="shared" si="30"/>
        <v>4.2236</v>
      </c>
      <c r="AB99" s="348">
        <f t="shared" si="31"/>
        <v>0</v>
      </c>
      <c r="AC99" s="350"/>
    </row>
    <row r="100" ht="24" spans="1:29">
      <c r="A100" s="284" t="s">
        <v>195</v>
      </c>
      <c r="B100" s="284" t="s">
        <v>196</v>
      </c>
      <c r="C100" s="284" t="s">
        <v>303</v>
      </c>
      <c r="D100" s="284" t="s">
        <v>300</v>
      </c>
      <c r="E100" s="348">
        <f t="shared" si="22"/>
        <v>5.37</v>
      </c>
      <c r="F100" s="348">
        <v>2.07</v>
      </c>
      <c r="G100" s="348">
        <v>0.99</v>
      </c>
      <c r="H100" s="348">
        <v>0.74</v>
      </c>
      <c r="I100" s="348">
        <v>0.02</v>
      </c>
      <c r="J100" s="348">
        <v>0.07</v>
      </c>
      <c r="K100" s="348">
        <v>1.48</v>
      </c>
      <c r="L100" s="348"/>
      <c r="M100" s="348">
        <f t="shared" si="23"/>
        <v>-0.4414</v>
      </c>
      <c r="N100" s="348">
        <f>(SUM('工资福利（公务员、参公人员）'!R100:T100)+SUM('工资福利（事业）'!V100:X100,'工资福利（事业）'!AB100))*0.16</f>
        <v>-0.16</v>
      </c>
      <c r="O100" s="348">
        <f>(SUM('工资福利（公务员、参公人员）'!R100:S100)+SUM('工资福利（事业）'!V100:X100,'工资福利（事业）'!AB100))*0.08</f>
        <v>-0.084</v>
      </c>
      <c r="P100" s="348">
        <f>(SUM('工资福利（公务员、参公人员）'!R100:S100)+SUM('工资福利（事业）'!V100:X100,'工资福利（事业）'!AB100))*0.06</f>
        <v>-0.063</v>
      </c>
      <c r="Q100" s="348">
        <f>(SUM('工资福利（公务员、参公人员）'!R100:S100)+SUM('工资福利（事业）'!V100:X100,'工资福利（事业）'!AB100))*0.002</f>
        <v>-0.0021</v>
      </c>
      <c r="R100" s="348">
        <f>(SUM('工资福利（公务员、参公人员）'!R100:S100)+SUM('工资福利（事业）'!V100:X100,'工资福利（事业）'!AB100))*0.006</f>
        <v>-0.0063</v>
      </c>
      <c r="S100" s="348">
        <f>(SUM('工资福利（公务员、参公人员）'!R100:S100)+SUM('工资福利（事业）'!V100:X100,'工资福利（事业）'!AB100))*0.12</f>
        <v>-0.126</v>
      </c>
      <c r="T100" s="348"/>
      <c r="U100" s="348">
        <f t="shared" si="24"/>
        <v>4.9286</v>
      </c>
      <c r="V100" s="348">
        <f t="shared" si="25"/>
        <v>1.91</v>
      </c>
      <c r="W100" s="348">
        <f t="shared" si="26"/>
        <v>0.906</v>
      </c>
      <c r="X100" s="348">
        <f t="shared" si="27"/>
        <v>0.677</v>
      </c>
      <c r="Y100" s="348">
        <f t="shared" si="28"/>
        <v>0.0179</v>
      </c>
      <c r="Z100" s="348">
        <f t="shared" si="29"/>
        <v>0.0637</v>
      </c>
      <c r="AA100" s="348">
        <f t="shared" si="30"/>
        <v>1.354</v>
      </c>
      <c r="AB100" s="348">
        <f t="shared" si="31"/>
        <v>0</v>
      </c>
      <c r="AC100" s="350"/>
    </row>
    <row r="101" ht="24" spans="1:29">
      <c r="A101" s="284" t="s">
        <v>195</v>
      </c>
      <c r="B101" s="284" t="s">
        <v>199</v>
      </c>
      <c r="C101" s="284" t="s">
        <v>304</v>
      </c>
      <c r="D101" s="284" t="s">
        <v>305</v>
      </c>
      <c r="E101" s="348">
        <f t="shared" si="22"/>
        <v>33.74</v>
      </c>
      <c r="F101" s="348">
        <v>12.61</v>
      </c>
      <c r="G101" s="348">
        <v>6.31</v>
      </c>
      <c r="H101" s="348">
        <v>4.73</v>
      </c>
      <c r="I101" s="348">
        <v>0.16</v>
      </c>
      <c r="J101" s="348">
        <v>0.47</v>
      </c>
      <c r="K101" s="348">
        <v>9.46</v>
      </c>
      <c r="L101" s="348"/>
      <c r="M101" s="348">
        <f t="shared" si="23"/>
        <v>4.7936</v>
      </c>
      <c r="N101" s="348">
        <f>(SUM('工资福利（公务员、参公人员）'!R101:T101)+SUM('工资福利（事业）'!V101:X101,'工资福利（事业）'!AB101))*0.16</f>
        <v>1.792</v>
      </c>
      <c r="O101" s="348">
        <f>(SUM('工资福利（公务员、参公人员）'!R101:S101)+SUM('工资福利（事业）'!V101:X101,'工资福利（事业）'!AB101))*0.08</f>
        <v>0.896</v>
      </c>
      <c r="P101" s="348">
        <f>(SUM('工资福利（公务员、参公人员）'!R101:S101)+SUM('工资福利（事业）'!V101:X101,'工资福利（事业）'!AB101))*0.06</f>
        <v>0.672</v>
      </c>
      <c r="Q101" s="348">
        <f>(SUM('工资福利（公务员、参公人员）'!R101:S101)+SUM('工资福利（事业）'!V101:X101,'工资福利（事业）'!AB101))*0.002</f>
        <v>0.0224</v>
      </c>
      <c r="R101" s="348">
        <f>(SUM('工资福利（公务员、参公人员）'!R101:S101)+SUM('工资福利（事业）'!V101:X101,'工资福利（事业）'!AB101))*0.006</f>
        <v>0.0672</v>
      </c>
      <c r="S101" s="348">
        <f>(SUM('工资福利（公务员、参公人员）'!R101:S101)+SUM('工资福利（事业）'!V101:X101,'工资福利（事业）'!AB101))*0.12</f>
        <v>1.344</v>
      </c>
      <c r="T101" s="348"/>
      <c r="U101" s="348">
        <f t="shared" si="24"/>
        <v>38.5336</v>
      </c>
      <c r="V101" s="348">
        <f t="shared" si="25"/>
        <v>14.402</v>
      </c>
      <c r="W101" s="348">
        <f t="shared" si="26"/>
        <v>7.206</v>
      </c>
      <c r="X101" s="348">
        <f t="shared" si="27"/>
        <v>5.402</v>
      </c>
      <c r="Y101" s="348">
        <f t="shared" si="28"/>
        <v>0.1824</v>
      </c>
      <c r="Z101" s="348">
        <f t="shared" si="29"/>
        <v>0.5372</v>
      </c>
      <c r="AA101" s="348">
        <f t="shared" si="30"/>
        <v>10.804</v>
      </c>
      <c r="AB101" s="348">
        <f t="shared" si="31"/>
        <v>0</v>
      </c>
      <c r="AC101" s="350"/>
    </row>
    <row r="102" ht="24" spans="1:29">
      <c r="A102" s="284" t="s">
        <v>221</v>
      </c>
      <c r="B102" s="284" t="s">
        <v>196</v>
      </c>
      <c r="C102" s="284" t="s">
        <v>306</v>
      </c>
      <c r="D102" s="284" t="s">
        <v>307</v>
      </c>
      <c r="E102" s="348">
        <f t="shared" si="22"/>
        <v>77.69</v>
      </c>
      <c r="F102" s="348">
        <v>30.02</v>
      </c>
      <c r="G102" s="348">
        <v>14.23</v>
      </c>
      <c r="H102" s="348">
        <v>10.67</v>
      </c>
      <c r="I102" s="348">
        <v>0.36</v>
      </c>
      <c r="J102" s="348">
        <v>1.07</v>
      </c>
      <c r="K102" s="348">
        <v>21.34</v>
      </c>
      <c r="L102" s="348"/>
      <c r="M102" s="348">
        <f t="shared" si="23"/>
        <v>-4.61864</v>
      </c>
      <c r="N102" s="348">
        <f>(SUM('工资福利（公务员、参公人员）'!R102:T102)+SUM('工资福利（事业）'!V102:X102,'工资福利（事业）'!AB102))*0.16</f>
        <v>-1.8368</v>
      </c>
      <c r="O102" s="348">
        <f>(SUM('工资福利（公务员、参公人员）'!R102:S102)+SUM('工资福利（事业）'!V102:X102,'工资福利（事业）'!AB102))*0.08</f>
        <v>-0.8304</v>
      </c>
      <c r="P102" s="348">
        <f>(SUM('工资福利（公务员、参公人员）'!R102:S102)+SUM('工资福利（事业）'!V102:X102,'工资福利（事业）'!AB102))*0.06</f>
        <v>-0.6228</v>
      </c>
      <c r="Q102" s="348">
        <f>(SUM('工资福利（公务员、参公人员）'!R102:S102)+SUM('工资福利（事业）'!V102:X102,'工资福利（事业）'!AB102))*0.002</f>
        <v>-0.02076</v>
      </c>
      <c r="R102" s="348">
        <f>(SUM('工资福利（公务员、参公人员）'!R102:S102)+SUM('工资福利（事业）'!V102:X102,'工资福利（事业）'!AB102))*0.006</f>
        <v>-0.06228</v>
      </c>
      <c r="S102" s="348">
        <f>(SUM('工资福利（公务员、参公人员）'!R102:S102)+SUM('工资福利（事业）'!V102:X102,'工资福利（事业）'!AB102))*0.12</f>
        <v>-1.2456</v>
      </c>
      <c r="T102" s="348"/>
      <c r="U102" s="348">
        <f t="shared" si="24"/>
        <v>73.07136</v>
      </c>
      <c r="V102" s="348">
        <f t="shared" si="25"/>
        <v>28.1832</v>
      </c>
      <c r="W102" s="348">
        <f t="shared" si="26"/>
        <v>13.3996</v>
      </c>
      <c r="X102" s="348">
        <f t="shared" si="27"/>
        <v>10.0472</v>
      </c>
      <c r="Y102" s="348">
        <f t="shared" si="28"/>
        <v>0.33924</v>
      </c>
      <c r="Z102" s="348">
        <f t="shared" si="29"/>
        <v>1.00772</v>
      </c>
      <c r="AA102" s="348">
        <f t="shared" si="30"/>
        <v>20.0944</v>
      </c>
      <c r="AB102" s="348">
        <f t="shared" si="31"/>
        <v>0</v>
      </c>
      <c r="AC102" s="350"/>
    </row>
    <row r="103" ht="36" spans="1:29">
      <c r="A103" s="284" t="s">
        <v>221</v>
      </c>
      <c r="B103" s="284" t="s">
        <v>199</v>
      </c>
      <c r="C103" s="284" t="s">
        <v>308</v>
      </c>
      <c r="D103" s="284" t="s">
        <v>309</v>
      </c>
      <c r="E103" s="348">
        <f t="shared" si="22"/>
        <v>27.75</v>
      </c>
      <c r="F103" s="348">
        <v>10.37</v>
      </c>
      <c r="G103" s="348">
        <v>5.19</v>
      </c>
      <c r="H103" s="348">
        <v>3.89</v>
      </c>
      <c r="I103" s="348">
        <v>0.13</v>
      </c>
      <c r="J103" s="348">
        <v>0.39</v>
      </c>
      <c r="K103" s="348">
        <v>7.78</v>
      </c>
      <c r="L103" s="348"/>
      <c r="M103" s="348">
        <f t="shared" si="23"/>
        <v>0.26108</v>
      </c>
      <c r="N103" s="348">
        <f>(SUM('工资福利（公务员、参公人员）'!R103:T103)+SUM('工资福利（事业）'!V103:X103,'工资福利（事业）'!AB103))*0.16</f>
        <v>0.0976</v>
      </c>
      <c r="O103" s="348">
        <f>(SUM('工资福利（公务员、参公人员）'!R103:S103)+SUM('工资福利（事业）'!V103:X103,'工资福利（事业）'!AB103))*0.08</f>
        <v>0.0488</v>
      </c>
      <c r="P103" s="348">
        <f>(SUM('工资福利（公务员、参公人员）'!R103:S103)+SUM('工资福利（事业）'!V103:X103,'工资福利（事业）'!AB103))*0.06</f>
        <v>0.0366</v>
      </c>
      <c r="Q103" s="348">
        <f>(SUM('工资福利（公务员、参公人员）'!R103:S103)+SUM('工资福利（事业）'!V103:X103,'工资福利（事业）'!AB103))*0.002</f>
        <v>0.00122</v>
      </c>
      <c r="R103" s="348">
        <f>(SUM('工资福利（公务员、参公人员）'!R103:S103)+SUM('工资福利（事业）'!V103:X103,'工资福利（事业）'!AB103))*0.006</f>
        <v>0.00366</v>
      </c>
      <c r="S103" s="348">
        <f>(SUM('工资福利（公务员、参公人员）'!R103:S103)+SUM('工资福利（事业）'!V103:X103,'工资福利（事业）'!AB103))*0.12</f>
        <v>0.0732</v>
      </c>
      <c r="T103" s="348"/>
      <c r="U103" s="348">
        <f t="shared" si="24"/>
        <v>28.01108</v>
      </c>
      <c r="V103" s="348">
        <f t="shared" si="25"/>
        <v>10.4676</v>
      </c>
      <c r="W103" s="348">
        <f t="shared" si="26"/>
        <v>5.2388</v>
      </c>
      <c r="X103" s="348">
        <f t="shared" si="27"/>
        <v>3.9266</v>
      </c>
      <c r="Y103" s="348">
        <f t="shared" si="28"/>
        <v>0.13122</v>
      </c>
      <c r="Z103" s="348">
        <f t="shared" si="29"/>
        <v>0.39366</v>
      </c>
      <c r="AA103" s="348">
        <f t="shared" si="30"/>
        <v>7.8532</v>
      </c>
      <c r="AB103" s="348">
        <f t="shared" si="31"/>
        <v>0</v>
      </c>
      <c r="AC103" s="350"/>
    </row>
    <row r="104" ht="24" spans="1:29">
      <c r="A104" s="284" t="s">
        <v>221</v>
      </c>
      <c r="B104" s="284" t="s">
        <v>199</v>
      </c>
      <c r="C104" s="284" t="s">
        <v>310</v>
      </c>
      <c r="D104" s="284" t="s">
        <v>311</v>
      </c>
      <c r="E104" s="348">
        <f t="shared" si="22"/>
        <v>50</v>
      </c>
      <c r="F104" s="348">
        <v>18.69</v>
      </c>
      <c r="G104" s="348">
        <v>9.35</v>
      </c>
      <c r="H104" s="348">
        <v>7.01</v>
      </c>
      <c r="I104" s="348">
        <v>0.23</v>
      </c>
      <c r="J104" s="348">
        <v>0.7</v>
      </c>
      <c r="K104" s="348">
        <v>14.02</v>
      </c>
      <c r="L104" s="348"/>
      <c r="M104" s="348">
        <f t="shared" si="23"/>
        <v>4.39128</v>
      </c>
      <c r="N104" s="348">
        <f>(SUM('工资福利（公务员、参公人员）'!R104:T104)+SUM('工资福利（事业）'!V104:X104,'工资福利（事业）'!AB104))*0.16</f>
        <v>1.6416</v>
      </c>
      <c r="O104" s="348">
        <f>(SUM('工资福利（公务员、参公人员）'!R104:S104)+SUM('工资福利（事业）'!V104:X104,'工资福利（事业）'!AB104))*0.08</f>
        <v>0.8208</v>
      </c>
      <c r="P104" s="348">
        <f>(SUM('工资福利（公务员、参公人员）'!R104:S104)+SUM('工资福利（事业）'!V104:X104,'工资福利（事业）'!AB104))*0.06</f>
        <v>0.6156</v>
      </c>
      <c r="Q104" s="348">
        <f>(SUM('工资福利（公务员、参公人员）'!R104:S104)+SUM('工资福利（事业）'!V104:X104,'工资福利（事业）'!AB104))*0.002</f>
        <v>0.02052</v>
      </c>
      <c r="R104" s="348">
        <f>(SUM('工资福利（公务员、参公人员）'!R104:S104)+SUM('工资福利（事业）'!V104:X104,'工资福利（事业）'!AB104))*0.006</f>
        <v>0.06156</v>
      </c>
      <c r="S104" s="348">
        <f>(SUM('工资福利（公务员、参公人员）'!R104:S104)+SUM('工资福利（事业）'!V104:X104,'工资福利（事业）'!AB104))*0.12</f>
        <v>1.2312</v>
      </c>
      <c r="T104" s="348"/>
      <c r="U104" s="348">
        <f t="shared" si="24"/>
        <v>54.39128</v>
      </c>
      <c r="V104" s="348">
        <f t="shared" si="25"/>
        <v>20.3316</v>
      </c>
      <c r="W104" s="348">
        <f t="shared" si="26"/>
        <v>10.1708</v>
      </c>
      <c r="X104" s="348">
        <f t="shared" si="27"/>
        <v>7.6256</v>
      </c>
      <c r="Y104" s="348">
        <f t="shared" si="28"/>
        <v>0.25052</v>
      </c>
      <c r="Z104" s="348">
        <f t="shared" si="29"/>
        <v>0.76156</v>
      </c>
      <c r="AA104" s="348">
        <f t="shared" si="30"/>
        <v>15.2512</v>
      </c>
      <c r="AB104" s="348">
        <f t="shared" si="31"/>
        <v>0</v>
      </c>
      <c r="AC104" s="350"/>
    </row>
    <row r="105" ht="24" spans="1:29">
      <c r="A105" s="284" t="s">
        <v>221</v>
      </c>
      <c r="B105" s="284" t="s">
        <v>199</v>
      </c>
      <c r="C105" s="284" t="s">
        <v>312</v>
      </c>
      <c r="D105" s="284" t="s">
        <v>311</v>
      </c>
      <c r="E105" s="348">
        <f t="shared" si="22"/>
        <v>16.48</v>
      </c>
      <c r="F105" s="348">
        <v>6.16</v>
      </c>
      <c r="G105" s="348">
        <v>3.08</v>
      </c>
      <c r="H105" s="348">
        <v>2.31</v>
      </c>
      <c r="I105" s="348">
        <v>0.08</v>
      </c>
      <c r="J105" s="348">
        <v>0.23</v>
      </c>
      <c r="K105" s="348">
        <v>4.62</v>
      </c>
      <c r="L105" s="348"/>
      <c r="M105" s="348">
        <f t="shared" ref="M105:M151" si="32">SUM(N105:T105)</f>
        <v>3.59948</v>
      </c>
      <c r="N105" s="348">
        <f>(SUM('工资福利（公务员、参公人员）'!R105:T105)+SUM('工资福利（事业）'!V105:X105,'工资福利（事业）'!AB105))*0.16</f>
        <v>1.3456</v>
      </c>
      <c r="O105" s="348">
        <f>(SUM('工资福利（公务员、参公人员）'!R105:S105)+SUM('工资福利（事业）'!V105:X105,'工资福利（事业）'!AB105))*0.08</f>
        <v>0.6728</v>
      </c>
      <c r="P105" s="348">
        <f>(SUM('工资福利（公务员、参公人员）'!R105:S105)+SUM('工资福利（事业）'!V105:X105,'工资福利（事业）'!AB105))*0.06</f>
        <v>0.5046</v>
      </c>
      <c r="Q105" s="348">
        <f>(SUM('工资福利（公务员、参公人员）'!R105:S105)+SUM('工资福利（事业）'!V105:X105,'工资福利（事业）'!AB105))*0.002</f>
        <v>0.01682</v>
      </c>
      <c r="R105" s="348">
        <f>(SUM('工资福利（公务员、参公人员）'!R105:S105)+SUM('工资福利（事业）'!V105:X105,'工资福利（事业）'!AB105))*0.006</f>
        <v>0.05046</v>
      </c>
      <c r="S105" s="348">
        <f>(SUM('工资福利（公务员、参公人员）'!R105:S105)+SUM('工资福利（事业）'!V105:X105,'工资福利（事业）'!AB105))*0.12</f>
        <v>1.0092</v>
      </c>
      <c r="T105" s="348"/>
      <c r="U105" s="348">
        <f t="shared" ref="U105:U151" si="33">SUM(V105:AB105)</f>
        <v>20.07948</v>
      </c>
      <c r="V105" s="348">
        <f t="shared" ref="V105:V151" si="34">F105+N105</f>
        <v>7.5056</v>
      </c>
      <c r="W105" s="348">
        <f t="shared" ref="W105:W151" si="35">G105+O105</f>
        <v>3.7528</v>
      </c>
      <c r="X105" s="348">
        <f t="shared" ref="X105:X151" si="36">H105+P105</f>
        <v>2.8146</v>
      </c>
      <c r="Y105" s="348">
        <f t="shared" ref="Y105:Y151" si="37">I105+Q105</f>
        <v>0.09682</v>
      </c>
      <c r="Z105" s="348">
        <f t="shared" ref="Z105:Z151" si="38">J105+R105</f>
        <v>0.28046</v>
      </c>
      <c r="AA105" s="348">
        <f t="shared" ref="AA105:AA151" si="39">K105+S105</f>
        <v>5.6292</v>
      </c>
      <c r="AB105" s="348">
        <f t="shared" ref="AB105:AB151" si="40">L105+T105</f>
        <v>0</v>
      </c>
      <c r="AC105" s="350"/>
    </row>
    <row r="106" ht="24" spans="1:29">
      <c r="A106" s="284" t="s">
        <v>221</v>
      </c>
      <c r="B106" s="284" t="s">
        <v>199</v>
      </c>
      <c r="C106" s="284" t="s">
        <v>313</v>
      </c>
      <c r="D106" s="284" t="s">
        <v>311</v>
      </c>
      <c r="E106" s="348">
        <f t="shared" si="22"/>
        <v>47.37</v>
      </c>
      <c r="F106" s="348">
        <v>17.71</v>
      </c>
      <c r="G106" s="348">
        <v>8.86</v>
      </c>
      <c r="H106" s="348">
        <v>6.64</v>
      </c>
      <c r="I106" s="348">
        <v>0.22</v>
      </c>
      <c r="J106" s="348">
        <v>0.66</v>
      </c>
      <c r="K106" s="348">
        <v>13.28</v>
      </c>
      <c r="L106" s="348"/>
      <c r="M106" s="348">
        <f t="shared" si="32"/>
        <v>13.15672</v>
      </c>
      <c r="N106" s="348">
        <f>(SUM('工资福利（公务员、参公人员）'!R106:T106)+SUM('工资福利（事业）'!V106:X106,'工资福利（事业）'!AB106))*0.16</f>
        <v>4.9184</v>
      </c>
      <c r="O106" s="348">
        <f>(SUM('工资福利（公务员、参公人员）'!R106:S106)+SUM('工资福利（事业）'!V106:X106,'工资福利（事业）'!AB106))*0.08</f>
        <v>2.4592</v>
      </c>
      <c r="P106" s="348">
        <f>(SUM('工资福利（公务员、参公人员）'!R106:S106)+SUM('工资福利（事业）'!V106:X106,'工资福利（事业）'!AB106))*0.06</f>
        <v>1.8444</v>
      </c>
      <c r="Q106" s="348">
        <f>(SUM('工资福利（公务员、参公人员）'!R106:S106)+SUM('工资福利（事业）'!V106:X106,'工资福利（事业）'!AB106))*0.002</f>
        <v>0.06148</v>
      </c>
      <c r="R106" s="348">
        <f>(SUM('工资福利（公务员、参公人员）'!R106:S106)+SUM('工资福利（事业）'!V106:X106,'工资福利（事业）'!AB106))*0.006</f>
        <v>0.18444</v>
      </c>
      <c r="S106" s="348">
        <f>(SUM('工资福利（公务员、参公人员）'!R106:S106)+SUM('工资福利（事业）'!V106:X106,'工资福利（事业）'!AB106))*0.12</f>
        <v>3.6888</v>
      </c>
      <c r="T106" s="348"/>
      <c r="U106" s="348">
        <f t="shared" si="33"/>
        <v>60.52672</v>
      </c>
      <c r="V106" s="348">
        <f t="shared" si="34"/>
        <v>22.6284</v>
      </c>
      <c r="W106" s="348">
        <f t="shared" si="35"/>
        <v>11.3192</v>
      </c>
      <c r="X106" s="348">
        <f t="shared" si="36"/>
        <v>8.4844</v>
      </c>
      <c r="Y106" s="348">
        <f t="shared" si="37"/>
        <v>0.28148</v>
      </c>
      <c r="Z106" s="348">
        <f t="shared" si="38"/>
        <v>0.84444</v>
      </c>
      <c r="AA106" s="348">
        <f t="shared" si="39"/>
        <v>16.9688</v>
      </c>
      <c r="AB106" s="348">
        <f t="shared" si="40"/>
        <v>0</v>
      </c>
      <c r="AC106" s="350"/>
    </row>
    <row r="107" ht="24" spans="1:29">
      <c r="A107" s="284" t="s">
        <v>221</v>
      </c>
      <c r="B107" s="284" t="s">
        <v>199</v>
      </c>
      <c r="C107" s="284" t="s">
        <v>314</v>
      </c>
      <c r="D107" s="284" t="s">
        <v>311</v>
      </c>
      <c r="E107" s="348">
        <f t="shared" si="22"/>
        <v>16.21</v>
      </c>
      <c r="F107" s="348">
        <v>6.06</v>
      </c>
      <c r="G107" s="348">
        <v>3.03</v>
      </c>
      <c r="H107" s="348">
        <v>2.27</v>
      </c>
      <c r="I107" s="348">
        <v>0.08</v>
      </c>
      <c r="J107" s="348">
        <v>0.23</v>
      </c>
      <c r="K107" s="348">
        <v>4.54</v>
      </c>
      <c r="L107" s="348"/>
      <c r="M107" s="348">
        <f t="shared" si="32"/>
        <v>5.49552</v>
      </c>
      <c r="N107" s="348">
        <f>(SUM('工资福利（公务员、参公人员）'!R107:T107)+SUM('工资福利（事业）'!V107:X107,'工资福利（事业）'!AB107))*0.16</f>
        <v>2.0544</v>
      </c>
      <c r="O107" s="348">
        <f>(SUM('工资福利（公务员、参公人员）'!R107:S107)+SUM('工资福利（事业）'!V107:X107,'工资福利（事业）'!AB107))*0.08</f>
        <v>1.0272</v>
      </c>
      <c r="P107" s="348">
        <f>(SUM('工资福利（公务员、参公人员）'!R107:S107)+SUM('工资福利（事业）'!V107:X107,'工资福利（事业）'!AB107))*0.06</f>
        <v>0.7704</v>
      </c>
      <c r="Q107" s="348">
        <f>(SUM('工资福利（公务员、参公人员）'!R107:S107)+SUM('工资福利（事业）'!V107:X107,'工资福利（事业）'!AB107))*0.002</f>
        <v>0.02568</v>
      </c>
      <c r="R107" s="348">
        <f>(SUM('工资福利（公务员、参公人员）'!R107:S107)+SUM('工资福利（事业）'!V107:X107,'工资福利（事业）'!AB107))*0.006</f>
        <v>0.07704</v>
      </c>
      <c r="S107" s="348">
        <f>(SUM('工资福利（公务员、参公人员）'!R107:S107)+SUM('工资福利（事业）'!V107:X107,'工资福利（事业）'!AB107))*0.12</f>
        <v>1.5408</v>
      </c>
      <c r="T107" s="348"/>
      <c r="U107" s="348">
        <f t="shared" si="33"/>
        <v>21.70552</v>
      </c>
      <c r="V107" s="348">
        <f t="shared" si="34"/>
        <v>8.1144</v>
      </c>
      <c r="W107" s="348">
        <f t="shared" si="35"/>
        <v>4.0572</v>
      </c>
      <c r="X107" s="348">
        <f t="shared" si="36"/>
        <v>3.0404</v>
      </c>
      <c r="Y107" s="348">
        <f t="shared" si="37"/>
        <v>0.10568</v>
      </c>
      <c r="Z107" s="348">
        <f t="shared" si="38"/>
        <v>0.30704</v>
      </c>
      <c r="AA107" s="348">
        <f t="shared" si="39"/>
        <v>6.0808</v>
      </c>
      <c r="AB107" s="348">
        <f t="shared" si="40"/>
        <v>0</v>
      </c>
      <c r="AC107" s="350"/>
    </row>
    <row r="108" ht="24" spans="1:29">
      <c r="A108" s="284" t="s">
        <v>221</v>
      </c>
      <c r="B108" s="284" t="s">
        <v>199</v>
      </c>
      <c r="C108" s="284" t="s">
        <v>315</v>
      </c>
      <c r="D108" s="284" t="s">
        <v>311</v>
      </c>
      <c r="E108" s="348">
        <f t="shared" si="22"/>
        <v>14.91</v>
      </c>
      <c r="F108" s="348">
        <v>5.57</v>
      </c>
      <c r="G108" s="348">
        <v>2.79</v>
      </c>
      <c r="H108" s="348">
        <v>2.09</v>
      </c>
      <c r="I108" s="348">
        <v>0.07</v>
      </c>
      <c r="J108" s="348">
        <v>0.21</v>
      </c>
      <c r="K108" s="348">
        <v>4.18</v>
      </c>
      <c r="L108" s="348"/>
      <c r="M108" s="348">
        <f t="shared" si="32"/>
        <v>-0.24396</v>
      </c>
      <c r="N108" s="348">
        <f>(SUM('工资福利（公务员、参公人员）'!R108:T108)+SUM('工资福利（事业）'!V108:X108,'工资福利（事业）'!AB108))*0.16</f>
        <v>-0.0912</v>
      </c>
      <c r="O108" s="348">
        <f>(SUM('工资福利（公务员、参公人员）'!R108:S108)+SUM('工资福利（事业）'!V108:X108,'工资福利（事业）'!AB108))*0.08</f>
        <v>-0.0456</v>
      </c>
      <c r="P108" s="348">
        <f>(SUM('工资福利（公务员、参公人员）'!R108:S108)+SUM('工资福利（事业）'!V108:X108,'工资福利（事业）'!AB108))*0.06</f>
        <v>-0.0342</v>
      </c>
      <c r="Q108" s="348">
        <f>(SUM('工资福利（公务员、参公人员）'!R108:S108)+SUM('工资福利（事业）'!V108:X108,'工资福利（事业）'!AB108))*0.002</f>
        <v>-0.00114</v>
      </c>
      <c r="R108" s="348">
        <f>(SUM('工资福利（公务员、参公人员）'!R108:S108)+SUM('工资福利（事业）'!V108:X108,'工资福利（事业）'!AB108))*0.006</f>
        <v>-0.00342</v>
      </c>
      <c r="S108" s="348">
        <f>(SUM('工资福利（公务员、参公人员）'!R108:S108)+SUM('工资福利（事业）'!V108:X108,'工资福利（事业）'!AB108))*0.12</f>
        <v>-0.0684</v>
      </c>
      <c r="T108" s="348"/>
      <c r="U108" s="348">
        <f t="shared" si="33"/>
        <v>14.66604</v>
      </c>
      <c r="V108" s="348">
        <f t="shared" si="34"/>
        <v>5.4788</v>
      </c>
      <c r="W108" s="348">
        <f t="shared" si="35"/>
        <v>2.7444</v>
      </c>
      <c r="X108" s="348">
        <f t="shared" si="36"/>
        <v>2.0558</v>
      </c>
      <c r="Y108" s="348">
        <f t="shared" si="37"/>
        <v>0.06886</v>
      </c>
      <c r="Z108" s="348">
        <f t="shared" si="38"/>
        <v>0.20658</v>
      </c>
      <c r="AA108" s="348">
        <f t="shared" si="39"/>
        <v>4.1116</v>
      </c>
      <c r="AB108" s="348">
        <f t="shared" si="40"/>
        <v>0</v>
      </c>
      <c r="AC108" s="350"/>
    </row>
    <row r="109" ht="24" spans="1:29">
      <c r="A109" s="284" t="s">
        <v>195</v>
      </c>
      <c r="B109" s="284" t="s">
        <v>196</v>
      </c>
      <c r="C109" s="284" t="s">
        <v>316</v>
      </c>
      <c r="D109" s="284" t="s">
        <v>317</v>
      </c>
      <c r="E109" s="348">
        <f t="shared" si="22"/>
        <v>28.36</v>
      </c>
      <c r="F109" s="348">
        <v>10.93</v>
      </c>
      <c r="G109" s="348">
        <v>5.2</v>
      </c>
      <c r="H109" s="348">
        <v>3.9</v>
      </c>
      <c r="I109" s="348">
        <v>0.13</v>
      </c>
      <c r="J109" s="348">
        <v>0.39</v>
      </c>
      <c r="K109" s="348">
        <v>7.81</v>
      </c>
      <c r="L109" s="348"/>
      <c r="M109" s="348">
        <f t="shared" si="32"/>
        <v>1.61396</v>
      </c>
      <c r="N109" s="348">
        <f>(SUM('工资福利（公务员、参公人员）'!R109:T109)+SUM('工资福利（事业）'!V109:X109,'工资福利（事业）'!AB109))*0.16</f>
        <v>0.6304</v>
      </c>
      <c r="O109" s="348">
        <f>(SUM('工资福利（公务员、参公人员）'!R109:S109)+SUM('工资福利（事业）'!V109:X109,'工资福利（事业）'!AB109))*0.08</f>
        <v>0.2936</v>
      </c>
      <c r="P109" s="348">
        <f>(SUM('工资福利（公务员、参公人员）'!R109:S109)+SUM('工资福利（事业）'!V109:X109,'工资福利（事业）'!AB109))*0.06</f>
        <v>0.2202</v>
      </c>
      <c r="Q109" s="348">
        <f>(SUM('工资福利（公务员、参公人员）'!R109:S109)+SUM('工资福利（事业）'!V109:X109,'工资福利（事业）'!AB109))*0.002</f>
        <v>0.00734</v>
      </c>
      <c r="R109" s="348">
        <f>(SUM('工资福利（公务员、参公人员）'!R109:S109)+SUM('工资福利（事业）'!V109:X109,'工资福利（事业）'!AB109))*0.006</f>
        <v>0.02202</v>
      </c>
      <c r="S109" s="348">
        <f>(SUM('工资福利（公务员、参公人员）'!R109:S109)+SUM('工资福利（事业）'!V109:X109,'工资福利（事业）'!AB109))*0.12</f>
        <v>0.4404</v>
      </c>
      <c r="T109" s="348"/>
      <c r="U109" s="348">
        <f t="shared" si="33"/>
        <v>29.97396</v>
      </c>
      <c r="V109" s="348">
        <f t="shared" si="34"/>
        <v>11.5604</v>
      </c>
      <c r="W109" s="348">
        <f t="shared" si="35"/>
        <v>5.4936</v>
      </c>
      <c r="X109" s="348">
        <f t="shared" si="36"/>
        <v>4.1202</v>
      </c>
      <c r="Y109" s="348">
        <f t="shared" si="37"/>
        <v>0.13734</v>
      </c>
      <c r="Z109" s="348">
        <f t="shared" si="38"/>
        <v>0.41202</v>
      </c>
      <c r="AA109" s="348">
        <f t="shared" si="39"/>
        <v>8.2504</v>
      </c>
      <c r="AB109" s="348">
        <f t="shared" si="40"/>
        <v>0</v>
      </c>
      <c r="AC109" s="350"/>
    </row>
    <row r="110" ht="24" spans="1:29">
      <c r="A110" s="284" t="s">
        <v>195</v>
      </c>
      <c r="B110" s="284" t="s">
        <v>199</v>
      </c>
      <c r="C110" s="284" t="s">
        <v>318</v>
      </c>
      <c r="D110" s="284" t="s">
        <v>319</v>
      </c>
      <c r="E110" s="348">
        <f t="shared" si="22"/>
        <v>7.34</v>
      </c>
      <c r="F110" s="348">
        <v>2.75</v>
      </c>
      <c r="G110" s="348">
        <v>1.37</v>
      </c>
      <c r="H110" s="348">
        <v>1.03</v>
      </c>
      <c r="I110" s="348">
        <v>0.03</v>
      </c>
      <c r="J110" s="348">
        <v>0.1</v>
      </c>
      <c r="K110" s="348">
        <v>2.06</v>
      </c>
      <c r="L110" s="348"/>
      <c r="M110" s="348">
        <f t="shared" si="32"/>
        <v>3.88624</v>
      </c>
      <c r="N110" s="348">
        <f>(SUM('工资福利（公务员、参公人员）'!R110:T110)+SUM('工资福利（事业）'!V110:X110,'工资福利（事业）'!AB110))*0.16</f>
        <v>1.4528</v>
      </c>
      <c r="O110" s="348">
        <f>(SUM('工资福利（公务员、参公人员）'!R110:S110)+SUM('工资福利（事业）'!V110:X110,'工资福利（事业）'!AB110))*0.08</f>
        <v>0.7264</v>
      </c>
      <c r="P110" s="348">
        <f>(SUM('工资福利（公务员、参公人员）'!R110:S110)+SUM('工资福利（事业）'!V110:X110,'工资福利（事业）'!AB110))*0.06</f>
        <v>0.5448</v>
      </c>
      <c r="Q110" s="348">
        <f>(SUM('工资福利（公务员、参公人员）'!R110:S110)+SUM('工资福利（事业）'!V110:X110,'工资福利（事业）'!AB110))*0.002</f>
        <v>0.01816</v>
      </c>
      <c r="R110" s="348">
        <f>(SUM('工资福利（公务员、参公人员）'!R110:S110)+SUM('工资福利（事业）'!V110:X110,'工资福利（事业）'!AB110))*0.006</f>
        <v>0.05448</v>
      </c>
      <c r="S110" s="348">
        <f>(SUM('工资福利（公务员、参公人员）'!R110:S110)+SUM('工资福利（事业）'!V110:X110,'工资福利（事业）'!AB110))*0.12</f>
        <v>1.0896</v>
      </c>
      <c r="T110" s="348"/>
      <c r="U110" s="348">
        <f t="shared" si="33"/>
        <v>11.22624</v>
      </c>
      <c r="V110" s="348">
        <f t="shared" si="34"/>
        <v>4.2028</v>
      </c>
      <c r="W110" s="348">
        <f t="shared" si="35"/>
        <v>2.0964</v>
      </c>
      <c r="X110" s="348">
        <f t="shared" si="36"/>
        <v>1.5748</v>
      </c>
      <c r="Y110" s="348">
        <f t="shared" si="37"/>
        <v>0.04816</v>
      </c>
      <c r="Z110" s="348">
        <f t="shared" si="38"/>
        <v>0.15448</v>
      </c>
      <c r="AA110" s="348">
        <f t="shared" si="39"/>
        <v>3.1496</v>
      </c>
      <c r="AB110" s="348">
        <f t="shared" si="40"/>
        <v>0</v>
      </c>
      <c r="AC110" s="350"/>
    </row>
    <row r="111" ht="24" spans="1:29">
      <c r="A111" s="284" t="s">
        <v>195</v>
      </c>
      <c r="B111" s="284" t="s">
        <v>199</v>
      </c>
      <c r="C111" s="284" t="s">
        <v>320</v>
      </c>
      <c r="D111" s="284" t="s">
        <v>319</v>
      </c>
      <c r="E111" s="348">
        <f t="shared" si="22"/>
        <v>10.21</v>
      </c>
      <c r="F111" s="348">
        <v>3.82</v>
      </c>
      <c r="G111" s="348">
        <v>1.91</v>
      </c>
      <c r="H111" s="348">
        <v>1.43</v>
      </c>
      <c r="I111" s="348">
        <v>0.05</v>
      </c>
      <c r="J111" s="348">
        <v>0.14</v>
      </c>
      <c r="K111" s="348">
        <v>2.86</v>
      </c>
      <c r="L111" s="348"/>
      <c r="M111" s="348">
        <f t="shared" si="32"/>
        <v>2.99172</v>
      </c>
      <c r="N111" s="348">
        <f>(SUM('工资福利（公务员、参公人员）'!R111:T111)+SUM('工资福利（事业）'!V111:X111,'工资福利（事业）'!AB111))*0.16</f>
        <v>1.1184</v>
      </c>
      <c r="O111" s="348">
        <f>(SUM('工资福利（公务员、参公人员）'!R111:S111)+SUM('工资福利（事业）'!V111:X111,'工资福利（事业）'!AB111))*0.08</f>
        <v>0.5592</v>
      </c>
      <c r="P111" s="348">
        <f>(SUM('工资福利（公务员、参公人员）'!R111:S111)+SUM('工资福利（事业）'!V111:X111,'工资福利（事业）'!AB111))*0.06</f>
        <v>0.4194</v>
      </c>
      <c r="Q111" s="348">
        <f>(SUM('工资福利（公务员、参公人员）'!R111:S111)+SUM('工资福利（事业）'!V111:X111,'工资福利（事业）'!AB111))*0.002</f>
        <v>0.01398</v>
      </c>
      <c r="R111" s="348">
        <f>(SUM('工资福利（公务员、参公人员）'!R111:S111)+SUM('工资福利（事业）'!V111:X111,'工资福利（事业）'!AB111))*0.006</f>
        <v>0.04194</v>
      </c>
      <c r="S111" s="348">
        <f>(SUM('工资福利（公务员、参公人员）'!R111:S111)+SUM('工资福利（事业）'!V111:X111,'工资福利（事业）'!AB111))*0.12</f>
        <v>0.8388</v>
      </c>
      <c r="T111" s="348"/>
      <c r="U111" s="348">
        <f t="shared" si="33"/>
        <v>13.20172</v>
      </c>
      <c r="V111" s="348">
        <f t="shared" si="34"/>
        <v>4.9384</v>
      </c>
      <c r="W111" s="348">
        <f t="shared" si="35"/>
        <v>2.4692</v>
      </c>
      <c r="X111" s="348">
        <f t="shared" si="36"/>
        <v>1.8494</v>
      </c>
      <c r="Y111" s="348">
        <f t="shared" si="37"/>
        <v>0.06398</v>
      </c>
      <c r="Z111" s="348">
        <f t="shared" si="38"/>
        <v>0.18194</v>
      </c>
      <c r="AA111" s="348">
        <f t="shared" si="39"/>
        <v>3.6988</v>
      </c>
      <c r="AB111" s="348">
        <f t="shared" si="40"/>
        <v>0</v>
      </c>
      <c r="AC111" s="350"/>
    </row>
    <row r="112" ht="24" spans="1:29">
      <c r="A112" s="284" t="s">
        <v>195</v>
      </c>
      <c r="B112" s="284" t="s">
        <v>199</v>
      </c>
      <c r="C112" s="284" t="s">
        <v>321</v>
      </c>
      <c r="D112" s="284" t="s">
        <v>319</v>
      </c>
      <c r="E112" s="348">
        <f t="shared" si="22"/>
        <v>13.18</v>
      </c>
      <c r="F112" s="348">
        <v>4.93</v>
      </c>
      <c r="G112" s="348">
        <v>2.46</v>
      </c>
      <c r="H112" s="348">
        <v>1.85</v>
      </c>
      <c r="I112" s="348">
        <v>0.06</v>
      </c>
      <c r="J112" s="348">
        <v>0.18</v>
      </c>
      <c r="K112" s="348">
        <v>3.7</v>
      </c>
      <c r="L112" s="348"/>
      <c r="M112" s="348">
        <f t="shared" si="32"/>
        <v>0.62916</v>
      </c>
      <c r="N112" s="348">
        <f>(SUM('工资福利（公务员、参公人员）'!R112:T112)+SUM('工资福利（事业）'!V112:X112,'工资福利（事业）'!AB112))*0.16</f>
        <v>0.2352</v>
      </c>
      <c r="O112" s="348">
        <f>(SUM('工资福利（公务员、参公人员）'!R112:S112)+SUM('工资福利（事业）'!V112:X112,'工资福利（事业）'!AB112))*0.08</f>
        <v>0.1176</v>
      </c>
      <c r="P112" s="348">
        <f>(SUM('工资福利（公务员、参公人员）'!R112:S112)+SUM('工资福利（事业）'!V112:X112,'工资福利（事业）'!AB112))*0.06</f>
        <v>0.0882</v>
      </c>
      <c r="Q112" s="348">
        <f>(SUM('工资福利（公务员、参公人员）'!R112:S112)+SUM('工资福利（事业）'!V112:X112,'工资福利（事业）'!AB112))*0.002</f>
        <v>0.00294</v>
      </c>
      <c r="R112" s="348">
        <f>(SUM('工资福利（公务员、参公人员）'!R112:S112)+SUM('工资福利（事业）'!V112:X112,'工资福利（事业）'!AB112))*0.006</f>
        <v>0.00882</v>
      </c>
      <c r="S112" s="348">
        <f>(SUM('工资福利（公务员、参公人员）'!R112:S112)+SUM('工资福利（事业）'!V112:X112,'工资福利（事业）'!AB112))*0.12</f>
        <v>0.1764</v>
      </c>
      <c r="T112" s="348"/>
      <c r="U112" s="348">
        <f t="shared" si="33"/>
        <v>13.80916</v>
      </c>
      <c r="V112" s="348">
        <f t="shared" si="34"/>
        <v>5.1652</v>
      </c>
      <c r="W112" s="348">
        <f t="shared" si="35"/>
        <v>2.5776</v>
      </c>
      <c r="X112" s="348">
        <f t="shared" si="36"/>
        <v>1.9382</v>
      </c>
      <c r="Y112" s="348">
        <f t="shared" si="37"/>
        <v>0.06294</v>
      </c>
      <c r="Z112" s="348">
        <f t="shared" si="38"/>
        <v>0.18882</v>
      </c>
      <c r="AA112" s="348">
        <f t="shared" si="39"/>
        <v>3.8764</v>
      </c>
      <c r="AB112" s="348">
        <f t="shared" si="40"/>
        <v>0</v>
      </c>
      <c r="AC112" s="350"/>
    </row>
    <row r="113" ht="24" spans="1:29">
      <c r="A113" s="284" t="s">
        <v>195</v>
      </c>
      <c r="B113" s="284" t="s">
        <v>199</v>
      </c>
      <c r="C113" s="284" t="s">
        <v>322</v>
      </c>
      <c r="D113" s="284" t="s">
        <v>319</v>
      </c>
      <c r="E113" s="348">
        <f t="shared" si="22"/>
        <v>10.85</v>
      </c>
      <c r="F113" s="348">
        <v>4.06</v>
      </c>
      <c r="G113" s="348">
        <v>2.03</v>
      </c>
      <c r="H113" s="348">
        <v>1.52</v>
      </c>
      <c r="I113" s="348">
        <v>0.05</v>
      </c>
      <c r="J113" s="348">
        <v>0.15</v>
      </c>
      <c r="K113" s="348">
        <v>3.04</v>
      </c>
      <c r="L113" s="348"/>
      <c r="M113" s="348">
        <f t="shared" si="32"/>
        <v>0.90736</v>
      </c>
      <c r="N113" s="348">
        <f>(SUM('工资福利（公务员、参公人员）'!R113:T113)+SUM('工资福利（事业）'!V113:X113,'工资福利（事业）'!AB113))*0.16</f>
        <v>0.3392</v>
      </c>
      <c r="O113" s="348">
        <f>(SUM('工资福利（公务员、参公人员）'!R113:S113)+SUM('工资福利（事业）'!V113:X113,'工资福利（事业）'!AB113))*0.08</f>
        <v>0.1696</v>
      </c>
      <c r="P113" s="348">
        <f>(SUM('工资福利（公务员、参公人员）'!R113:S113)+SUM('工资福利（事业）'!V113:X113,'工资福利（事业）'!AB113))*0.06</f>
        <v>0.1272</v>
      </c>
      <c r="Q113" s="348">
        <f>(SUM('工资福利（公务员、参公人员）'!R113:S113)+SUM('工资福利（事业）'!V113:X113,'工资福利（事业）'!AB113))*0.002</f>
        <v>0.00424</v>
      </c>
      <c r="R113" s="348">
        <f>(SUM('工资福利（公务员、参公人员）'!R113:S113)+SUM('工资福利（事业）'!V113:X113,'工资福利（事业）'!AB113))*0.006</f>
        <v>0.01272</v>
      </c>
      <c r="S113" s="348">
        <f>(SUM('工资福利（公务员、参公人员）'!R113:S113)+SUM('工资福利（事业）'!V113:X113,'工资福利（事业）'!AB113))*0.12</f>
        <v>0.2544</v>
      </c>
      <c r="T113" s="348"/>
      <c r="U113" s="348">
        <f t="shared" si="33"/>
        <v>11.75736</v>
      </c>
      <c r="V113" s="348">
        <f t="shared" si="34"/>
        <v>4.3992</v>
      </c>
      <c r="W113" s="348">
        <f t="shared" si="35"/>
        <v>2.1996</v>
      </c>
      <c r="X113" s="348">
        <f t="shared" si="36"/>
        <v>1.6472</v>
      </c>
      <c r="Y113" s="348">
        <f t="shared" si="37"/>
        <v>0.05424</v>
      </c>
      <c r="Z113" s="348">
        <f t="shared" si="38"/>
        <v>0.16272</v>
      </c>
      <c r="AA113" s="348">
        <f t="shared" si="39"/>
        <v>3.2944</v>
      </c>
      <c r="AB113" s="348">
        <f t="shared" si="40"/>
        <v>0</v>
      </c>
      <c r="AC113" s="350"/>
    </row>
    <row r="114" ht="24" spans="1:29">
      <c r="A114" s="284" t="s">
        <v>195</v>
      </c>
      <c r="B114" s="284" t="s">
        <v>196</v>
      </c>
      <c r="C114" s="284" t="s">
        <v>323</v>
      </c>
      <c r="D114" s="284" t="s">
        <v>324</v>
      </c>
      <c r="E114" s="348">
        <f t="shared" si="22"/>
        <v>132.75</v>
      </c>
      <c r="F114" s="348">
        <v>50.95</v>
      </c>
      <c r="G114" s="348">
        <v>24.42</v>
      </c>
      <c r="H114" s="348">
        <v>18.31</v>
      </c>
      <c r="I114" s="348">
        <v>0.61</v>
      </c>
      <c r="J114" s="348">
        <v>1.83</v>
      </c>
      <c r="K114" s="348">
        <v>36.63</v>
      </c>
      <c r="L114" s="348"/>
      <c r="M114" s="348">
        <f t="shared" si="32"/>
        <v>113.9824</v>
      </c>
      <c r="N114" s="348">
        <f>(SUM('工资福利（公务员、参公人员）'!R114:T114)+SUM('工资福利（事业）'!V114:X114,'工资福利（事业）'!AB114))*0.16</f>
        <v>43.8736</v>
      </c>
      <c r="O114" s="348">
        <f>(SUM('工资福利（公务员、参公人员）'!R114:S114)+SUM('工资福利（事业）'!V114:X114,'工资福利（事业）'!AB114))*0.08</f>
        <v>20.928</v>
      </c>
      <c r="P114" s="348">
        <f>(SUM('工资福利（公务员、参公人员）'!R114:S114)+SUM('工资福利（事业）'!V114:X114,'工资福利（事业）'!AB114))*0.06</f>
        <v>15.696</v>
      </c>
      <c r="Q114" s="348">
        <f>(SUM('工资福利（公务员、参公人员）'!R114:S114)+SUM('工资福利（事业）'!V114:X114,'工资福利（事业）'!AB114))*0.002</f>
        <v>0.5232</v>
      </c>
      <c r="R114" s="348">
        <f>(SUM('工资福利（公务员、参公人员）'!R114:S114)+SUM('工资福利（事业）'!V114:X114,'工资福利（事业）'!AB114))*0.006</f>
        <v>1.5696</v>
      </c>
      <c r="S114" s="348">
        <f>(SUM('工资福利（公务员、参公人员）'!R114:S114)+SUM('工资福利（事业）'!V114:X114,'工资福利（事业）'!AB114))*0.12</f>
        <v>31.392</v>
      </c>
      <c r="T114" s="348"/>
      <c r="U114" s="348">
        <f t="shared" si="33"/>
        <v>246.7324</v>
      </c>
      <c r="V114" s="348">
        <f t="shared" si="34"/>
        <v>94.8236</v>
      </c>
      <c r="W114" s="348">
        <f t="shared" si="35"/>
        <v>45.348</v>
      </c>
      <c r="X114" s="348">
        <f t="shared" si="36"/>
        <v>34.006</v>
      </c>
      <c r="Y114" s="348">
        <f t="shared" si="37"/>
        <v>1.1332</v>
      </c>
      <c r="Z114" s="348">
        <f t="shared" si="38"/>
        <v>3.3996</v>
      </c>
      <c r="AA114" s="348">
        <f t="shared" si="39"/>
        <v>68.022</v>
      </c>
      <c r="AB114" s="348">
        <f t="shared" si="40"/>
        <v>0</v>
      </c>
      <c r="AC114" s="350"/>
    </row>
    <row r="115" ht="24" spans="1:29">
      <c r="A115" s="284" t="s">
        <v>195</v>
      </c>
      <c r="B115" s="284" t="s">
        <v>199</v>
      </c>
      <c r="C115" s="284" t="s">
        <v>325</v>
      </c>
      <c r="D115" s="284" t="s">
        <v>326</v>
      </c>
      <c r="E115" s="348">
        <f t="shared" si="22"/>
        <v>13.3</v>
      </c>
      <c r="F115" s="348">
        <v>4.97</v>
      </c>
      <c r="G115" s="348">
        <v>2.49</v>
      </c>
      <c r="H115" s="348">
        <v>1.86</v>
      </c>
      <c r="I115" s="348">
        <v>0.06</v>
      </c>
      <c r="J115" s="348">
        <v>0.19</v>
      </c>
      <c r="K115" s="348">
        <v>3.73</v>
      </c>
      <c r="L115" s="348"/>
      <c r="M115" s="348">
        <f t="shared" si="32"/>
        <v>7.07484</v>
      </c>
      <c r="N115" s="348">
        <f>(SUM('工资福利（公务员、参公人员）'!R115:T115)+SUM('工资福利（事业）'!V115:X115,'工资福利（事业）'!AB115))*0.16</f>
        <v>2.6448</v>
      </c>
      <c r="O115" s="348">
        <f>(SUM('工资福利（公务员、参公人员）'!R115:S115)+SUM('工资福利（事业）'!V115:X115,'工资福利（事业）'!AB115))*0.08</f>
        <v>1.3224</v>
      </c>
      <c r="P115" s="348">
        <f>(SUM('工资福利（公务员、参公人员）'!R115:S115)+SUM('工资福利（事业）'!V115:X115,'工资福利（事业）'!AB115))*0.06</f>
        <v>0.9918</v>
      </c>
      <c r="Q115" s="348">
        <f>(SUM('工资福利（公务员、参公人员）'!R115:S115)+SUM('工资福利（事业）'!V115:X115,'工资福利（事业）'!AB115))*0.002</f>
        <v>0.03306</v>
      </c>
      <c r="R115" s="348">
        <f>(SUM('工资福利（公务员、参公人员）'!R115:S115)+SUM('工资福利（事业）'!V115:X115,'工资福利（事业）'!AB115))*0.006</f>
        <v>0.09918</v>
      </c>
      <c r="S115" s="348">
        <f>(SUM('工资福利（公务员、参公人员）'!R115:S115)+SUM('工资福利（事业）'!V115:X115,'工资福利（事业）'!AB115))*0.12</f>
        <v>1.9836</v>
      </c>
      <c r="T115" s="348"/>
      <c r="U115" s="348">
        <f t="shared" si="33"/>
        <v>20.37484</v>
      </c>
      <c r="V115" s="348">
        <f t="shared" si="34"/>
        <v>7.6148</v>
      </c>
      <c r="W115" s="348">
        <f t="shared" si="35"/>
        <v>3.8124</v>
      </c>
      <c r="X115" s="348">
        <f t="shared" si="36"/>
        <v>2.8518</v>
      </c>
      <c r="Y115" s="348">
        <f t="shared" si="37"/>
        <v>0.09306</v>
      </c>
      <c r="Z115" s="348">
        <f t="shared" si="38"/>
        <v>0.28918</v>
      </c>
      <c r="AA115" s="348">
        <f t="shared" si="39"/>
        <v>5.7136</v>
      </c>
      <c r="AB115" s="348">
        <f t="shared" si="40"/>
        <v>0</v>
      </c>
      <c r="AC115" s="350"/>
    </row>
    <row r="116" ht="24" spans="1:29">
      <c r="A116" s="284" t="s">
        <v>208</v>
      </c>
      <c r="B116" s="284" t="s">
        <v>196</v>
      </c>
      <c r="C116" s="284" t="s">
        <v>327</v>
      </c>
      <c r="D116" s="284" t="s">
        <v>328</v>
      </c>
      <c r="E116" s="348">
        <f t="shared" si="22"/>
        <v>61.11</v>
      </c>
      <c r="F116" s="348">
        <v>22.01</v>
      </c>
      <c r="G116" s="348">
        <v>10.48</v>
      </c>
      <c r="H116" s="348">
        <v>7.86</v>
      </c>
      <c r="I116" s="348">
        <v>0.26</v>
      </c>
      <c r="J116" s="348">
        <v>0.79</v>
      </c>
      <c r="K116" s="348">
        <v>15.72</v>
      </c>
      <c r="L116" s="348">
        <v>3.99</v>
      </c>
      <c r="M116" s="348">
        <f t="shared" si="32"/>
        <v>-7.22064</v>
      </c>
      <c r="N116" s="348">
        <f>(SUM('工资福利（公务员、参公人员）'!R116:T116)+SUM('工资福利（事业）'!V116:X116,'工资福利（事业）'!AB116))*0.16</f>
        <v>-2.7504</v>
      </c>
      <c r="O116" s="348">
        <f>(SUM('工资福利（公务员、参公人员）'!R116:S116)+SUM('工资福利（事业）'!V116:X116,'工资福利（事业）'!AB116))*0.08</f>
        <v>-1.3344</v>
      </c>
      <c r="P116" s="348">
        <f>(SUM('工资福利（公务员、参公人员）'!R116:S116)+SUM('工资福利（事业）'!V116:X116,'工资福利（事业）'!AB116))*0.06</f>
        <v>-1.0008</v>
      </c>
      <c r="Q116" s="348">
        <f>(SUM('工资福利（公务员、参公人员）'!R116:S116)+SUM('工资福利（事业）'!V116:X116,'工资福利（事业）'!AB116))*0.002</f>
        <v>-0.03336</v>
      </c>
      <c r="R116" s="348">
        <f>(SUM('工资福利（公务员、参公人员）'!R116:S116)+SUM('工资福利（事业）'!V116:X116,'工资福利（事业）'!AB116))*0.006</f>
        <v>-0.10008</v>
      </c>
      <c r="S116" s="348">
        <f>(SUM('工资福利（公务员、参公人员）'!R116:S116)+SUM('工资福利（事业）'!V116:X116,'工资福利（事业）'!AB116))*0.12</f>
        <v>-2.0016</v>
      </c>
      <c r="T116" s="348"/>
      <c r="U116" s="348">
        <f t="shared" si="33"/>
        <v>53.88936</v>
      </c>
      <c r="V116" s="348">
        <f t="shared" si="34"/>
        <v>19.2596</v>
      </c>
      <c r="W116" s="348">
        <f t="shared" si="35"/>
        <v>9.1456</v>
      </c>
      <c r="X116" s="348">
        <f t="shared" si="36"/>
        <v>6.8592</v>
      </c>
      <c r="Y116" s="348">
        <f t="shared" si="37"/>
        <v>0.22664</v>
      </c>
      <c r="Z116" s="348">
        <f t="shared" si="38"/>
        <v>0.68992</v>
      </c>
      <c r="AA116" s="348">
        <f t="shared" si="39"/>
        <v>13.7184</v>
      </c>
      <c r="AB116" s="348">
        <f t="shared" si="40"/>
        <v>3.99</v>
      </c>
      <c r="AC116" s="350"/>
    </row>
    <row r="117" ht="24" spans="1:29">
      <c r="A117" s="284" t="s">
        <v>290</v>
      </c>
      <c r="B117" s="284" t="s">
        <v>196</v>
      </c>
      <c r="C117" s="284" t="s">
        <v>329</v>
      </c>
      <c r="D117" s="284" t="s">
        <v>328</v>
      </c>
      <c r="E117" s="348">
        <f t="shared" si="22"/>
        <v>39.43</v>
      </c>
      <c r="F117" s="348">
        <v>15.17</v>
      </c>
      <c r="G117" s="348">
        <v>7.24</v>
      </c>
      <c r="H117" s="348">
        <v>5.43</v>
      </c>
      <c r="I117" s="348">
        <v>0.18</v>
      </c>
      <c r="J117" s="348">
        <v>0.54</v>
      </c>
      <c r="K117" s="348">
        <v>10.87</v>
      </c>
      <c r="L117" s="348"/>
      <c r="M117" s="348">
        <f t="shared" si="32"/>
        <v>6.446964</v>
      </c>
      <c r="N117" s="348">
        <f>(SUM('工资福利（公务员、参公人员）'!R117:T117)+SUM('工资福利（事业）'!V117:X117,'工资福利（事业）'!AB117))*0.16</f>
        <v>2.41008</v>
      </c>
      <c r="O117" s="348">
        <f>(SUM('工资福利（公务员、参公人员）'!R117:S117)+SUM('工资福利（事业）'!V117:X117,'工资福利（事业）'!AB117))*0.08</f>
        <v>1.20504</v>
      </c>
      <c r="P117" s="348">
        <f>(SUM('工资福利（公务员、参公人员）'!R117:S117)+SUM('工资福利（事业）'!V117:X117,'工资福利（事业）'!AB117))*0.06</f>
        <v>0.90378</v>
      </c>
      <c r="Q117" s="348">
        <f>(SUM('工资福利（公务员、参公人员）'!R117:S117)+SUM('工资福利（事业）'!V117:X117,'工资福利（事业）'!AB117))*0.002</f>
        <v>0.030126</v>
      </c>
      <c r="R117" s="348">
        <f>(SUM('工资福利（公务员、参公人员）'!R117:S117)+SUM('工资福利（事业）'!V117:X117,'工资福利（事业）'!AB117))*0.006</f>
        <v>0.090378</v>
      </c>
      <c r="S117" s="348">
        <f>(SUM('工资福利（公务员、参公人员）'!R117:S117)+SUM('工资福利（事业）'!V117:X117,'工资福利（事业）'!AB117))*0.12</f>
        <v>1.80756</v>
      </c>
      <c r="T117" s="348"/>
      <c r="U117" s="348">
        <f t="shared" si="33"/>
        <v>45.876964</v>
      </c>
      <c r="V117" s="348">
        <f t="shared" si="34"/>
        <v>17.58008</v>
      </c>
      <c r="W117" s="348">
        <f t="shared" si="35"/>
        <v>8.44504</v>
      </c>
      <c r="X117" s="348">
        <f t="shared" si="36"/>
        <v>6.33378</v>
      </c>
      <c r="Y117" s="348">
        <f t="shared" si="37"/>
        <v>0.210126</v>
      </c>
      <c r="Z117" s="348">
        <f t="shared" si="38"/>
        <v>0.630378</v>
      </c>
      <c r="AA117" s="348">
        <f t="shared" si="39"/>
        <v>12.67756</v>
      </c>
      <c r="AB117" s="348">
        <f t="shared" si="40"/>
        <v>0</v>
      </c>
      <c r="AC117" s="350"/>
    </row>
    <row r="118" ht="24" spans="1:29">
      <c r="A118" s="284" t="s">
        <v>208</v>
      </c>
      <c r="B118" s="284" t="s">
        <v>196</v>
      </c>
      <c r="C118" s="284" t="s">
        <v>330</v>
      </c>
      <c r="D118" s="284" t="s">
        <v>328</v>
      </c>
      <c r="E118" s="348">
        <f t="shared" si="22"/>
        <v>23.57</v>
      </c>
      <c r="F118" s="348">
        <v>9.1</v>
      </c>
      <c r="G118" s="348">
        <v>4.32</v>
      </c>
      <c r="H118" s="348">
        <v>3.24</v>
      </c>
      <c r="I118" s="348">
        <v>0.11</v>
      </c>
      <c r="J118" s="348">
        <v>0.32</v>
      </c>
      <c r="K118" s="348">
        <v>6.48</v>
      </c>
      <c r="L118" s="348"/>
      <c r="M118" s="348">
        <f t="shared" si="32"/>
        <v>4.52588</v>
      </c>
      <c r="N118" s="348">
        <f>(SUM('工资福利（公务员、参公人员）'!R118:T118)+SUM('工资福利（事业）'!V118:X118,'工资福利（事业）'!AB118))*0.16</f>
        <v>1.736</v>
      </c>
      <c r="O118" s="348">
        <f>(SUM('工资福利（公务员、参公人员）'!R118:S118)+SUM('工资福利（事业）'!V118:X118,'工资福利（事业）'!AB118))*0.08</f>
        <v>0.8328</v>
      </c>
      <c r="P118" s="348">
        <f>(SUM('工资福利（公务员、参公人员）'!R118:S118)+SUM('工资福利（事业）'!V118:X118,'工资福利（事业）'!AB118))*0.06</f>
        <v>0.6246</v>
      </c>
      <c r="Q118" s="348">
        <f>(SUM('工资福利（公务员、参公人员）'!R118:S118)+SUM('工资福利（事业）'!V118:X118,'工资福利（事业）'!AB118))*0.002</f>
        <v>0.02082</v>
      </c>
      <c r="R118" s="348">
        <f>(SUM('工资福利（公务员、参公人员）'!R118:S118)+SUM('工资福利（事业）'!V118:X118,'工资福利（事业）'!AB118))*0.006</f>
        <v>0.06246</v>
      </c>
      <c r="S118" s="348">
        <f>(SUM('工资福利（公务员、参公人员）'!R118:S118)+SUM('工资福利（事业）'!V118:X118,'工资福利（事业）'!AB118))*0.12</f>
        <v>1.2492</v>
      </c>
      <c r="T118" s="348"/>
      <c r="U118" s="348">
        <f t="shared" si="33"/>
        <v>28.09588</v>
      </c>
      <c r="V118" s="348">
        <f t="shared" si="34"/>
        <v>10.836</v>
      </c>
      <c r="W118" s="348">
        <f t="shared" si="35"/>
        <v>5.1528</v>
      </c>
      <c r="X118" s="348">
        <f t="shared" si="36"/>
        <v>3.8646</v>
      </c>
      <c r="Y118" s="348">
        <f t="shared" si="37"/>
        <v>0.13082</v>
      </c>
      <c r="Z118" s="348">
        <f t="shared" si="38"/>
        <v>0.38246</v>
      </c>
      <c r="AA118" s="348">
        <f t="shared" si="39"/>
        <v>7.7292</v>
      </c>
      <c r="AB118" s="348">
        <f t="shared" si="40"/>
        <v>0</v>
      </c>
      <c r="AC118" s="350"/>
    </row>
    <row r="119" ht="24" spans="1:29">
      <c r="A119" s="284" t="s">
        <v>208</v>
      </c>
      <c r="B119" s="284" t="s">
        <v>199</v>
      </c>
      <c r="C119" s="284" t="s">
        <v>331</v>
      </c>
      <c r="D119" s="284" t="s">
        <v>332</v>
      </c>
      <c r="E119" s="348">
        <f t="shared" si="22"/>
        <v>36.52</v>
      </c>
      <c r="F119" s="348">
        <v>13.65</v>
      </c>
      <c r="G119" s="348">
        <v>6.83</v>
      </c>
      <c r="H119" s="348">
        <v>5.12</v>
      </c>
      <c r="I119" s="348">
        <v>0.17</v>
      </c>
      <c r="J119" s="348">
        <v>0.51</v>
      </c>
      <c r="K119" s="348">
        <v>10.24</v>
      </c>
      <c r="L119" s="348"/>
      <c r="M119" s="348">
        <f t="shared" si="32"/>
        <v>3.28704</v>
      </c>
      <c r="N119" s="348">
        <f>(SUM('工资福利（公务员、参公人员）'!R119:T119)+SUM('工资福利（事业）'!V119:X119,'工资福利（事业）'!AB119))*0.16</f>
        <v>1.2288</v>
      </c>
      <c r="O119" s="348">
        <f>(SUM('工资福利（公务员、参公人员）'!R119:S119)+SUM('工资福利（事业）'!V119:X119,'工资福利（事业）'!AB119))*0.08</f>
        <v>0.6144</v>
      </c>
      <c r="P119" s="348">
        <f>(SUM('工资福利（公务员、参公人员）'!R119:S119)+SUM('工资福利（事业）'!V119:X119,'工资福利（事业）'!AB119))*0.06</f>
        <v>0.4608</v>
      </c>
      <c r="Q119" s="348">
        <f>(SUM('工资福利（公务员、参公人员）'!R119:S119)+SUM('工资福利（事业）'!V119:X119,'工资福利（事业）'!AB119))*0.002</f>
        <v>0.01536</v>
      </c>
      <c r="R119" s="348">
        <f>(SUM('工资福利（公务员、参公人员）'!R119:S119)+SUM('工资福利（事业）'!V119:X119,'工资福利（事业）'!AB119))*0.006</f>
        <v>0.04608</v>
      </c>
      <c r="S119" s="348">
        <f>(SUM('工资福利（公务员、参公人员）'!R119:S119)+SUM('工资福利（事业）'!V119:X119,'工资福利（事业）'!AB119))*0.12</f>
        <v>0.9216</v>
      </c>
      <c r="T119" s="348"/>
      <c r="U119" s="348">
        <f t="shared" si="33"/>
        <v>39.80704</v>
      </c>
      <c r="V119" s="348">
        <f t="shared" si="34"/>
        <v>14.8788</v>
      </c>
      <c r="W119" s="348">
        <f t="shared" si="35"/>
        <v>7.4444</v>
      </c>
      <c r="X119" s="348">
        <f t="shared" si="36"/>
        <v>5.5808</v>
      </c>
      <c r="Y119" s="348">
        <f t="shared" si="37"/>
        <v>0.18536</v>
      </c>
      <c r="Z119" s="348">
        <f t="shared" si="38"/>
        <v>0.55608</v>
      </c>
      <c r="AA119" s="348">
        <f t="shared" si="39"/>
        <v>11.1616</v>
      </c>
      <c r="AB119" s="348">
        <f t="shared" si="40"/>
        <v>0</v>
      </c>
      <c r="AC119" s="350"/>
    </row>
    <row r="120" ht="24" spans="1:29">
      <c r="A120" s="284" t="s">
        <v>208</v>
      </c>
      <c r="B120" s="284" t="s">
        <v>199</v>
      </c>
      <c r="C120" s="284" t="s">
        <v>333</v>
      </c>
      <c r="D120" s="284" t="s">
        <v>332</v>
      </c>
      <c r="E120" s="348">
        <f t="shared" si="22"/>
        <v>31.07</v>
      </c>
      <c r="F120" s="348">
        <v>11.61</v>
      </c>
      <c r="G120" s="348">
        <v>5.81</v>
      </c>
      <c r="H120" s="348">
        <v>4.35</v>
      </c>
      <c r="I120" s="348">
        <v>0.15</v>
      </c>
      <c r="J120" s="348">
        <v>0.44</v>
      </c>
      <c r="K120" s="348">
        <v>8.71</v>
      </c>
      <c r="L120" s="348"/>
      <c r="M120" s="348">
        <f t="shared" si="32"/>
        <v>-0.99724</v>
      </c>
      <c r="N120" s="348">
        <f>(SUM('工资福利（公务员、参公人员）'!R120:T120)+SUM('工资福利（事业）'!V120:X120,'工资福利（事业）'!AB120))*0.16</f>
        <v>-0.3728</v>
      </c>
      <c r="O120" s="348">
        <f>(SUM('工资福利（公务员、参公人员）'!R120:S120)+SUM('工资福利（事业）'!V120:X120,'工资福利（事业）'!AB120))*0.08</f>
        <v>-0.1864</v>
      </c>
      <c r="P120" s="348">
        <f>(SUM('工资福利（公务员、参公人员）'!R120:S120)+SUM('工资福利（事业）'!V120:X120,'工资福利（事业）'!AB120))*0.06</f>
        <v>-0.1398</v>
      </c>
      <c r="Q120" s="348">
        <f>(SUM('工资福利（公务员、参公人员）'!R120:S120)+SUM('工资福利（事业）'!V120:X120,'工资福利（事业）'!AB120))*0.002</f>
        <v>-0.00466</v>
      </c>
      <c r="R120" s="348">
        <f>(SUM('工资福利（公务员、参公人员）'!R120:S120)+SUM('工资福利（事业）'!V120:X120,'工资福利（事业）'!AB120))*0.006</f>
        <v>-0.01398</v>
      </c>
      <c r="S120" s="348">
        <f>(SUM('工资福利（公务员、参公人员）'!R120:S120)+SUM('工资福利（事业）'!V120:X120,'工资福利（事业）'!AB120))*0.12</f>
        <v>-0.2796</v>
      </c>
      <c r="T120" s="348"/>
      <c r="U120" s="348">
        <f t="shared" si="33"/>
        <v>30.07276</v>
      </c>
      <c r="V120" s="348">
        <f t="shared" si="34"/>
        <v>11.2372</v>
      </c>
      <c r="W120" s="348">
        <f t="shared" si="35"/>
        <v>5.6236</v>
      </c>
      <c r="X120" s="348">
        <f t="shared" si="36"/>
        <v>4.2102</v>
      </c>
      <c r="Y120" s="348">
        <f t="shared" si="37"/>
        <v>0.14534</v>
      </c>
      <c r="Z120" s="348">
        <f t="shared" si="38"/>
        <v>0.42602</v>
      </c>
      <c r="AA120" s="348">
        <f t="shared" si="39"/>
        <v>8.4304</v>
      </c>
      <c r="AB120" s="348">
        <f t="shared" si="40"/>
        <v>0</v>
      </c>
      <c r="AC120" s="350"/>
    </row>
    <row r="121" ht="24" spans="1:29">
      <c r="A121" s="284" t="s">
        <v>208</v>
      </c>
      <c r="B121" s="284" t="s">
        <v>199</v>
      </c>
      <c r="C121" s="284" t="s">
        <v>334</v>
      </c>
      <c r="D121" s="284" t="s">
        <v>332</v>
      </c>
      <c r="E121" s="348">
        <f t="shared" si="22"/>
        <v>6.85</v>
      </c>
      <c r="F121" s="348">
        <v>2.56</v>
      </c>
      <c r="G121" s="348">
        <v>1.28</v>
      </c>
      <c r="H121" s="348">
        <v>0.96</v>
      </c>
      <c r="I121" s="348">
        <v>0.03</v>
      </c>
      <c r="J121" s="348">
        <v>0.1</v>
      </c>
      <c r="K121" s="348">
        <v>1.92</v>
      </c>
      <c r="L121" s="348"/>
      <c r="M121" s="348">
        <f t="shared" si="32"/>
        <v>0.5778</v>
      </c>
      <c r="N121" s="348">
        <f>(SUM('工资福利（公务员、参公人员）'!R121:T121)+SUM('工资福利（事业）'!V121:X121,'工资福利（事业）'!AB121))*0.16</f>
        <v>0.216</v>
      </c>
      <c r="O121" s="348">
        <f>(SUM('工资福利（公务员、参公人员）'!R121:S121)+SUM('工资福利（事业）'!V121:X121,'工资福利（事业）'!AB121))*0.08</f>
        <v>0.108</v>
      </c>
      <c r="P121" s="348">
        <f>(SUM('工资福利（公务员、参公人员）'!R121:S121)+SUM('工资福利（事业）'!V121:X121,'工资福利（事业）'!AB121))*0.06</f>
        <v>0.081</v>
      </c>
      <c r="Q121" s="348">
        <f>(SUM('工资福利（公务员、参公人员）'!R121:S121)+SUM('工资福利（事业）'!V121:X121,'工资福利（事业）'!AB121))*0.002</f>
        <v>0.0027</v>
      </c>
      <c r="R121" s="348">
        <f>(SUM('工资福利（公务员、参公人员）'!R121:S121)+SUM('工资福利（事业）'!V121:X121,'工资福利（事业）'!AB121))*0.006</f>
        <v>0.0081</v>
      </c>
      <c r="S121" s="348">
        <f>(SUM('工资福利（公务员、参公人员）'!R121:S121)+SUM('工资福利（事业）'!V121:X121,'工资福利（事业）'!AB121))*0.12</f>
        <v>0.162</v>
      </c>
      <c r="T121" s="348"/>
      <c r="U121" s="348">
        <f t="shared" si="33"/>
        <v>7.4278</v>
      </c>
      <c r="V121" s="348">
        <f t="shared" si="34"/>
        <v>2.776</v>
      </c>
      <c r="W121" s="348">
        <f t="shared" si="35"/>
        <v>1.388</v>
      </c>
      <c r="X121" s="348">
        <f t="shared" si="36"/>
        <v>1.041</v>
      </c>
      <c r="Y121" s="348">
        <f t="shared" si="37"/>
        <v>0.0327</v>
      </c>
      <c r="Z121" s="348">
        <f t="shared" si="38"/>
        <v>0.1081</v>
      </c>
      <c r="AA121" s="348">
        <f t="shared" si="39"/>
        <v>2.082</v>
      </c>
      <c r="AB121" s="348">
        <f t="shared" si="40"/>
        <v>0</v>
      </c>
      <c r="AC121" s="350"/>
    </row>
    <row r="122" ht="24" spans="1:29">
      <c r="A122" s="284" t="s">
        <v>208</v>
      </c>
      <c r="B122" s="284" t="s">
        <v>199</v>
      </c>
      <c r="C122" s="284" t="s">
        <v>335</v>
      </c>
      <c r="D122" s="284" t="s">
        <v>332</v>
      </c>
      <c r="E122" s="348">
        <f t="shared" si="22"/>
        <v>18.34</v>
      </c>
      <c r="F122" s="348">
        <v>6.85</v>
      </c>
      <c r="G122" s="348">
        <v>3.43</v>
      </c>
      <c r="H122" s="348">
        <v>2.57</v>
      </c>
      <c r="I122" s="348">
        <v>0.09</v>
      </c>
      <c r="J122" s="348">
        <v>0.26</v>
      </c>
      <c r="K122" s="348">
        <v>5.14</v>
      </c>
      <c r="L122" s="348"/>
      <c r="M122" s="348">
        <f t="shared" si="32"/>
        <v>1.59644</v>
      </c>
      <c r="N122" s="348">
        <f>(SUM('工资福利（公务员、参公人员）'!R122:T122)+SUM('工资福利（事业）'!V122:X122,'工资福利（事业）'!AB122))*0.16</f>
        <v>0.5968</v>
      </c>
      <c r="O122" s="348">
        <f>(SUM('工资福利（公务员、参公人员）'!R122:S122)+SUM('工资福利（事业）'!V122:X122,'工资福利（事业）'!AB122))*0.08</f>
        <v>0.2984</v>
      </c>
      <c r="P122" s="348">
        <f>(SUM('工资福利（公务员、参公人员）'!R122:S122)+SUM('工资福利（事业）'!V122:X122,'工资福利（事业）'!AB122))*0.06</f>
        <v>0.2238</v>
      </c>
      <c r="Q122" s="348">
        <f>(SUM('工资福利（公务员、参公人员）'!R122:S122)+SUM('工资福利（事业）'!V122:X122,'工资福利（事业）'!AB122))*0.002</f>
        <v>0.00746</v>
      </c>
      <c r="R122" s="348">
        <f>(SUM('工资福利（公务员、参公人员）'!R122:S122)+SUM('工资福利（事业）'!V122:X122,'工资福利（事业）'!AB122))*0.006</f>
        <v>0.02238</v>
      </c>
      <c r="S122" s="348">
        <f>(SUM('工资福利（公务员、参公人员）'!R122:S122)+SUM('工资福利（事业）'!V122:X122,'工资福利（事业）'!AB122))*0.12</f>
        <v>0.4476</v>
      </c>
      <c r="T122" s="348"/>
      <c r="U122" s="348">
        <f t="shared" si="33"/>
        <v>19.93644</v>
      </c>
      <c r="V122" s="348">
        <f t="shared" si="34"/>
        <v>7.4468</v>
      </c>
      <c r="W122" s="348">
        <f t="shared" si="35"/>
        <v>3.7284</v>
      </c>
      <c r="X122" s="348">
        <f t="shared" si="36"/>
        <v>2.7938</v>
      </c>
      <c r="Y122" s="348">
        <f t="shared" si="37"/>
        <v>0.09746</v>
      </c>
      <c r="Z122" s="348">
        <f t="shared" si="38"/>
        <v>0.28238</v>
      </c>
      <c r="AA122" s="348">
        <f t="shared" si="39"/>
        <v>5.5876</v>
      </c>
      <c r="AB122" s="348">
        <f t="shared" si="40"/>
        <v>0</v>
      </c>
      <c r="AC122" s="350"/>
    </row>
    <row r="123" ht="24" spans="1:29">
      <c r="A123" s="284" t="s">
        <v>208</v>
      </c>
      <c r="B123" s="284" t="s">
        <v>199</v>
      </c>
      <c r="C123" s="284" t="s">
        <v>336</v>
      </c>
      <c r="D123" s="284" t="s">
        <v>332</v>
      </c>
      <c r="E123" s="348">
        <f t="shared" si="22"/>
        <v>6.39</v>
      </c>
      <c r="F123" s="348">
        <v>2.39</v>
      </c>
      <c r="G123" s="348">
        <v>1.19</v>
      </c>
      <c r="H123" s="348">
        <v>0.9</v>
      </c>
      <c r="I123" s="348">
        <v>0.03</v>
      </c>
      <c r="J123" s="348">
        <v>0.09</v>
      </c>
      <c r="K123" s="348">
        <v>1.79</v>
      </c>
      <c r="L123" s="348"/>
      <c r="M123" s="348">
        <f t="shared" si="32"/>
        <v>2.8676</v>
      </c>
      <c r="N123" s="348">
        <f>(SUM('工资福利（公务员、参公人员）'!R123:T123)+SUM('工资福利（事业）'!V123:X123,'工资福利（事业）'!AB123))*0.16</f>
        <v>1.072</v>
      </c>
      <c r="O123" s="348">
        <f>(SUM('工资福利（公务员、参公人员）'!R123:S123)+SUM('工资福利（事业）'!V123:X123,'工资福利（事业）'!AB123))*0.08</f>
        <v>0.536</v>
      </c>
      <c r="P123" s="348">
        <f>(SUM('工资福利（公务员、参公人员）'!R123:S123)+SUM('工资福利（事业）'!V123:X123,'工资福利（事业）'!AB123))*0.06</f>
        <v>0.402</v>
      </c>
      <c r="Q123" s="348">
        <f>(SUM('工资福利（公务员、参公人员）'!R123:S123)+SUM('工资福利（事业）'!V123:X123,'工资福利（事业）'!AB123))*0.002</f>
        <v>0.0134</v>
      </c>
      <c r="R123" s="348">
        <f>(SUM('工资福利（公务员、参公人员）'!R123:S123)+SUM('工资福利（事业）'!V123:X123,'工资福利（事业）'!AB123))*0.006</f>
        <v>0.0402</v>
      </c>
      <c r="S123" s="348">
        <f>(SUM('工资福利（公务员、参公人员）'!R123:S123)+SUM('工资福利（事业）'!V123:X123,'工资福利（事业）'!AB123))*0.12</f>
        <v>0.804</v>
      </c>
      <c r="T123" s="348"/>
      <c r="U123" s="348">
        <f t="shared" si="33"/>
        <v>9.2576</v>
      </c>
      <c r="V123" s="348">
        <f t="shared" si="34"/>
        <v>3.462</v>
      </c>
      <c r="W123" s="348">
        <f t="shared" si="35"/>
        <v>1.726</v>
      </c>
      <c r="X123" s="348">
        <f t="shared" si="36"/>
        <v>1.302</v>
      </c>
      <c r="Y123" s="348">
        <f t="shared" si="37"/>
        <v>0.0434</v>
      </c>
      <c r="Z123" s="348">
        <f t="shared" si="38"/>
        <v>0.1302</v>
      </c>
      <c r="AA123" s="348">
        <f t="shared" si="39"/>
        <v>2.594</v>
      </c>
      <c r="AB123" s="348">
        <f t="shared" si="40"/>
        <v>0</v>
      </c>
      <c r="AC123" s="350"/>
    </row>
    <row r="124" ht="24" spans="1:29">
      <c r="A124" s="284" t="s">
        <v>290</v>
      </c>
      <c r="B124" s="284" t="s">
        <v>199</v>
      </c>
      <c r="C124" s="284" t="s">
        <v>337</v>
      </c>
      <c r="D124" s="284" t="s">
        <v>332</v>
      </c>
      <c r="E124" s="348">
        <f t="shared" si="22"/>
        <v>16.53</v>
      </c>
      <c r="F124" s="348">
        <v>6.18</v>
      </c>
      <c r="G124" s="348">
        <v>3.09</v>
      </c>
      <c r="H124" s="348">
        <v>2.32</v>
      </c>
      <c r="I124" s="348">
        <v>0.08</v>
      </c>
      <c r="J124" s="348">
        <v>0.23</v>
      </c>
      <c r="K124" s="348">
        <v>4.63</v>
      </c>
      <c r="L124" s="348"/>
      <c r="M124" s="348">
        <f t="shared" si="32"/>
        <v>-0.6448676</v>
      </c>
      <c r="N124" s="348">
        <f>(SUM('工资福利（公务员、参公人员）'!R124:T124)+SUM('工资福利（事业）'!V124:X124,'工资福利（事业）'!AB124))*0.16</f>
        <v>-0.241072</v>
      </c>
      <c r="O124" s="348">
        <f>(SUM('工资福利（公务员、参公人员）'!R124:S124)+SUM('工资福利（事业）'!V124:X124,'工资福利（事业）'!AB124))*0.08</f>
        <v>-0.120536</v>
      </c>
      <c r="P124" s="348">
        <f>(SUM('工资福利（公务员、参公人员）'!R124:S124)+SUM('工资福利（事业）'!V124:X124,'工资福利（事业）'!AB124))*0.06</f>
        <v>-0.090402</v>
      </c>
      <c r="Q124" s="348">
        <f>(SUM('工资福利（公务员、参公人员）'!R124:S124)+SUM('工资福利（事业）'!V124:X124,'工资福利（事业）'!AB124))*0.002</f>
        <v>-0.0030134</v>
      </c>
      <c r="R124" s="348">
        <f>(SUM('工资福利（公务员、参公人员）'!R124:S124)+SUM('工资福利（事业）'!V124:X124,'工资福利（事业）'!AB124))*0.006</f>
        <v>-0.0090402</v>
      </c>
      <c r="S124" s="348">
        <f>(SUM('工资福利（公务员、参公人员）'!R124:S124)+SUM('工资福利（事业）'!V124:X124,'工资福利（事业）'!AB124))*0.12</f>
        <v>-0.180804</v>
      </c>
      <c r="T124" s="348"/>
      <c r="U124" s="348">
        <f t="shared" si="33"/>
        <v>15.8851324</v>
      </c>
      <c r="V124" s="348">
        <f t="shared" si="34"/>
        <v>5.938928</v>
      </c>
      <c r="W124" s="348">
        <f t="shared" si="35"/>
        <v>2.969464</v>
      </c>
      <c r="X124" s="348">
        <f t="shared" si="36"/>
        <v>2.229598</v>
      </c>
      <c r="Y124" s="348">
        <f t="shared" si="37"/>
        <v>0.0769866</v>
      </c>
      <c r="Z124" s="348">
        <f t="shared" si="38"/>
        <v>0.2209598</v>
      </c>
      <c r="AA124" s="348">
        <f t="shared" si="39"/>
        <v>4.449196</v>
      </c>
      <c r="AB124" s="348">
        <f t="shared" si="40"/>
        <v>0</v>
      </c>
      <c r="AC124" s="350"/>
    </row>
    <row r="125" ht="24" spans="1:29">
      <c r="A125" s="284" t="s">
        <v>290</v>
      </c>
      <c r="B125" s="284" t="s">
        <v>199</v>
      </c>
      <c r="C125" s="284" t="s">
        <v>338</v>
      </c>
      <c r="D125" s="284" t="s">
        <v>332</v>
      </c>
      <c r="E125" s="348">
        <f t="shared" si="22"/>
        <v>9.14</v>
      </c>
      <c r="F125" s="348">
        <v>3.42</v>
      </c>
      <c r="G125" s="348">
        <v>1.71</v>
      </c>
      <c r="H125" s="348">
        <v>1.28</v>
      </c>
      <c r="I125" s="348">
        <v>0.04</v>
      </c>
      <c r="J125" s="348">
        <v>0.13</v>
      </c>
      <c r="K125" s="348">
        <v>2.56</v>
      </c>
      <c r="L125" s="348"/>
      <c r="M125" s="348">
        <f t="shared" si="32"/>
        <v>0.965568</v>
      </c>
      <c r="N125" s="348">
        <f>(SUM('工资福利（公务员、参公人员）'!R125:T125)+SUM('工资福利（事业）'!V125:X125,'工资福利（事业）'!AB125))*0.16</f>
        <v>0.36096</v>
      </c>
      <c r="O125" s="348">
        <f>(SUM('工资福利（公务员、参公人员）'!R125:S125)+SUM('工资福利（事业）'!V125:X125,'工资福利（事业）'!AB125))*0.08</f>
        <v>0.18048</v>
      </c>
      <c r="P125" s="348">
        <f>(SUM('工资福利（公务员、参公人员）'!R125:S125)+SUM('工资福利（事业）'!V125:X125,'工资福利（事业）'!AB125))*0.06</f>
        <v>0.13536</v>
      </c>
      <c r="Q125" s="348">
        <f>(SUM('工资福利（公务员、参公人员）'!R125:S125)+SUM('工资福利（事业）'!V125:X125,'工资福利（事业）'!AB125))*0.002</f>
        <v>0.004512</v>
      </c>
      <c r="R125" s="348">
        <f>(SUM('工资福利（公务员、参公人员）'!R125:S125)+SUM('工资福利（事业）'!V125:X125,'工资福利（事业）'!AB125))*0.006</f>
        <v>0.013536</v>
      </c>
      <c r="S125" s="348">
        <f>(SUM('工资福利（公务员、参公人员）'!R125:S125)+SUM('工资福利（事业）'!V125:X125,'工资福利（事业）'!AB125))*0.12</f>
        <v>0.27072</v>
      </c>
      <c r="T125" s="348"/>
      <c r="U125" s="348">
        <f t="shared" si="33"/>
        <v>10.105568</v>
      </c>
      <c r="V125" s="348">
        <f t="shared" si="34"/>
        <v>3.78096</v>
      </c>
      <c r="W125" s="348">
        <f t="shared" si="35"/>
        <v>1.89048</v>
      </c>
      <c r="X125" s="348">
        <f t="shared" si="36"/>
        <v>1.41536</v>
      </c>
      <c r="Y125" s="348">
        <f t="shared" si="37"/>
        <v>0.044512</v>
      </c>
      <c r="Z125" s="348">
        <f t="shared" si="38"/>
        <v>0.143536</v>
      </c>
      <c r="AA125" s="348">
        <f t="shared" si="39"/>
        <v>2.83072</v>
      </c>
      <c r="AB125" s="348">
        <f t="shared" si="40"/>
        <v>0</v>
      </c>
      <c r="AC125" s="350"/>
    </row>
    <row r="126" ht="24" spans="1:29">
      <c r="A126" s="284" t="s">
        <v>208</v>
      </c>
      <c r="B126" s="284" t="s">
        <v>199</v>
      </c>
      <c r="C126" s="284" t="s">
        <v>339</v>
      </c>
      <c r="D126" s="284" t="s">
        <v>332</v>
      </c>
      <c r="E126" s="348">
        <f t="shared" si="22"/>
        <v>21.05</v>
      </c>
      <c r="F126" s="348">
        <v>7.87</v>
      </c>
      <c r="G126" s="348">
        <v>3.93</v>
      </c>
      <c r="H126" s="348">
        <v>2.95</v>
      </c>
      <c r="I126" s="348">
        <v>0.1</v>
      </c>
      <c r="J126" s="348">
        <v>0.3</v>
      </c>
      <c r="K126" s="348">
        <v>5.9</v>
      </c>
      <c r="L126" s="348"/>
      <c r="M126" s="348">
        <f t="shared" si="32"/>
        <v>2.0972</v>
      </c>
      <c r="N126" s="348">
        <f>(SUM('工资福利（公务员、参公人员）'!R126:T126)+SUM('工资福利（事业）'!V126:X126,'工资福利（事业）'!AB126))*0.16</f>
        <v>0.784</v>
      </c>
      <c r="O126" s="348">
        <f>(SUM('工资福利（公务员、参公人员）'!R126:S126)+SUM('工资福利（事业）'!V126:X126,'工资福利（事业）'!AB126))*0.08</f>
        <v>0.392</v>
      </c>
      <c r="P126" s="348">
        <f>(SUM('工资福利（公务员、参公人员）'!R126:S126)+SUM('工资福利（事业）'!V126:X126,'工资福利（事业）'!AB126))*0.06</f>
        <v>0.294</v>
      </c>
      <c r="Q126" s="348">
        <f>(SUM('工资福利（公务员、参公人员）'!R126:S126)+SUM('工资福利（事业）'!V126:X126,'工资福利（事业）'!AB126))*0.002</f>
        <v>0.0098</v>
      </c>
      <c r="R126" s="348">
        <f>(SUM('工资福利（公务员、参公人员）'!R126:S126)+SUM('工资福利（事业）'!V126:X126,'工资福利（事业）'!AB126))*0.006</f>
        <v>0.0294</v>
      </c>
      <c r="S126" s="348">
        <f>(SUM('工资福利（公务员、参公人员）'!R126:S126)+SUM('工资福利（事业）'!V126:X126,'工资福利（事业）'!AB126))*0.12</f>
        <v>0.588</v>
      </c>
      <c r="T126" s="348"/>
      <c r="U126" s="348">
        <f t="shared" si="33"/>
        <v>23.1472</v>
      </c>
      <c r="V126" s="348">
        <f t="shared" si="34"/>
        <v>8.654</v>
      </c>
      <c r="W126" s="348">
        <f t="shared" si="35"/>
        <v>4.322</v>
      </c>
      <c r="X126" s="348">
        <f t="shared" si="36"/>
        <v>3.244</v>
      </c>
      <c r="Y126" s="348">
        <f t="shared" si="37"/>
        <v>0.1098</v>
      </c>
      <c r="Z126" s="348">
        <f t="shared" si="38"/>
        <v>0.3294</v>
      </c>
      <c r="AA126" s="348">
        <f t="shared" si="39"/>
        <v>6.488</v>
      </c>
      <c r="AB126" s="348">
        <f t="shared" si="40"/>
        <v>0</v>
      </c>
      <c r="AC126" s="350"/>
    </row>
    <row r="127" ht="24" spans="1:29">
      <c r="A127" s="284" t="s">
        <v>208</v>
      </c>
      <c r="B127" s="284" t="s">
        <v>199</v>
      </c>
      <c r="C127" s="284" t="s">
        <v>340</v>
      </c>
      <c r="D127" s="284" t="s">
        <v>332</v>
      </c>
      <c r="E127" s="348">
        <f t="shared" si="22"/>
        <v>8.63</v>
      </c>
      <c r="F127" s="348">
        <v>3.23</v>
      </c>
      <c r="G127" s="348">
        <v>1.61</v>
      </c>
      <c r="H127" s="348">
        <v>1.21</v>
      </c>
      <c r="I127" s="348">
        <v>0.04</v>
      </c>
      <c r="J127" s="348">
        <v>0.12</v>
      </c>
      <c r="K127" s="348">
        <v>2.42</v>
      </c>
      <c r="L127" s="348"/>
      <c r="M127" s="348">
        <f t="shared" si="32"/>
        <v>0.78324</v>
      </c>
      <c r="N127" s="348">
        <f>(SUM('工资福利（公务员、参公人员）'!R127:T127)+SUM('工资福利（事业）'!V127:X127,'工资福利（事业）'!AB127))*0.16</f>
        <v>0.2928</v>
      </c>
      <c r="O127" s="348">
        <f>(SUM('工资福利（公务员、参公人员）'!R127:S127)+SUM('工资福利（事业）'!V127:X127,'工资福利（事业）'!AB127))*0.08</f>
        <v>0.1464</v>
      </c>
      <c r="P127" s="348">
        <f>(SUM('工资福利（公务员、参公人员）'!R127:S127)+SUM('工资福利（事业）'!V127:X127,'工资福利（事业）'!AB127))*0.06</f>
        <v>0.1098</v>
      </c>
      <c r="Q127" s="348">
        <f>(SUM('工资福利（公务员、参公人员）'!R127:S127)+SUM('工资福利（事业）'!V127:X127,'工资福利（事业）'!AB127))*0.002</f>
        <v>0.00366</v>
      </c>
      <c r="R127" s="348">
        <f>(SUM('工资福利（公务员、参公人员）'!R127:S127)+SUM('工资福利（事业）'!V127:X127,'工资福利（事业）'!AB127))*0.006</f>
        <v>0.01098</v>
      </c>
      <c r="S127" s="348">
        <f>(SUM('工资福利（公务员、参公人员）'!R127:S127)+SUM('工资福利（事业）'!V127:X127,'工资福利（事业）'!AB127))*0.12</f>
        <v>0.2196</v>
      </c>
      <c r="T127" s="348"/>
      <c r="U127" s="348">
        <f t="shared" si="33"/>
        <v>9.41324</v>
      </c>
      <c r="V127" s="348">
        <f t="shared" si="34"/>
        <v>3.5228</v>
      </c>
      <c r="W127" s="348">
        <f t="shared" si="35"/>
        <v>1.7564</v>
      </c>
      <c r="X127" s="348">
        <f t="shared" si="36"/>
        <v>1.3198</v>
      </c>
      <c r="Y127" s="348">
        <f t="shared" si="37"/>
        <v>0.04366</v>
      </c>
      <c r="Z127" s="348">
        <f t="shared" si="38"/>
        <v>0.13098</v>
      </c>
      <c r="AA127" s="348">
        <f t="shared" si="39"/>
        <v>2.6396</v>
      </c>
      <c r="AB127" s="348">
        <f t="shared" si="40"/>
        <v>0</v>
      </c>
      <c r="AC127" s="350"/>
    </row>
    <row r="128" ht="24" spans="1:29">
      <c r="A128" s="284" t="s">
        <v>208</v>
      </c>
      <c r="B128" s="284" t="s">
        <v>199</v>
      </c>
      <c r="C128" s="284" t="s">
        <v>341</v>
      </c>
      <c r="D128" s="284" t="s">
        <v>332</v>
      </c>
      <c r="E128" s="348">
        <f t="shared" si="22"/>
        <v>14.2</v>
      </c>
      <c r="F128" s="348">
        <v>5.31</v>
      </c>
      <c r="G128" s="348">
        <v>2.65</v>
      </c>
      <c r="H128" s="348">
        <v>1.99</v>
      </c>
      <c r="I128" s="348">
        <v>0.07</v>
      </c>
      <c r="J128" s="348">
        <v>0.2</v>
      </c>
      <c r="K128" s="348">
        <v>3.98</v>
      </c>
      <c r="L128" s="348"/>
      <c r="M128" s="348">
        <f t="shared" si="32"/>
        <v>1.52368</v>
      </c>
      <c r="N128" s="348">
        <f>(SUM('工资福利（公务员、参公人员）'!R128:T128)+SUM('工资福利（事业）'!V128:X128,'工资福利（事业）'!AB128))*0.16</f>
        <v>0.5696</v>
      </c>
      <c r="O128" s="348">
        <f>(SUM('工资福利（公务员、参公人员）'!R128:S128)+SUM('工资福利（事业）'!V128:X128,'工资福利（事业）'!AB128))*0.08</f>
        <v>0.2848</v>
      </c>
      <c r="P128" s="348">
        <f>(SUM('工资福利（公务员、参公人员）'!R128:S128)+SUM('工资福利（事业）'!V128:X128,'工资福利（事业）'!AB128))*0.06</f>
        <v>0.2136</v>
      </c>
      <c r="Q128" s="348">
        <f>(SUM('工资福利（公务员、参公人员）'!R128:S128)+SUM('工资福利（事业）'!V128:X128,'工资福利（事业）'!AB128))*0.002</f>
        <v>0.00712</v>
      </c>
      <c r="R128" s="348">
        <f>(SUM('工资福利（公务员、参公人员）'!R128:S128)+SUM('工资福利（事业）'!V128:X128,'工资福利（事业）'!AB128))*0.006</f>
        <v>0.02136</v>
      </c>
      <c r="S128" s="348">
        <f>(SUM('工资福利（公务员、参公人员）'!R128:S128)+SUM('工资福利（事业）'!V128:X128,'工资福利（事业）'!AB128))*0.12</f>
        <v>0.4272</v>
      </c>
      <c r="T128" s="348"/>
      <c r="U128" s="348">
        <f t="shared" si="33"/>
        <v>15.72368</v>
      </c>
      <c r="V128" s="348">
        <f t="shared" si="34"/>
        <v>5.8796</v>
      </c>
      <c r="W128" s="348">
        <f t="shared" si="35"/>
        <v>2.9348</v>
      </c>
      <c r="X128" s="348">
        <f t="shared" si="36"/>
        <v>2.2036</v>
      </c>
      <c r="Y128" s="348">
        <f t="shared" si="37"/>
        <v>0.07712</v>
      </c>
      <c r="Z128" s="348">
        <f t="shared" si="38"/>
        <v>0.22136</v>
      </c>
      <c r="AA128" s="348">
        <f t="shared" si="39"/>
        <v>4.4072</v>
      </c>
      <c r="AB128" s="348">
        <f t="shared" si="40"/>
        <v>0</v>
      </c>
      <c r="AC128" s="350"/>
    </row>
    <row r="129" ht="36" spans="1:29">
      <c r="A129" s="284" t="s">
        <v>290</v>
      </c>
      <c r="B129" s="284" t="s">
        <v>196</v>
      </c>
      <c r="C129" s="284" t="s">
        <v>342</v>
      </c>
      <c r="D129" s="284" t="s">
        <v>343</v>
      </c>
      <c r="E129" s="348">
        <f t="shared" si="22"/>
        <v>19.34</v>
      </c>
      <c r="F129" s="348">
        <v>7.35</v>
      </c>
      <c r="G129" s="348">
        <v>3.5</v>
      </c>
      <c r="H129" s="348">
        <v>2.63</v>
      </c>
      <c r="I129" s="348">
        <v>0.09</v>
      </c>
      <c r="J129" s="348">
        <v>0.52</v>
      </c>
      <c r="K129" s="348">
        <v>5.25</v>
      </c>
      <c r="L129" s="348"/>
      <c r="M129" s="348">
        <f t="shared" si="32"/>
        <v>-0.87312</v>
      </c>
      <c r="N129" s="348">
        <f>(SUM('工资福利（公务员、参公人员）'!R129:T129)+SUM('工资福利（事业）'!V129:X129,'工资福利（事业）'!AB129))*0.16</f>
        <v>-0.3264</v>
      </c>
      <c r="O129" s="348">
        <f>(SUM('工资福利（公务员、参公人员）'!R129:S129)+SUM('工资福利（事业）'!V129:X129,'工资福利（事业）'!AB129))*0.08</f>
        <v>-0.1632</v>
      </c>
      <c r="P129" s="348">
        <f>(SUM('工资福利（公务员、参公人员）'!R129:S129)+SUM('工资福利（事业）'!V129:X129,'工资福利（事业）'!AB129))*0.06</f>
        <v>-0.1224</v>
      </c>
      <c r="Q129" s="348">
        <f>(SUM('工资福利（公务员、参公人员）'!R129:S129)+SUM('工资福利（事业）'!V129:X129,'工资福利（事业）'!AB129))*0.002</f>
        <v>-0.00408</v>
      </c>
      <c r="R129" s="348">
        <f>(SUM('工资福利（公务员、参公人员）'!R129:S129)+SUM('工资福利（事业）'!V129:X129,'工资福利（事业）'!AB129))*0.006</f>
        <v>-0.01224</v>
      </c>
      <c r="S129" s="348">
        <f>(SUM('工资福利（公务员、参公人员）'!R129:S129)+SUM('工资福利（事业）'!V129:X129,'工资福利（事业）'!AB129))*0.12</f>
        <v>-0.2448</v>
      </c>
      <c r="T129" s="348"/>
      <c r="U129" s="348">
        <f t="shared" si="33"/>
        <v>18.46688</v>
      </c>
      <c r="V129" s="348">
        <f t="shared" si="34"/>
        <v>7.0236</v>
      </c>
      <c r="W129" s="348">
        <f t="shared" si="35"/>
        <v>3.3368</v>
      </c>
      <c r="X129" s="348">
        <f t="shared" si="36"/>
        <v>2.5076</v>
      </c>
      <c r="Y129" s="348">
        <f t="shared" si="37"/>
        <v>0.08592</v>
      </c>
      <c r="Z129" s="348">
        <f t="shared" si="38"/>
        <v>0.50776</v>
      </c>
      <c r="AA129" s="348">
        <f t="shared" si="39"/>
        <v>5.0052</v>
      </c>
      <c r="AB129" s="348">
        <f t="shared" si="40"/>
        <v>0</v>
      </c>
      <c r="AC129" s="350"/>
    </row>
    <row r="130" ht="36" spans="1:29">
      <c r="A130" s="284" t="s">
        <v>290</v>
      </c>
      <c r="B130" s="284" t="s">
        <v>199</v>
      </c>
      <c r="C130" s="284" t="s">
        <v>775</v>
      </c>
      <c r="D130" s="284" t="s">
        <v>343</v>
      </c>
      <c r="E130" s="348">
        <f t="shared" si="22"/>
        <v>13.93</v>
      </c>
      <c r="F130" s="348">
        <v>5.21</v>
      </c>
      <c r="G130" s="348">
        <v>2.6</v>
      </c>
      <c r="H130" s="348">
        <v>1.95</v>
      </c>
      <c r="I130" s="348">
        <v>0.07</v>
      </c>
      <c r="J130" s="348">
        <v>0.2</v>
      </c>
      <c r="K130" s="348">
        <v>3.9</v>
      </c>
      <c r="L130" s="348"/>
      <c r="M130" s="348">
        <f t="shared" si="32"/>
        <v>-0.38948</v>
      </c>
      <c r="N130" s="348">
        <f>(SUM('工资福利（公务员、参公人员）'!R130:T130)+SUM('工资福利（事业）'!V130:X130,'工资福利（事业）'!AB130))*0.16</f>
        <v>-0.1456</v>
      </c>
      <c r="O130" s="348">
        <f>(SUM('工资福利（公务员、参公人员）'!R130:S130)+SUM('工资福利（事业）'!V130:X130,'工资福利（事业）'!AB130))*0.08</f>
        <v>-0.0728</v>
      </c>
      <c r="P130" s="348">
        <f>(SUM('工资福利（公务员、参公人员）'!R130:S130)+SUM('工资福利（事业）'!V130:X130,'工资福利（事业）'!AB130))*0.06</f>
        <v>-0.0546</v>
      </c>
      <c r="Q130" s="348">
        <f>(SUM('工资福利（公务员、参公人员）'!R130:S130)+SUM('工资福利（事业）'!V130:X130,'工资福利（事业）'!AB130))*0.002</f>
        <v>-0.00182</v>
      </c>
      <c r="R130" s="348">
        <f>(SUM('工资福利（公务员、参公人员）'!R130:S130)+SUM('工资福利（事业）'!V130:X130,'工资福利（事业）'!AB130))*0.006</f>
        <v>-0.00546</v>
      </c>
      <c r="S130" s="348">
        <f>(SUM('工资福利（公务员、参公人员）'!R130:S130)+SUM('工资福利（事业）'!V130:X130,'工资福利（事业）'!AB130))*0.12</f>
        <v>-0.1092</v>
      </c>
      <c r="T130" s="348"/>
      <c r="U130" s="348">
        <f t="shared" si="33"/>
        <v>13.54052</v>
      </c>
      <c r="V130" s="348">
        <f t="shared" si="34"/>
        <v>5.0644</v>
      </c>
      <c r="W130" s="348">
        <f t="shared" si="35"/>
        <v>2.5272</v>
      </c>
      <c r="X130" s="348">
        <f t="shared" si="36"/>
        <v>1.8954</v>
      </c>
      <c r="Y130" s="348">
        <f t="shared" si="37"/>
        <v>0.06818</v>
      </c>
      <c r="Z130" s="348">
        <f t="shared" si="38"/>
        <v>0.19454</v>
      </c>
      <c r="AA130" s="348">
        <f t="shared" si="39"/>
        <v>3.7908</v>
      </c>
      <c r="AB130" s="348">
        <f t="shared" si="40"/>
        <v>0</v>
      </c>
      <c r="AC130" s="350"/>
    </row>
    <row r="131" ht="36" spans="1:29">
      <c r="A131" s="284" t="s">
        <v>290</v>
      </c>
      <c r="B131" s="284" t="s">
        <v>199</v>
      </c>
      <c r="C131" s="284" t="s">
        <v>345</v>
      </c>
      <c r="D131" s="284" t="s">
        <v>343</v>
      </c>
      <c r="E131" s="348">
        <f t="shared" si="22"/>
        <v>9.31</v>
      </c>
      <c r="F131" s="348">
        <v>3.48</v>
      </c>
      <c r="G131" s="348">
        <v>1.74</v>
      </c>
      <c r="H131" s="348">
        <v>1.31</v>
      </c>
      <c r="I131" s="348">
        <v>0.04</v>
      </c>
      <c r="J131" s="348">
        <v>0.13</v>
      </c>
      <c r="K131" s="348">
        <v>2.61</v>
      </c>
      <c r="L131" s="348"/>
      <c r="M131" s="348">
        <f t="shared" si="32"/>
        <v>0.7276</v>
      </c>
      <c r="N131" s="348">
        <f>(SUM('工资福利（公务员、参公人员）'!R131:T131)+SUM('工资福利（事业）'!V131:X131,'工资福利（事业）'!AB131))*0.16</f>
        <v>0.272</v>
      </c>
      <c r="O131" s="348">
        <f>(SUM('工资福利（公务员、参公人员）'!R131:S131)+SUM('工资福利（事业）'!V131:X131,'工资福利（事业）'!AB131))*0.08</f>
        <v>0.136</v>
      </c>
      <c r="P131" s="348">
        <f>(SUM('工资福利（公务员、参公人员）'!R131:S131)+SUM('工资福利（事业）'!V131:X131,'工资福利（事业）'!AB131))*0.06</f>
        <v>0.102</v>
      </c>
      <c r="Q131" s="348">
        <f>(SUM('工资福利（公务员、参公人员）'!R131:S131)+SUM('工资福利（事业）'!V131:X131,'工资福利（事业）'!AB131))*0.002</f>
        <v>0.0034</v>
      </c>
      <c r="R131" s="348">
        <f>(SUM('工资福利（公务员、参公人员）'!R131:S131)+SUM('工资福利（事业）'!V131:X131,'工资福利（事业）'!AB131))*0.006</f>
        <v>0.0102</v>
      </c>
      <c r="S131" s="348">
        <f>(SUM('工资福利（公务员、参公人员）'!R131:S131)+SUM('工资福利（事业）'!V131:X131,'工资福利（事业）'!AB131))*0.12</f>
        <v>0.204</v>
      </c>
      <c r="T131" s="348"/>
      <c r="U131" s="348">
        <f t="shared" si="33"/>
        <v>10.0376</v>
      </c>
      <c r="V131" s="348">
        <f t="shared" si="34"/>
        <v>3.752</v>
      </c>
      <c r="W131" s="348">
        <f t="shared" si="35"/>
        <v>1.876</v>
      </c>
      <c r="X131" s="348">
        <f t="shared" si="36"/>
        <v>1.412</v>
      </c>
      <c r="Y131" s="348">
        <f t="shared" si="37"/>
        <v>0.0434</v>
      </c>
      <c r="Z131" s="348">
        <f t="shared" si="38"/>
        <v>0.1402</v>
      </c>
      <c r="AA131" s="348">
        <f t="shared" si="39"/>
        <v>2.814</v>
      </c>
      <c r="AB131" s="348">
        <f t="shared" si="40"/>
        <v>0</v>
      </c>
      <c r="AC131" s="350"/>
    </row>
    <row r="132" ht="24" spans="1:29">
      <c r="A132" s="284" t="s">
        <v>195</v>
      </c>
      <c r="B132" s="284" t="s">
        <v>196</v>
      </c>
      <c r="C132" s="284" t="s">
        <v>346</v>
      </c>
      <c r="D132" s="284" t="s">
        <v>347</v>
      </c>
      <c r="E132" s="348">
        <f t="shared" si="22"/>
        <v>11.94</v>
      </c>
      <c r="F132" s="348">
        <v>4.6</v>
      </c>
      <c r="G132" s="348">
        <v>2.19</v>
      </c>
      <c r="H132" s="348">
        <v>1.65</v>
      </c>
      <c r="I132" s="348">
        <v>0.05</v>
      </c>
      <c r="J132" s="348">
        <v>0.16</v>
      </c>
      <c r="K132" s="348">
        <v>3.29</v>
      </c>
      <c r="L132" s="348"/>
      <c r="M132" s="348">
        <f t="shared" si="32"/>
        <v>1.7724</v>
      </c>
      <c r="N132" s="348">
        <f>(SUM('工资福利（公务员、参公人员）'!R132:T132)+SUM('工资福利（事业）'!V132:X132,'工资福利（事业）'!AB132))*0.16</f>
        <v>0.6736</v>
      </c>
      <c r="O132" s="348">
        <f>(SUM('工资福利（公务员、参公人员）'!R132:S132)+SUM('工资福利（事业）'!V132:X132,'工资福利（事业）'!AB132))*0.08</f>
        <v>0.328</v>
      </c>
      <c r="P132" s="348">
        <f>(SUM('工资福利（公务员、参公人员）'!R132:S132)+SUM('工资福利（事业）'!V132:X132,'工资福利（事业）'!AB132))*0.06</f>
        <v>0.246</v>
      </c>
      <c r="Q132" s="348">
        <f>(SUM('工资福利（公务员、参公人员）'!R132:S132)+SUM('工资福利（事业）'!V132:X132,'工资福利（事业）'!AB132))*0.002</f>
        <v>0.0082</v>
      </c>
      <c r="R132" s="348">
        <f>(SUM('工资福利（公务员、参公人员）'!R132:S132)+SUM('工资福利（事业）'!V132:X132,'工资福利（事业）'!AB132))*0.006</f>
        <v>0.0246</v>
      </c>
      <c r="S132" s="348">
        <f>(SUM('工资福利（公务员、参公人员）'!R132:S132)+SUM('工资福利（事业）'!V132:X132,'工资福利（事业）'!AB132))*0.12</f>
        <v>0.492</v>
      </c>
      <c r="T132" s="348"/>
      <c r="U132" s="348">
        <f t="shared" si="33"/>
        <v>13.7124</v>
      </c>
      <c r="V132" s="348">
        <f t="shared" si="34"/>
        <v>5.2736</v>
      </c>
      <c r="W132" s="348">
        <f t="shared" si="35"/>
        <v>2.518</v>
      </c>
      <c r="X132" s="348">
        <f t="shared" si="36"/>
        <v>1.896</v>
      </c>
      <c r="Y132" s="348">
        <f t="shared" si="37"/>
        <v>0.0582</v>
      </c>
      <c r="Z132" s="348">
        <f t="shared" si="38"/>
        <v>0.1846</v>
      </c>
      <c r="AA132" s="348">
        <f t="shared" si="39"/>
        <v>3.782</v>
      </c>
      <c r="AB132" s="348">
        <f t="shared" si="40"/>
        <v>0</v>
      </c>
      <c r="AC132" s="350"/>
    </row>
    <row r="133" ht="24" spans="1:29">
      <c r="A133" s="284" t="s">
        <v>195</v>
      </c>
      <c r="B133" s="284" t="s">
        <v>199</v>
      </c>
      <c r="C133" s="284" t="s">
        <v>348</v>
      </c>
      <c r="D133" s="284" t="s">
        <v>349</v>
      </c>
      <c r="E133" s="348">
        <f t="shared" si="22"/>
        <v>4.17</v>
      </c>
      <c r="F133" s="348">
        <v>1.81</v>
      </c>
      <c r="G133" s="348">
        <v>0.91</v>
      </c>
      <c r="H133" s="348"/>
      <c r="I133" s="348">
        <v>0.02</v>
      </c>
      <c r="J133" s="348">
        <v>0.07</v>
      </c>
      <c r="K133" s="348">
        <v>1.36</v>
      </c>
      <c r="L133" s="348"/>
      <c r="M133" s="348">
        <f t="shared" si="32"/>
        <v>-2.28124</v>
      </c>
      <c r="N133" s="348">
        <f>(SUM('工资福利（公务员、参公人员）'!R133:T133)+SUM('工资福利（事业）'!V133:X133,'工资福利（事业）'!AB133))*0.16</f>
        <v>-0.8528</v>
      </c>
      <c r="O133" s="348">
        <f>(SUM('工资福利（公务员、参公人员）'!R133:S133)+SUM('工资福利（事业）'!V133:X133,'工资福利（事业）'!AB133))*0.08</f>
        <v>-0.4264</v>
      </c>
      <c r="P133" s="348">
        <f>(SUM('工资福利（公务员、参公人员）'!R133:S133)+SUM('工资福利（事业）'!V133:X133,'工资福利（事业）'!AB133))*0.06</f>
        <v>-0.3198</v>
      </c>
      <c r="Q133" s="348">
        <f>(SUM('工资福利（公务员、参公人员）'!R133:S133)+SUM('工资福利（事业）'!V133:X133,'工资福利（事业）'!AB133))*0.002</f>
        <v>-0.01066</v>
      </c>
      <c r="R133" s="348">
        <f>(SUM('工资福利（公务员、参公人员）'!R133:S133)+SUM('工资福利（事业）'!V133:X133,'工资福利（事业）'!AB133))*0.006</f>
        <v>-0.03198</v>
      </c>
      <c r="S133" s="348">
        <f>(SUM('工资福利（公务员、参公人员）'!R133:S133)+SUM('工资福利（事业）'!V133:X133,'工资福利（事业）'!AB133))*0.12</f>
        <v>-0.6396</v>
      </c>
      <c r="T133" s="348"/>
      <c r="U133" s="348">
        <f t="shared" si="33"/>
        <v>1.88876</v>
      </c>
      <c r="V133" s="348">
        <f t="shared" si="34"/>
        <v>0.9572</v>
      </c>
      <c r="W133" s="348">
        <f t="shared" si="35"/>
        <v>0.4836</v>
      </c>
      <c r="X133" s="348">
        <f t="shared" si="36"/>
        <v>-0.3198</v>
      </c>
      <c r="Y133" s="348">
        <f t="shared" si="37"/>
        <v>0.00934</v>
      </c>
      <c r="Z133" s="348">
        <f t="shared" si="38"/>
        <v>0.03802</v>
      </c>
      <c r="AA133" s="348">
        <f t="shared" si="39"/>
        <v>0.7204</v>
      </c>
      <c r="AB133" s="348">
        <f t="shared" si="40"/>
        <v>0</v>
      </c>
      <c r="AC133" s="350"/>
    </row>
    <row r="134" ht="24" spans="1:29">
      <c r="A134" s="284" t="s">
        <v>208</v>
      </c>
      <c r="B134" s="284" t="s">
        <v>196</v>
      </c>
      <c r="C134" s="284" t="s">
        <v>350</v>
      </c>
      <c r="D134" s="284" t="s">
        <v>351</v>
      </c>
      <c r="E134" s="348">
        <f t="shared" si="22"/>
        <v>18.45</v>
      </c>
      <c r="F134" s="348">
        <v>7.11</v>
      </c>
      <c r="G134" s="348">
        <v>3.39</v>
      </c>
      <c r="H134" s="348">
        <v>2.54</v>
      </c>
      <c r="I134" s="348">
        <v>0.08</v>
      </c>
      <c r="J134" s="348">
        <v>0.25</v>
      </c>
      <c r="K134" s="348">
        <v>5.08</v>
      </c>
      <c r="L134" s="348"/>
      <c r="M134" s="348">
        <f t="shared" si="32"/>
        <v>1.27752</v>
      </c>
      <c r="N134" s="348">
        <f>(SUM('工资福利（公务员、参公人员）'!R134:T134)+SUM('工资福利（事业）'!V134:X134,'工资福利（事业）'!AB134))*0.16</f>
        <v>0.4896</v>
      </c>
      <c r="O134" s="348">
        <f>(SUM('工资福利（公务员、参公人员）'!R134:S134)+SUM('工资福利（事业）'!V134:X134,'工资福利（事业）'!AB134))*0.08</f>
        <v>0.2352</v>
      </c>
      <c r="P134" s="348">
        <f>(SUM('工资福利（公务员、参公人员）'!R134:S134)+SUM('工资福利（事业）'!V134:X134,'工资福利（事业）'!AB134))*0.06</f>
        <v>0.1764</v>
      </c>
      <c r="Q134" s="348">
        <f>(SUM('工资福利（公务员、参公人员）'!R134:S134)+SUM('工资福利（事业）'!V134:X134,'工资福利（事业）'!AB134))*0.002</f>
        <v>0.00588</v>
      </c>
      <c r="R134" s="348">
        <f>(SUM('工资福利（公务员、参公人员）'!R134:S134)+SUM('工资福利（事业）'!V134:X134,'工资福利（事业）'!AB134))*0.006</f>
        <v>0.01764</v>
      </c>
      <c r="S134" s="348">
        <f>(SUM('工资福利（公务员、参公人员）'!R134:S134)+SUM('工资福利（事业）'!V134:X134,'工资福利（事业）'!AB134))*0.12</f>
        <v>0.3528</v>
      </c>
      <c r="T134" s="348"/>
      <c r="U134" s="348">
        <f t="shared" si="33"/>
        <v>19.72752</v>
      </c>
      <c r="V134" s="348">
        <f t="shared" si="34"/>
        <v>7.5996</v>
      </c>
      <c r="W134" s="348">
        <f t="shared" si="35"/>
        <v>3.6252</v>
      </c>
      <c r="X134" s="348">
        <f t="shared" si="36"/>
        <v>2.7164</v>
      </c>
      <c r="Y134" s="348">
        <f t="shared" si="37"/>
        <v>0.08588</v>
      </c>
      <c r="Z134" s="348">
        <f t="shared" si="38"/>
        <v>0.26764</v>
      </c>
      <c r="AA134" s="348">
        <f t="shared" si="39"/>
        <v>5.4328</v>
      </c>
      <c r="AB134" s="348">
        <f t="shared" si="40"/>
        <v>0</v>
      </c>
      <c r="AC134" s="350"/>
    </row>
    <row r="135" ht="24" spans="1:29">
      <c r="A135" s="284" t="s">
        <v>208</v>
      </c>
      <c r="B135" s="284" t="s">
        <v>199</v>
      </c>
      <c r="C135" s="284" t="s">
        <v>352</v>
      </c>
      <c r="D135" s="284" t="s">
        <v>353</v>
      </c>
      <c r="E135" s="348">
        <f t="shared" si="22"/>
        <v>2.12</v>
      </c>
      <c r="F135" s="348">
        <v>0.79</v>
      </c>
      <c r="G135" s="348">
        <v>0.4</v>
      </c>
      <c r="H135" s="348">
        <v>0.3</v>
      </c>
      <c r="I135" s="348">
        <v>0.01</v>
      </c>
      <c r="J135" s="348">
        <v>0.03</v>
      </c>
      <c r="K135" s="348">
        <v>0.59</v>
      </c>
      <c r="L135" s="348"/>
      <c r="M135" s="348">
        <f t="shared" si="32"/>
        <v>0.17976</v>
      </c>
      <c r="N135" s="348">
        <f>(SUM('工资福利（公务员、参公人员）'!R135:T135)+SUM('工资福利（事业）'!V135:X135,'工资福利（事业）'!AB135))*0.16</f>
        <v>0.0672</v>
      </c>
      <c r="O135" s="348">
        <f>(SUM('工资福利（公务员、参公人员）'!R135:S135)+SUM('工资福利（事业）'!V135:X135,'工资福利（事业）'!AB135))*0.08</f>
        <v>0.0336</v>
      </c>
      <c r="P135" s="348">
        <f>(SUM('工资福利（公务员、参公人员）'!R135:S135)+SUM('工资福利（事业）'!V135:X135,'工资福利（事业）'!AB135))*0.06</f>
        <v>0.0252</v>
      </c>
      <c r="Q135" s="348">
        <f>(SUM('工资福利（公务员、参公人员）'!R135:S135)+SUM('工资福利（事业）'!V135:X135,'工资福利（事业）'!AB135))*0.002</f>
        <v>0.00084</v>
      </c>
      <c r="R135" s="348">
        <f>(SUM('工资福利（公务员、参公人员）'!R135:S135)+SUM('工资福利（事业）'!V135:X135,'工资福利（事业）'!AB135))*0.006</f>
        <v>0.00252</v>
      </c>
      <c r="S135" s="348">
        <f>(SUM('工资福利（公务员、参公人员）'!R135:S135)+SUM('工资福利（事业）'!V135:X135,'工资福利（事业）'!AB135))*0.12</f>
        <v>0.0504</v>
      </c>
      <c r="T135" s="348"/>
      <c r="U135" s="348">
        <f t="shared" si="33"/>
        <v>2.29976</v>
      </c>
      <c r="V135" s="348">
        <f t="shared" si="34"/>
        <v>0.8572</v>
      </c>
      <c r="W135" s="348">
        <f t="shared" si="35"/>
        <v>0.4336</v>
      </c>
      <c r="X135" s="348">
        <f t="shared" si="36"/>
        <v>0.3252</v>
      </c>
      <c r="Y135" s="348">
        <f t="shared" si="37"/>
        <v>0.01084</v>
      </c>
      <c r="Z135" s="348">
        <f t="shared" si="38"/>
        <v>0.03252</v>
      </c>
      <c r="AA135" s="348">
        <f t="shared" si="39"/>
        <v>0.6404</v>
      </c>
      <c r="AB135" s="348">
        <f t="shared" si="40"/>
        <v>0</v>
      </c>
      <c r="AC135" s="350"/>
    </row>
    <row r="136" ht="24" spans="1:29">
      <c r="A136" s="284" t="s">
        <v>195</v>
      </c>
      <c r="B136" s="284" t="s">
        <v>196</v>
      </c>
      <c r="C136" s="284" t="s">
        <v>354</v>
      </c>
      <c r="D136" s="284" t="s">
        <v>355</v>
      </c>
      <c r="E136" s="348">
        <f t="shared" ref="E136:E149" si="41">SUM(F136:L136)</f>
        <v>0</v>
      </c>
      <c r="F136" s="348"/>
      <c r="G136" s="348"/>
      <c r="H136" s="348"/>
      <c r="I136" s="348"/>
      <c r="J136" s="348"/>
      <c r="K136" s="348"/>
      <c r="L136" s="348"/>
      <c r="M136" s="348">
        <f t="shared" si="32"/>
        <v>0</v>
      </c>
      <c r="N136" s="348">
        <f>(SUM('工资福利（公务员、参公人员）'!R136:T136)+SUM('工资福利（事业）'!V136:X136,'工资福利（事业）'!AB136))*0.16</f>
        <v>0</v>
      </c>
      <c r="O136" s="348">
        <f>(SUM('工资福利（公务员、参公人员）'!R136:S136)+SUM('工资福利（事业）'!V136:X136,'工资福利（事业）'!AB136))*0.08</f>
        <v>0</v>
      </c>
      <c r="P136" s="348">
        <f>(SUM('工资福利（公务员、参公人员）'!R136:S136)+SUM('工资福利（事业）'!V136:X136,'工资福利（事业）'!AB136))*0.06</f>
        <v>0</v>
      </c>
      <c r="Q136" s="348">
        <f>(SUM('工资福利（公务员、参公人员）'!R136:S136)+SUM('工资福利（事业）'!V136:X136,'工资福利（事业）'!AB136))*0.002</f>
        <v>0</v>
      </c>
      <c r="R136" s="348">
        <f>(SUM('工资福利（公务员、参公人员）'!R136:S136)+SUM('工资福利（事业）'!V136:X136,'工资福利（事业）'!AB136))*0.006</f>
        <v>0</v>
      </c>
      <c r="S136" s="348">
        <f>(SUM('工资福利（公务员、参公人员）'!R136:S136)+SUM('工资福利（事业）'!V136:X136,'工资福利（事业）'!AB136))*0.12</f>
        <v>0</v>
      </c>
      <c r="T136" s="348"/>
      <c r="U136" s="348">
        <f t="shared" si="33"/>
        <v>0</v>
      </c>
      <c r="V136" s="348">
        <f t="shared" si="34"/>
        <v>0</v>
      </c>
      <c r="W136" s="348">
        <f t="shared" si="35"/>
        <v>0</v>
      </c>
      <c r="X136" s="348">
        <f t="shared" si="36"/>
        <v>0</v>
      </c>
      <c r="Y136" s="348">
        <f t="shared" si="37"/>
        <v>0</v>
      </c>
      <c r="Z136" s="348">
        <f t="shared" si="38"/>
        <v>0</v>
      </c>
      <c r="AA136" s="348">
        <f t="shared" si="39"/>
        <v>0</v>
      </c>
      <c r="AB136" s="348">
        <f t="shared" si="40"/>
        <v>0</v>
      </c>
      <c r="AC136" s="350"/>
    </row>
    <row r="137" ht="24" spans="1:29">
      <c r="A137" s="284" t="s">
        <v>195</v>
      </c>
      <c r="B137" s="284" t="s">
        <v>196</v>
      </c>
      <c r="C137" s="284" t="s">
        <v>356</v>
      </c>
      <c r="D137" s="284" t="s">
        <v>355</v>
      </c>
      <c r="E137" s="348">
        <f t="shared" si="41"/>
        <v>2.61</v>
      </c>
      <c r="F137" s="348">
        <v>1</v>
      </c>
      <c r="G137" s="348">
        <v>0.48</v>
      </c>
      <c r="H137" s="348">
        <v>0.36</v>
      </c>
      <c r="I137" s="348">
        <v>0.01</v>
      </c>
      <c r="J137" s="348">
        <v>0.04</v>
      </c>
      <c r="K137" s="348">
        <v>0.72</v>
      </c>
      <c r="L137" s="348"/>
      <c r="M137" s="348">
        <f t="shared" si="32"/>
        <v>4.36208</v>
      </c>
      <c r="N137" s="348">
        <f>(SUM('工资福利（公务员、参公人员）'!R137:T137)+SUM('工资福利（事业）'!V137:X137,'工资福利（事业）'!AB137))*0.16</f>
        <v>1.6928</v>
      </c>
      <c r="O137" s="348">
        <f>(SUM('工资福利（公务员、参公人员）'!R137:S137)+SUM('工资福利（事业）'!V137:X137,'工资福利（事业）'!AB137))*0.08</f>
        <v>0.7968</v>
      </c>
      <c r="P137" s="348">
        <f>(SUM('工资福利（公务员、参公人员）'!R137:S137)+SUM('工资福利（事业）'!V137:X137,'工资福利（事业）'!AB137))*0.06</f>
        <v>0.5976</v>
      </c>
      <c r="Q137" s="348">
        <f>(SUM('工资福利（公务员、参公人员）'!R137:S137)+SUM('工资福利（事业）'!V137:X137,'工资福利（事业）'!AB137))*0.002</f>
        <v>0.01992</v>
      </c>
      <c r="R137" s="348">
        <f>(SUM('工资福利（公务员、参公人员）'!R137:S137)+SUM('工资福利（事业）'!V137:X137,'工资福利（事业）'!AB137))*0.006</f>
        <v>0.05976</v>
      </c>
      <c r="S137" s="348">
        <f>(SUM('工资福利（公务员、参公人员）'!R137:S137)+SUM('工资福利（事业）'!V137:X137,'工资福利（事业）'!AB137))*0.12</f>
        <v>1.1952</v>
      </c>
      <c r="T137" s="348"/>
      <c r="U137" s="348">
        <f t="shared" si="33"/>
        <v>6.97208</v>
      </c>
      <c r="V137" s="348">
        <f t="shared" si="34"/>
        <v>2.6928</v>
      </c>
      <c r="W137" s="348">
        <f t="shared" si="35"/>
        <v>1.2768</v>
      </c>
      <c r="X137" s="348">
        <f t="shared" si="36"/>
        <v>0.9576</v>
      </c>
      <c r="Y137" s="348">
        <f t="shared" si="37"/>
        <v>0.02992</v>
      </c>
      <c r="Z137" s="348">
        <f t="shared" si="38"/>
        <v>0.09976</v>
      </c>
      <c r="AA137" s="348">
        <f t="shared" si="39"/>
        <v>1.9152</v>
      </c>
      <c r="AB137" s="348">
        <f t="shared" si="40"/>
        <v>0</v>
      </c>
      <c r="AC137" s="350"/>
    </row>
    <row r="138" ht="24" spans="1:29">
      <c r="A138" s="284" t="s">
        <v>195</v>
      </c>
      <c r="B138" s="284" t="s">
        <v>196</v>
      </c>
      <c r="C138" s="284" t="s">
        <v>357</v>
      </c>
      <c r="D138" s="284" t="s">
        <v>355</v>
      </c>
      <c r="E138" s="348">
        <f t="shared" si="41"/>
        <v>15.29</v>
      </c>
      <c r="F138" s="348">
        <v>5.89</v>
      </c>
      <c r="G138" s="348">
        <v>2.81</v>
      </c>
      <c r="H138" s="348">
        <v>2.1</v>
      </c>
      <c r="I138" s="348">
        <v>0.07</v>
      </c>
      <c r="J138" s="348">
        <v>0.21</v>
      </c>
      <c r="K138" s="348">
        <v>4.21</v>
      </c>
      <c r="L138" s="348"/>
      <c r="M138" s="348">
        <f t="shared" si="32"/>
        <v>0.78696</v>
      </c>
      <c r="N138" s="348">
        <f>(SUM('工资福利（公务员、参公人员）'!R138:T138)+SUM('工资福利（事业）'!V138:X138,'工资福利（事业）'!AB138))*0.16</f>
        <v>0.2992</v>
      </c>
      <c r="O138" s="348">
        <f>(SUM('工资福利（公务员、参公人员）'!R138:S138)+SUM('工资福利（事业）'!V138:X138,'工资福利（事业）'!AB138))*0.08</f>
        <v>0.1456</v>
      </c>
      <c r="P138" s="348">
        <f>(SUM('工资福利（公务员、参公人员）'!R138:S138)+SUM('工资福利（事业）'!V138:X138,'工资福利（事业）'!AB138))*0.06</f>
        <v>0.1092</v>
      </c>
      <c r="Q138" s="348">
        <f>(SUM('工资福利（公务员、参公人员）'!R138:S138)+SUM('工资福利（事业）'!V138:X138,'工资福利（事业）'!AB138))*0.002</f>
        <v>0.00364</v>
      </c>
      <c r="R138" s="348">
        <f>(SUM('工资福利（公务员、参公人员）'!R138:S138)+SUM('工资福利（事业）'!V138:X138,'工资福利（事业）'!AB138))*0.006</f>
        <v>0.01092</v>
      </c>
      <c r="S138" s="348">
        <f>(SUM('工资福利（公务员、参公人员）'!R138:S138)+SUM('工资福利（事业）'!V138:X138,'工资福利（事业）'!AB138))*0.12</f>
        <v>0.2184</v>
      </c>
      <c r="T138" s="348"/>
      <c r="U138" s="348">
        <f t="shared" si="33"/>
        <v>16.07696</v>
      </c>
      <c r="V138" s="348">
        <f t="shared" si="34"/>
        <v>6.1892</v>
      </c>
      <c r="W138" s="348">
        <f t="shared" si="35"/>
        <v>2.9556</v>
      </c>
      <c r="X138" s="348">
        <f t="shared" si="36"/>
        <v>2.2092</v>
      </c>
      <c r="Y138" s="348">
        <f t="shared" si="37"/>
        <v>0.07364</v>
      </c>
      <c r="Z138" s="348">
        <f t="shared" si="38"/>
        <v>0.22092</v>
      </c>
      <c r="AA138" s="348">
        <f t="shared" si="39"/>
        <v>4.4284</v>
      </c>
      <c r="AB138" s="348">
        <f t="shared" si="40"/>
        <v>0</v>
      </c>
      <c r="AC138" s="350"/>
    </row>
    <row r="139" ht="24" spans="1:29">
      <c r="A139" s="284" t="s">
        <v>195</v>
      </c>
      <c r="B139" s="284" t="s">
        <v>196</v>
      </c>
      <c r="C139" s="284" t="s">
        <v>358</v>
      </c>
      <c r="D139" s="284" t="s">
        <v>355</v>
      </c>
      <c r="E139" s="348">
        <f t="shared" si="41"/>
        <v>2.93</v>
      </c>
      <c r="F139" s="348">
        <v>1.13</v>
      </c>
      <c r="G139" s="348">
        <v>0.54</v>
      </c>
      <c r="H139" s="348">
        <v>0.4</v>
      </c>
      <c r="I139" s="348">
        <v>0.01</v>
      </c>
      <c r="J139" s="348">
        <v>0.04</v>
      </c>
      <c r="K139" s="348">
        <v>0.81</v>
      </c>
      <c r="L139" s="348"/>
      <c r="M139" s="348">
        <f t="shared" si="32"/>
        <v>0.31296</v>
      </c>
      <c r="N139" s="348">
        <f>(SUM('工资福利（公务员、参公人员）'!R139:T139)+SUM('工资福利（事业）'!V139:X139,'工资福利（事业）'!AB139))*0.16</f>
        <v>0.12</v>
      </c>
      <c r="O139" s="348">
        <f>(SUM('工资福利（公务员、参公人员）'!R139:S139)+SUM('工资福利（事业）'!V139:X139,'工资福利（事业）'!AB139))*0.08</f>
        <v>0.0576</v>
      </c>
      <c r="P139" s="348">
        <f>(SUM('工资福利（公务员、参公人员）'!R139:S139)+SUM('工资福利（事业）'!V139:X139,'工资福利（事业）'!AB139))*0.06</f>
        <v>0.0432</v>
      </c>
      <c r="Q139" s="348">
        <f>(SUM('工资福利（公务员、参公人员）'!R139:S139)+SUM('工资福利（事业）'!V139:X139,'工资福利（事业）'!AB139))*0.002</f>
        <v>0.00144</v>
      </c>
      <c r="R139" s="348">
        <f>(SUM('工资福利（公务员、参公人员）'!R139:S139)+SUM('工资福利（事业）'!V139:X139,'工资福利（事业）'!AB139))*0.006</f>
        <v>0.00432</v>
      </c>
      <c r="S139" s="348">
        <f>(SUM('工资福利（公务员、参公人员）'!R139:S139)+SUM('工资福利（事业）'!V139:X139,'工资福利（事业）'!AB139))*0.12</f>
        <v>0.0864</v>
      </c>
      <c r="T139" s="348"/>
      <c r="U139" s="348">
        <f t="shared" si="33"/>
        <v>3.24296</v>
      </c>
      <c r="V139" s="348">
        <f t="shared" si="34"/>
        <v>1.25</v>
      </c>
      <c r="W139" s="348">
        <f t="shared" si="35"/>
        <v>0.5976</v>
      </c>
      <c r="X139" s="348">
        <f t="shared" si="36"/>
        <v>0.4432</v>
      </c>
      <c r="Y139" s="348">
        <f t="shared" si="37"/>
        <v>0.01144</v>
      </c>
      <c r="Z139" s="348">
        <f t="shared" si="38"/>
        <v>0.04432</v>
      </c>
      <c r="AA139" s="348">
        <f t="shared" si="39"/>
        <v>0.8964</v>
      </c>
      <c r="AB139" s="348">
        <f t="shared" si="40"/>
        <v>0</v>
      </c>
      <c r="AC139" s="350"/>
    </row>
    <row r="140" ht="24" spans="1:29">
      <c r="A140" s="284" t="s">
        <v>195</v>
      </c>
      <c r="B140" s="284" t="s">
        <v>196</v>
      </c>
      <c r="C140" s="284" t="s">
        <v>359</v>
      </c>
      <c r="D140" s="284" t="s">
        <v>355</v>
      </c>
      <c r="E140" s="348">
        <f t="shared" si="41"/>
        <v>7.36</v>
      </c>
      <c r="F140" s="348">
        <v>2.82</v>
      </c>
      <c r="G140" s="348">
        <v>1.34</v>
      </c>
      <c r="H140" s="348">
        <v>1.01</v>
      </c>
      <c r="I140" s="348">
        <v>0.07</v>
      </c>
      <c r="J140" s="348">
        <v>0.1</v>
      </c>
      <c r="K140" s="348">
        <v>2.02</v>
      </c>
      <c r="L140" s="348"/>
      <c r="M140" s="348">
        <f t="shared" si="32"/>
        <v>-0.44248</v>
      </c>
      <c r="N140" s="348">
        <f>(SUM('工资福利（公务员、参公人员）'!R140:T140)+SUM('工资福利（事业）'!V140:X140,'工资福利（事业）'!AB140))*0.16</f>
        <v>-0.1584</v>
      </c>
      <c r="O140" s="348">
        <f>(SUM('工资福利（公务员、参公人员）'!R140:S140)+SUM('工资福利（事业）'!V140:X140,'工资福利（事业）'!AB140))*0.08</f>
        <v>-0.0848</v>
      </c>
      <c r="P140" s="348">
        <f>(SUM('工资福利（公务员、参公人员）'!R140:S140)+SUM('工资福利（事业）'!V140:X140,'工资福利（事业）'!AB140))*0.06</f>
        <v>-0.0636</v>
      </c>
      <c r="Q140" s="348">
        <f>(SUM('工资福利（公务员、参公人员）'!R140:S140)+SUM('工资福利（事业）'!V140:X140,'工资福利（事业）'!AB140))*0.002</f>
        <v>-0.00212</v>
      </c>
      <c r="R140" s="348">
        <f>(SUM('工资福利（公务员、参公人员）'!R140:S140)+SUM('工资福利（事业）'!V140:X140,'工资福利（事业）'!AB140))*0.006</f>
        <v>-0.00636</v>
      </c>
      <c r="S140" s="348">
        <f>(SUM('工资福利（公务员、参公人员）'!R140:S140)+SUM('工资福利（事业）'!V140:X140,'工资福利（事业）'!AB140))*0.12</f>
        <v>-0.1272</v>
      </c>
      <c r="T140" s="348"/>
      <c r="U140" s="348">
        <f t="shared" si="33"/>
        <v>6.91752</v>
      </c>
      <c r="V140" s="348">
        <f t="shared" si="34"/>
        <v>2.6616</v>
      </c>
      <c r="W140" s="348">
        <f t="shared" si="35"/>
        <v>1.2552</v>
      </c>
      <c r="X140" s="348">
        <f t="shared" si="36"/>
        <v>0.9464</v>
      </c>
      <c r="Y140" s="348">
        <f t="shared" si="37"/>
        <v>0.06788</v>
      </c>
      <c r="Z140" s="348">
        <f t="shared" si="38"/>
        <v>0.09364</v>
      </c>
      <c r="AA140" s="348">
        <f t="shared" si="39"/>
        <v>1.8928</v>
      </c>
      <c r="AB140" s="348">
        <f t="shared" si="40"/>
        <v>0</v>
      </c>
      <c r="AC140" s="350"/>
    </row>
    <row r="141" ht="24" spans="1:29">
      <c r="A141" s="284" t="s">
        <v>208</v>
      </c>
      <c r="B141" s="284" t="s">
        <v>196</v>
      </c>
      <c r="C141" s="284" t="s">
        <v>360</v>
      </c>
      <c r="D141" s="284" t="s">
        <v>355</v>
      </c>
      <c r="E141" s="348">
        <f t="shared" si="41"/>
        <v>6.1</v>
      </c>
      <c r="F141" s="348">
        <v>2.35</v>
      </c>
      <c r="G141" s="348">
        <v>1.12</v>
      </c>
      <c r="H141" s="348">
        <v>0.84</v>
      </c>
      <c r="I141" s="348">
        <v>0.03</v>
      </c>
      <c r="J141" s="348">
        <v>0.08</v>
      </c>
      <c r="K141" s="348">
        <v>1.68</v>
      </c>
      <c r="L141" s="348"/>
      <c r="M141" s="348">
        <f t="shared" si="32"/>
        <v>0.5881704</v>
      </c>
      <c r="N141" s="348">
        <f>(SUM('工资福利（公务员、参公人员）'!R141:T141)+SUM('工资福利（事业）'!V141:X141,'工资福利（事业）'!AB141))*0.16</f>
        <v>0.225888</v>
      </c>
      <c r="O141" s="348">
        <f>(SUM('工资福利（公务员、参公人员）'!R141:S141)+SUM('工资福利（事业）'!V141:X141,'工资福利（事业）'!AB141))*0.08</f>
        <v>0.108144</v>
      </c>
      <c r="P141" s="348">
        <f>(SUM('工资福利（公务员、参公人员）'!R141:S141)+SUM('工资福利（事业）'!V141:X141,'工资福利（事业）'!AB141))*0.06</f>
        <v>0.081108</v>
      </c>
      <c r="Q141" s="348">
        <f>(SUM('工资福利（公务员、参公人员）'!R141:S141)+SUM('工资福利（事业）'!V141:X141,'工资福利（事业）'!AB141))*0.002</f>
        <v>0.0027036</v>
      </c>
      <c r="R141" s="348">
        <f>(SUM('工资福利（公务员、参公人员）'!R141:S141)+SUM('工资福利（事业）'!V141:X141,'工资福利（事业）'!AB141))*0.006</f>
        <v>0.0081108</v>
      </c>
      <c r="S141" s="348">
        <f>(SUM('工资福利（公务员、参公人员）'!R141:S141)+SUM('工资福利（事业）'!V141:X141,'工资福利（事业）'!AB141))*0.12</f>
        <v>0.162216</v>
      </c>
      <c r="T141" s="348"/>
      <c r="U141" s="348">
        <f t="shared" si="33"/>
        <v>6.6881704</v>
      </c>
      <c r="V141" s="348">
        <f t="shared" si="34"/>
        <v>2.575888</v>
      </c>
      <c r="W141" s="348">
        <f t="shared" si="35"/>
        <v>1.228144</v>
      </c>
      <c r="X141" s="348">
        <f t="shared" si="36"/>
        <v>0.921108</v>
      </c>
      <c r="Y141" s="348">
        <f t="shared" si="37"/>
        <v>0.0327036</v>
      </c>
      <c r="Z141" s="348">
        <f t="shared" si="38"/>
        <v>0.0881108</v>
      </c>
      <c r="AA141" s="348">
        <f t="shared" si="39"/>
        <v>1.842216</v>
      </c>
      <c r="AB141" s="348">
        <f t="shared" si="40"/>
        <v>0</v>
      </c>
      <c r="AC141" s="350"/>
    </row>
    <row r="142" ht="24" spans="1:29">
      <c r="A142" s="284" t="s">
        <v>195</v>
      </c>
      <c r="B142" s="284" t="s">
        <v>199</v>
      </c>
      <c r="C142" s="284" t="s">
        <v>361</v>
      </c>
      <c r="D142" s="284" t="s">
        <v>362</v>
      </c>
      <c r="E142" s="348">
        <f t="shared" si="41"/>
        <v>7.57</v>
      </c>
      <c r="F142" s="348">
        <v>2.83</v>
      </c>
      <c r="G142" s="348">
        <v>1.41</v>
      </c>
      <c r="H142" s="348">
        <v>1.06</v>
      </c>
      <c r="I142" s="348">
        <v>0.04</v>
      </c>
      <c r="J142" s="348">
        <v>0.11</v>
      </c>
      <c r="K142" s="348">
        <v>2.12</v>
      </c>
      <c r="L142" s="348"/>
      <c r="M142" s="348">
        <f t="shared" si="32"/>
        <v>0.66768</v>
      </c>
      <c r="N142" s="348">
        <f>(SUM('工资福利（公务员、参公人员）'!R142:T142)+SUM('工资福利（事业）'!V142:X142,'工资福利（事业）'!AB142))*0.16</f>
        <v>0.2496</v>
      </c>
      <c r="O142" s="348">
        <f>(SUM('工资福利（公务员、参公人员）'!R142:S142)+SUM('工资福利（事业）'!V142:X142,'工资福利（事业）'!AB142))*0.08</f>
        <v>0.1248</v>
      </c>
      <c r="P142" s="348">
        <f>(SUM('工资福利（公务员、参公人员）'!R142:S142)+SUM('工资福利（事业）'!V142:X142,'工资福利（事业）'!AB142))*0.06</f>
        <v>0.0936</v>
      </c>
      <c r="Q142" s="348">
        <f>(SUM('工资福利（公务员、参公人员）'!R142:S142)+SUM('工资福利（事业）'!V142:X142,'工资福利（事业）'!AB142))*0.002</f>
        <v>0.00312</v>
      </c>
      <c r="R142" s="348">
        <f>(SUM('工资福利（公务员、参公人员）'!R142:S142)+SUM('工资福利（事业）'!V142:X142,'工资福利（事业）'!AB142))*0.006</f>
        <v>0.00936</v>
      </c>
      <c r="S142" s="348">
        <f>(SUM('工资福利（公务员、参公人员）'!R142:S142)+SUM('工资福利（事业）'!V142:X142,'工资福利（事业）'!AB142))*0.12</f>
        <v>0.1872</v>
      </c>
      <c r="T142" s="348"/>
      <c r="U142" s="348">
        <f t="shared" si="33"/>
        <v>8.23768</v>
      </c>
      <c r="V142" s="348">
        <f t="shared" si="34"/>
        <v>3.0796</v>
      </c>
      <c r="W142" s="348">
        <f t="shared" si="35"/>
        <v>1.5348</v>
      </c>
      <c r="X142" s="348">
        <f t="shared" si="36"/>
        <v>1.1536</v>
      </c>
      <c r="Y142" s="348">
        <f t="shared" si="37"/>
        <v>0.04312</v>
      </c>
      <c r="Z142" s="348">
        <f t="shared" si="38"/>
        <v>0.11936</v>
      </c>
      <c r="AA142" s="348">
        <f t="shared" si="39"/>
        <v>2.3072</v>
      </c>
      <c r="AB142" s="348">
        <f t="shared" si="40"/>
        <v>0</v>
      </c>
      <c r="AC142" s="350"/>
    </row>
    <row r="143" ht="24" spans="1:29">
      <c r="A143" s="284" t="s">
        <v>195</v>
      </c>
      <c r="B143" s="284" t="s">
        <v>199</v>
      </c>
      <c r="C143" s="284" t="s">
        <v>363</v>
      </c>
      <c r="D143" s="284" t="s">
        <v>362</v>
      </c>
      <c r="E143" s="348">
        <f t="shared" si="41"/>
        <v>7.19</v>
      </c>
      <c r="F143" s="348">
        <v>2.69</v>
      </c>
      <c r="G143" s="348">
        <v>1.34</v>
      </c>
      <c r="H143" s="348">
        <v>1.01</v>
      </c>
      <c r="I143" s="348">
        <v>0.03</v>
      </c>
      <c r="J143" s="348">
        <v>0.1</v>
      </c>
      <c r="K143" s="348">
        <v>2.02</v>
      </c>
      <c r="L143" s="348"/>
      <c r="M143" s="348">
        <f t="shared" si="32"/>
        <v>0.59492</v>
      </c>
      <c r="N143" s="348">
        <f>(SUM('工资福利（公务员、参公人员）'!R143:T143)+SUM('工资福利（事业）'!V143:X143,'工资福利（事业）'!AB143))*0.16</f>
        <v>0.2224</v>
      </c>
      <c r="O143" s="348">
        <f>(SUM('工资福利（公务员、参公人员）'!R143:S143)+SUM('工资福利（事业）'!V143:X143,'工资福利（事业）'!AB143))*0.08</f>
        <v>0.1112</v>
      </c>
      <c r="P143" s="348">
        <f>(SUM('工资福利（公务员、参公人员）'!R143:S143)+SUM('工资福利（事业）'!V143:X143,'工资福利（事业）'!AB143))*0.06</f>
        <v>0.0834</v>
      </c>
      <c r="Q143" s="348">
        <f>(SUM('工资福利（公务员、参公人员）'!R143:S143)+SUM('工资福利（事业）'!V143:X143,'工资福利（事业）'!AB143))*0.002</f>
        <v>0.00278</v>
      </c>
      <c r="R143" s="348">
        <f>(SUM('工资福利（公务员、参公人员）'!R143:S143)+SUM('工资福利（事业）'!V143:X143,'工资福利（事业）'!AB143))*0.006</f>
        <v>0.00834</v>
      </c>
      <c r="S143" s="348">
        <f>(SUM('工资福利（公务员、参公人员）'!R143:S143)+SUM('工资福利（事业）'!V143:X143,'工资福利（事业）'!AB143))*0.12</f>
        <v>0.1668</v>
      </c>
      <c r="T143" s="348"/>
      <c r="U143" s="348">
        <f t="shared" si="33"/>
        <v>7.78492</v>
      </c>
      <c r="V143" s="348">
        <f t="shared" si="34"/>
        <v>2.9124</v>
      </c>
      <c r="W143" s="348">
        <f t="shared" si="35"/>
        <v>1.4512</v>
      </c>
      <c r="X143" s="348">
        <f t="shared" si="36"/>
        <v>1.0934</v>
      </c>
      <c r="Y143" s="348">
        <f t="shared" si="37"/>
        <v>0.03278</v>
      </c>
      <c r="Z143" s="348">
        <f t="shared" si="38"/>
        <v>0.10834</v>
      </c>
      <c r="AA143" s="348">
        <f t="shared" si="39"/>
        <v>2.1868</v>
      </c>
      <c r="AB143" s="348">
        <f t="shared" si="40"/>
        <v>0</v>
      </c>
      <c r="AC143" s="350"/>
    </row>
    <row r="144" ht="24" spans="1:29">
      <c r="A144" s="284" t="s">
        <v>195</v>
      </c>
      <c r="B144" s="284" t="s">
        <v>199</v>
      </c>
      <c r="C144" s="284" t="s">
        <v>364</v>
      </c>
      <c r="D144" s="284" t="s">
        <v>362</v>
      </c>
      <c r="E144" s="348">
        <f t="shared" si="41"/>
        <v>7.72</v>
      </c>
      <c r="F144" s="348">
        <v>2.87</v>
      </c>
      <c r="G144" s="348">
        <v>1.44</v>
      </c>
      <c r="H144" s="348">
        <v>1.08</v>
      </c>
      <c r="I144" s="348">
        <v>0.07</v>
      </c>
      <c r="J144" s="348">
        <v>0.11</v>
      </c>
      <c r="K144" s="348">
        <v>2.15</v>
      </c>
      <c r="L144" s="348"/>
      <c r="M144" s="348">
        <f t="shared" si="32"/>
        <v>0.79608</v>
      </c>
      <c r="N144" s="348">
        <f>(SUM('工资福利（公务员、参公人员）'!R144:T144)+SUM('工资福利（事业）'!V144:X144,'工资福利（事业）'!AB144))*0.16</f>
        <v>0.2976</v>
      </c>
      <c r="O144" s="348">
        <f>(SUM('工资福利（公务员、参公人员）'!R144:S144)+SUM('工资福利（事业）'!V144:X144,'工资福利（事业）'!AB144))*0.08</f>
        <v>0.1488</v>
      </c>
      <c r="P144" s="348">
        <f>(SUM('工资福利（公务员、参公人员）'!R144:S144)+SUM('工资福利（事业）'!V144:X144,'工资福利（事业）'!AB144))*0.06</f>
        <v>0.1116</v>
      </c>
      <c r="Q144" s="348">
        <f>(SUM('工资福利（公务员、参公人员）'!R144:S144)+SUM('工资福利（事业）'!V144:X144,'工资福利（事业）'!AB144))*0.002</f>
        <v>0.00372</v>
      </c>
      <c r="R144" s="348">
        <f>(SUM('工资福利（公务员、参公人员）'!R144:S144)+SUM('工资福利（事业）'!V144:X144,'工资福利（事业）'!AB144))*0.006</f>
        <v>0.01116</v>
      </c>
      <c r="S144" s="348">
        <f>(SUM('工资福利（公务员、参公人员）'!R144:S144)+SUM('工资福利（事业）'!V144:X144,'工资福利（事业）'!AB144))*0.12</f>
        <v>0.2232</v>
      </c>
      <c r="T144" s="348"/>
      <c r="U144" s="348">
        <f t="shared" si="33"/>
        <v>8.51608</v>
      </c>
      <c r="V144" s="348">
        <f t="shared" si="34"/>
        <v>3.1676</v>
      </c>
      <c r="W144" s="348">
        <f t="shared" si="35"/>
        <v>1.5888</v>
      </c>
      <c r="X144" s="348">
        <f t="shared" si="36"/>
        <v>1.1916</v>
      </c>
      <c r="Y144" s="348">
        <f t="shared" si="37"/>
        <v>0.07372</v>
      </c>
      <c r="Z144" s="348">
        <f t="shared" si="38"/>
        <v>0.12116</v>
      </c>
      <c r="AA144" s="348">
        <f t="shared" si="39"/>
        <v>2.3732</v>
      </c>
      <c r="AB144" s="348">
        <f t="shared" si="40"/>
        <v>0</v>
      </c>
      <c r="AC144" s="350"/>
    </row>
    <row r="145" ht="24" spans="1:29">
      <c r="A145" s="284" t="s">
        <v>208</v>
      </c>
      <c r="B145" s="284" t="s">
        <v>199</v>
      </c>
      <c r="C145" s="284" t="s">
        <v>365</v>
      </c>
      <c r="D145" s="284" t="s">
        <v>362</v>
      </c>
      <c r="E145" s="348">
        <f t="shared" si="41"/>
        <v>5.43</v>
      </c>
      <c r="F145" s="348">
        <v>2.03</v>
      </c>
      <c r="G145" s="348">
        <v>1.01</v>
      </c>
      <c r="H145" s="348">
        <v>0.76</v>
      </c>
      <c r="I145" s="348">
        <v>0.03</v>
      </c>
      <c r="J145" s="348">
        <v>0.08</v>
      </c>
      <c r="K145" s="348">
        <v>1.52</v>
      </c>
      <c r="L145" s="348"/>
      <c r="M145" s="348">
        <f t="shared" si="32"/>
        <v>0.44512</v>
      </c>
      <c r="N145" s="348">
        <f>(SUM('工资福利（公务员、参公人员）'!R145:T145)+SUM('工资福利（事业）'!V145:X145,'工资福利（事业）'!AB145))*0.16</f>
        <v>0.1664</v>
      </c>
      <c r="O145" s="348">
        <f>(SUM('工资福利（公务员、参公人员）'!R145:S145)+SUM('工资福利（事业）'!V145:X145,'工资福利（事业）'!AB145))*0.08</f>
        <v>0.0832</v>
      </c>
      <c r="P145" s="348">
        <f>(SUM('工资福利（公务员、参公人员）'!R145:S145)+SUM('工资福利（事业）'!V145:X145,'工资福利（事业）'!AB145))*0.06</f>
        <v>0.0624</v>
      </c>
      <c r="Q145" s="348">
        <f>(SUM('工资福利（公务员、参公人员）'!R145:S145)+SUM('工资福利（事业）'!V145:X145,'工资福利（事业）'!AB145))*0.002</f>
        <v>0.00208</v>
      </c>
      <c r="R145" s="348">
        <f>(SUM('工资福利（公务员、参公人员）'!R145:S145)+SUM('工资福利（事业）'!V145:X145,'工资福利（事业）'!AB145))*0.006</f>
        <v>0.00624</v>
      </c>
      <c r="S145" s="348">
        <f>(SUM('工资福利（公务员、参公人员）'!R145:S145)+SUM('工资福利（事业）'!V145:X145,'工资福利（事业）'!AB145))*0.12</f>
        <v>0.1248</v>
      </c>
      <c r="T145" s="348"/>
      <c r="U145" s="348">
        <f t="shared" si="33"/>
        <v>5.87512</v>
      </c>
      <c r="V145" s="348">
        <f t="shared" si="34"/>
        <v>2.1964</v>
      </c>
      <c r="W145" s="348">
        <f t="shared" si="35"/>
        <v>1.0932</v>
      </c>
      <c r="X145" s="348">
        <f t="shared" si="36"/>
        <v>0.8224</v>
      </c>
      <c r="Y145" s="348">
        <f t="shared" si="37"/>
        <v>0.03208</v>
      </c>
      <c r="Z145" s="348">
        <f t="shared" si="38"/>
        <v>0.08624</v>
      </c>
      <c r="AA145" s="348">
        <f t="shared" si="39"/>
        <v>1.6448</v>
      </c>
      <c r="AB145" s="348">
        <f t="shared" si="40"/>
        <v>0</v>
      </c>
      <c r="AC145" s="350"/>
    </row>
    <row r="146" ht="36" spans="1:29">
      <c r="A146" s="284" t="s">
        <v>195</v>
      </c>
      <c r="B146" s="284" t="s">
        <v>366</v>
      </c>
      <c r="C146" s="284" t="s">
        <v>367</v>
      </c>
      <c r="D146" s="284" t="s">
        <v>368</v>
      </c>
      <c r="E146" s="348">
        <f t="shared" si="41"/>
        <v>0</v>
      </c>
      <c r="F146" s="348"/>
      <c r="G146" s="348"/>
      <c r="H146" s="348"/>
      <c r="I146" s="348"/>
      <c r="J146" s="348"/>
      <c r="K146" s="348"/>
      <c r="L146" s="348"/>
      <c r="M146" s="348">
        <f t="shared" si="32"/>
        <v>0</v>
      </c>
      <c r="N146" s="348">
        <f>(SUM('工资福利（公务员、参公人员）'!R146:T146)+SUM('工资福利（事业）'!V146:X146,'工资福利（事业）'!AB146))*0.16</f>
        <v>0</v>
      </c>
      <c r="O146" s="348">
        <f>(SUM('工资福利（公务员、参公人员）'!R146:S146)+SUM('工资福利（事业）'!V146:X146,'工资福利（事业）'!AB146))*0.08</f>
        <v>0</v>
      </c>
      <c r="P146" s="348">
        <f>(SUM('工资福利（公务员、参公人员）'!R146:S146)+SUM('工资福利（事业）'!V146:X146,'工资福利（事业）'!AB146))*0.06</f>
        <v>0</v>
      </c>
      <c r="Q146" s="348">
        <f>(SUM('工资福利（公务员、参公人员）'!R146:S146)+SUM('工资福利（事业）'!V146:X146,'工资福利（事业）'!AB146))*0.002</f>
        <v>0</v>
      </c>
      <c r="R146" s="348">
        <f>(SUM('工资福利（公务员、参公人员）'!R146:S146)+SUM('工资福利（事业）'!V146:X146,'工资福利（事业）'!AB146))*0.006</f>
        <v>0</v>
      </c>
      <c r="S146" s="348">
        <f>(SUM('工资福利（公务员、参公人员）'!R146:S146)+SUM('工资福利（事业）'!V146:X146,'工资福利（事业）'!AB146))*0.12</f>
        <v>0</v>
      </c>
      <c r="T146" s="348"/>
      <c r="U146" s="348">
        <f t="shared" si="33"/>
        <v>0</v>
      </c>
      <c r="V146" s="348">
        <f t="shared" si="34"/>
        <v>0</v>
      </c>
      <c r="W146" s="348">
        <f t="shared" si="35"/>
        <v>0</v>
      </c>
      <c r="X146" s="348">
        <f t="shared" si="36"/>
        <v>0</v>
      </c>
      <c r="Y146" s="348">
        <f t="shared" si="37"/>
        <v>0</v>
      </c>
      <c r="Z146" s="348">
        <f t="shared" si="38"/>
        <v>0</v>
      </c>
      <c r="AA146" s="348">
        <f t="shared" si="39"/>
        <v>0</v>
      </c>
      <c r="AB146" s="348">
        <f t="shared" si="40"/>
        <v>0</v>
      </c>
      <c r="AC146" s="350"/>
    </row>
    <row r="147" ht="24" spans="1:29">
      <c r="A147" s="284" t="s">
        <v>195</v>
      </c>
      <c r="B147" s="284" t="s">
        <v>196</v>
      </c>
      <c r="C147" s="284" t="s">
        <v>369</v>
      </c>
      <c r="D147" s="284" t="s">
        <v>370</v>
      </c>
      <c r="E147" s="348">
        <f t="shared" si="41"/>
        <v>100.02</v>
      </c>
      <c r="F147" s="348">
        <v>38.51</v>
      </c>
      <c r="G147" s="348">
        <v>18.36</v>
      </c>
      <c r="H147" s="348">
        <v>13.77</v>
      </c>
      <c r="I147" s="348">
        <v>0.46</v>
      </c>
      <c r="J147" s="348">
        <v>1.38</v>
      </c>
      <c r="K147" s="348">
        <v>27.54</v>
      </c>
      <c r="L147" s="348"/>
      <c r="M147" s="348">
        <f t="shared" si="32"/>
        <v>-4.821</v>
      </c>
      <c r="N147" s="348">
        <f>(SUM('工资福利（公务员、参公人员）'!R147:T147)+SUM('工资福利（事业）'!V147:X147,'工资福利（事业）'!AB147))*0.16</f>
        <v>-1.7792</v>
      </c>
      <c r="O147" s="348">
        <f>(SUM('工资福利（公务员、参公人员）'!R147:S147)+SUM('工资福利（事业）'!V147:X147,'工资福利（事业）'!AB147))*0.08</f>
        <v>-0.908</v>
      </c>
      <c r="P147" s="348">
        <f>(SUM('工资福利（公务员、参公人员）'!R147:S147)+SUM('工资福利（事业）'!V147:X147,'工资福利（事业）'!AB147))*0.06</f>
        <v>-0.681</v>
      </c>
      <c r="Q147" s="348">
        <f>(SUM('工资福利（公务员、参公人员）'!R147:S147)+SUM('工资福利（事业）'!V147:X147,'工资福利（事业）'!AB147))*0.002</f>
        <v>-0.0227</v>
      </c>
      <c r="R147" s="348">
        <f>(SUM('工资福利（公务员、参公人员）'!R147:S147)+SUM('工资福利（事业）'!V147:X147,'工资福利（事业）'!AB147))*0.006</f>
        <v>-0.0681</v>
      </c>
      <c r="S147" s="348">
        <f>(SUM('工资福利（公务员、参公人员）'!R147:S147)+SUM('工资福利（事业）'!V147:X147,'工资福利（事业）'!AB147))*0.12</f>
        <v>-1.362</v>
      </c>
      <c r="T147" s="348"/>
      <c r="U147" s="348">
        <f t="shared" si="33"/>
        <v>95.199</v>
      </c>
      <c r="V147" s="348">
        <f t="shared" si="34"/>
        <v>36.7308</v>
      </c>
      <c r="W147" s="348">
        <f t="shared" si="35"/>
        <v>17.452</v>
      </c>
      <c r="X147" s="348">
        <f t="shared" si="36"/>
        <v>13.089</v>
      </c>
      <c r="Y147" s="348">
        <f t="shared" si="37"/>
        <v>0.4373</v>
      </c>
      <c r="Z147" s="348">
        <f t="shared" si="38"/>
        <v>1.3119</v>
      </c>
      <c r="AA147" s="348">
        <f t="shared" si="39"/>
        <v>26.178</v>
      </c>
      <c r="AB147" s="348">
        <f t="shared" si="40"/>
        <v>0</v>
      </c>
      <c r="AC147" s="350"/>
    </row>
    <row r="148" ht="24" spans="1:29">
      <c r="A148" s="284" t="s">
        <v>195</v>
      </c>
      <c r="B148" s="284" t="s">
        <v>196</v>
      </c>
      <c r="C148" s="284" t="s">
        <v>371</v>
      </c>
      <c r="D148" s="284" t="s">
        <v>370</v>
      </c>
      <c r="E148" s="348">
        <f t="shared" si="41"/>
        <v>13.51</v>
      </c>
      <c r="F148" s="348">
        <v>5.2</v>
      </c>
      <c r="G148" s="348">
        <v>2.48</v>
      </c>
      <c r="H148" s="348">
        <v>1.86</v>
      </c>
      <c r="I148" s="348">
        <v>0.06</v>
      </c>
      <c r="J148" s="348">
        <v>0.19</v>
      </c>
      <c r="K148" s="348">
        <v>3.72</v>
      </c>
      <c r="L148" s="348"/>
      <c r="M148" s="348">
        <f t="shared" si="32"/>
        <v>-0.3002</v>
      </c>
      <c r="N148" s="348">
        <f>(SUM('工资福利（公务员、参公人员）'!R148:T148)+SUM('工资福利（事业）'!V148:X148,'工资福利（事业）'!AB148))*0.16</f>
        <v>-0.0992</v>
      </c>
      <c r="O148" s="348">
        <f>(SUM('工资福利（公务员、参公人员）'!R148:S148)+SUM('工资福利（事业）'!V148:X148,'工资福利（事业）'!AB148))*0.08</f>
        <v>-0.06</v>
      </c>
      <c r="P148" s="348">
        <f>(SUM('工资福利（公务员、参公人员）'!R148:S148)+SUM('工资福利（事业）'!V148:X148,'工资福利（事业）'!AB148))*0.06</f>
        <v>-0.045</v>
      </c>
      <c r="Q148" s="348">
        <f>(SUM('工资福利（公务员、参公人员）'!R148:S148)+SUM('工资福利（事业）'!V148:X148,'工资福利（事业）'!AB148))*0.002</f>
        <v>-0.0015</v>
      </c>
      <c r="R148" s="348">
        <f>(SUM('工资福利（公务员、参公人员）'!R148:S148)+SUM('工资福利（事业）'!V148:X148,'工资福利（事业）'!AB148))*0.006</f>
        <v>-0.0045</v>
      </c>
      <c r="S148" s="348">
        <f>(SUM('工资福利（公务员、参公人员）'!R148:S148)+SUM('工资福利（事业）'!V148:X148,'工资福利（事业）'!AB148))*0.12</f>
        <v>-0.09</v>
      </c>
      <c r="T148" s="348"/>
      <c r="U148" s="348">
        <f t="shared" si="33"/>
        <v>13.2098</v>
      </c>
      <c r="V148" s="348">
        <f t="shared" si="34"/>
        <v>5.1008</v>
      </c>
      <c r="W148" s="348">
        <f t="shared" si="35"/>
        <v>2.42</v>
      </c>
      <c r="X148" s="348">
        <f t="shared" si="36"/>
        <v>1.815</v>
      </c>
      <c r="Y148" s="348">
        <f t="shared" si="37"/>
        <v>0.0585</v>
      </c>
      <c r="Z148" s="348">
        <f t="shared" si="38"/>
        <v>0.1855</v>
      </c>
      <c r="AA148" s="348">
        <f t="shared" si="39"/>
        <v>3.63</v>
      </c>
      <c r="AB148" s="348">
        <f t="shared" si="40"/>
        <v>0</v>
      </c>
      <c r="AC148" s="350"/>
    </row>
    <row r="149" ht="24" spans="1:29">
      <c r="A149" s="284" t="s">
        <v>195</v>
      </c>
      <c r="B149" s="284" t="s">
        <v>196</v>
      </c>
      <c r="C149" s="284" t="s">
        <v>372</v>
      </c>
      <c r="D149" s="284" t="s">
        <v>370</v>
      </c>
      <c r="E149" s="348">
        <f t="shared" si="41"/>
        <v>27.79</v>
      </c>
      <c r="F149" s="348">
        <v>10.7</v>
      </c>
      <c r="G149" s="348">
        <v>5.1</v>
      </c>
      <c r="H149" s="348">
        <v>3.83</v>
      </c>
      <c r="I149" s="348">
        <v>0.13</v>
      </c>
      <c r="J149" s="348">
        <v>0.38</v>
      </c>
      <c r="K149" s="348">
        <v>7.65</v>
      </c>
      <c r="L149" s="348"/>
      <c r="M149" s="348">
        <f t="shared" si="32"/>
        <v>-6.959</v>
      </c>
      <c r="N149" s="348">
        <f>(SUM('工资福利（公务员、参公人员）'!R149:T149)+SUM('工资福利（事业）'!V149:X149,'工资福利（事业）'!AB149))*0.16</f>
        <v>-2.6576</v>
      </c>
      <c r="O149" s="348">
        <f>(SUM('工资福利（公务员、参公人员）'!R149:S149)+SUM('工资福利（事业）'!V149:X149,'工资福利（事业）'!AB149))*0.08</f>
        <v>-1.284</v>
      </c>
      <c r="P149" s="348">
        <f>(SUM('工资福利（公务员、参公人员）'!R149:S149)+SUM('工资福利（事业）'!V149:X149,'工资福利（事业）'!AB149))*0.06</f>
        <v>-0.963</v>
      </c>
      <c r="Q149" s="348">
        <f>(SUM('工资福利（公务员、参公人员）'!R149:S149)+SUM('工资福利（事业）'!V149:X149,'工资福利（事业）'!AB149))*0.002</f>
        <v>-0.0321</v>
      </c>
      <c r="R149" s="348">
        <f>(SUM('工资福利（公务员、参公人员）'!R149:S149)+SUM('工资福利（事业）'!V149:X149,'工资福利（事业）'!AB149))*0.006</f>
        <v>-0.0963</v>
      </c>
      <c r="S149" s="348">
        <f>(SUM('工资福利（公务员、参公人员）'!R149:S149)+SUM('工资福利（事业）'!V149:X149,'工资福利（事业）'!AB149))*0.12</f>
        <v>-1.926</v>
      </c>
      <c r="T149" s="348"/>
      <c r="U149" s="348">
        <f t="shared" si="33"/>
        <v>20.831</v>
      </c>
      <c r="V149" s="348">
        <f t="shared" si="34"/>
        <v>8.0424</v>
      </c>
      <c r="W149" s="348">
        <f t="shared" si="35"/>
        <v>3.816</v>
      </c>
      <c r="X149" s="348">
        <f t="shared" si="36"/>
        <v>2.867</v>
      </c>
      <c r="Y149" s="348">
        <f t="shared" si="37"/>
        <v>0.0979</v>
      </c>
      <c r="Z149" s="348">
        <f t="shared" si="38"/>
        <v>0.2837</v>
      </c>
      <c r="AA149" s="348">
        <f t="shared" si="39"/>
        <v>5.724</v>
      </c>
      <c r="AB149" s="348">
        <f t="shared" si="40"/>
        <v>0</v>
      </c>
      <c r="AC149" s="350"/>
    </row>
    <row r="150" ht="24" spans="1:29">
      <c r="A150" s="284" t="s">
        <v>195</v>
      </c>
      <c r="B150" s="284" t="s">
        <v>199</v>
      </c>
      <c r="C150" s="284" t="s">
        <v>779</v>
      </c>
      <c r="D150" s="284" t="s">
        <v>376</v>
      </c>
      <c r="E150" s="348"/>
      <c r="F150" s="348"/>
      <c r="G150" s="348"/>
      <c r="H150" s="348"/>
      <c r="I150" s="348"/>
      <c r="J150" s="348"/>
      <c r="K150" s="348"/>
      <c r="L150" s="348"/>
      <c r="M150" s="348">
        <f t="shared" si="32"/>
        <v>1.78476</v>
      </c>
      <c r="N150" s="348">
        <f>(SUM('工资福利（公务员、参公人员）'!R150:T150)+SUM('工资福利（事业）'!V150:X150,'工资福利（事业）'!AB150))*0.16</f>
        <v>0.6672</v>
      </c>
      <c r="O150" s="348">
        <f>(SUM('工资福利（公务员、参公人员）'!R150:S150)+SUM('工资福利（事业）'!V150:X150,'工资福利（事业）'!AB150))*0.08</f>
        <v>0.3336</v>
      </c>
      <c r="P150" s="348">
        <f>(SUM('工资福利（公务员、参公人员）'!R150:S150)+SUM('工资福利（事业）'!V150:X150,'工资福利（事业）'!AB150))*0.06</f>
        <v>0.2502</v>
      </c>
      <c r="Q150" s="348">
        <f>(SUM('工资福利（公务员、参公人员）'!R150:S150)+SUM('工资福利（事业）'!V150:X150,'工资福利（事业）'!AB150))*0.002</f>
        <v>0.00834</v>
      </c>
      <c r="R150" s="348">
        <f>(SUM('工资福利（公务员、参公人员）'!R150:S150)+SUM('工资福利（事业）'!V150:X150,'工资福利（事业）'!AB150))*0.006</f>
        <v>0.02502</v>
      </c>
      <c r="S150" s="348">
        <f>(SUM('工资福利（公务员、参公人员）'!R150:S150)+SUM('工资福利（事业）'!V150:X150,'工资福利（事业）'!AB150))*0.12</f>
        <v>0.5004</v>
      </c>
      <c r="T150" s="348"/>
      <c r="U150" s="348">
        <f t="shared" si="33"/>
        <v>1.78476</v>
      </c>
      <c r="V150" s="348">
        <f t="shared" si="34"/>
        <v>0.6672</v>
      </c>
      <c r="W150" s="348">
        <f t="shared" si="35"/>
        <v>0.3336</v>
      </c>
      <c r="X150" s="348">
        <f t="shared" si="36"/>
        <v>0.2502</v>
      </c>
      <c r="Y150" s="348">
        <f t="shared" si="37"/>
        <v>0.00834</v>
      </c>
      <c r="Z150" s="348">
        <f t="shared" si="38"/>
        <v>0.02502</v>
      </c>
      <c r="AA150" s="348">
        <f t="shared" si="39"/>
        <v>0.5004</v>
      </c>
      <c r="AB150" s="348">
        <f t="shared" si="40"/>
        <v>0</v>
      </c>
      <c r="AC150" s="350"/>
    </row>
    <row r="151" ht="24" spans="1:29">
      <c r="A151" s="284" t="s">
        <v>195</v>
      </c>
      <c r="B151" s="284" t="s">
        <v>196</v>
      </c>
      <c r="C151" s="284" t="s">
        <v>373</v>
      </c>
      <c r="D151" s="284" t="s">
        <v>370</v>
      </c>
      <c r="E151" s="348">
        <f t="shared" ref="E151:E186" si="42">SUM(F151:L151)</f>
        <v>16.46</v>
      </c>
      <c r="F151" s="348">
        <v>6.34</v>
      </c>
      <c r="G151" s="348">
        <v>3.02</v>
      </c>
      <c r="H151" s="348">
        <v>2.26</v>
      </c>
      <c r="I151" s="348">
        <v>0.08</v>
      </c>
      <c r="J151" s="348">
        <v>0.23</v>
      </c>
      <c r="K151" s="348">
        <v>4.53</v>
      </c>
      <c r="L151" s="348"/>
      <c r="M151" s="348">
        <f t="shared" si="32"/>
        <v>-0.68168</v>
      </c>
      <c r="N151" s="348">
        <f>(SUM('工资福利（公务员、参公人员）'!R151:T151)+SUM('工资福利（事业）'!V151:X151,'工资福利（事业）'!AB151))*0.16</f>
        <v>-0.2368</v>
      </c>
      <c r="O151" s="348">
        <f>(SUM('工资福利（公务员、参公人员）'!R151:S151)+SUM('工资福利（事业）'!V151:X151,'工资福利（事业）'!AB151))*0.08</f>
        <v>-0.1328</v>
      </c>
      <c r="P151" s="348">
        <f>(SUM('工资福利（公务员、参公人员）'!R151:S151)+SUM('工资福利（事业）'!V151:X151,'工资福利（事业）'!AB151))*0.06</f>
        <v>-0.0996</v>
      </c>
      <c r="Q151" s="348">
        <f>(SUM('工资福利（公务员、参公人员）'!R151:S151)+SUM('工资福利（事业）'!V151:X151,'工资福利（事业）'!AB151))*0.002</f>
        <v>-0.00332</v>
      </c>
      <c r="R151" s="348">
        <f>(SUM('工资福利（公务员、参公人员）'!R151:S151)+SUM('工资福利（事业）'!V151:X151,'工资福利（事业）'!AB151))*0.006</f>
        <v>-0.00996</v>
      </c>
      <c r="S151" s="348">
        <f>(SUM('工资福利（公务员、参公人员）'!R151:S151)+SUM('工资福利（事业）'!V151:X151,'工资福利（事业）'!AB151))*0.12</f>
        <v>-0.1992</v>
      </c>
      <c r="T151" s="348"/>
      <c r="U151" s="348">
        <f t="shared" si="33"/>
        <v>15.77832</v>
      </c>
      <c r="V151" s="348">
        <f t="shared" si="34"/>
        <v>6.1032</v>
      </c>
      <c r="W151" s="348">
        <f t="shared" si="35"/>
        <v>2.8872</v>
      </c>
      <c r="X151" s="348">
        <f t="shared" si="36"/>
        <v>2.1604</v>
      </c>
      <c r="Y151" s="348">
        <f t="shared" si="37"/>
        <v>0.07668</v>
      </c>
      <c r="Z151" s="348">
        <f t="shared" si="38"/>
        <v>0.22004</v>
      </c>
      <c r="AA151" s="348">
        <f t="shared" si="39"/>
        <v>4.3308</v>
      </c>
      <c r="AB151" s="348">
        <f t="shared" si="40"/>
        <v>0</v>
      </c>
      <c r="AC151" s="350"/>
    </row>
    <row r="152" ht="24" spans="1:29">
      <c r="A152" s="284" t="s">
        <v>195</v>
      </c>
      <c r="B152" s="284" t="s">
        <v>196</v>
      </c>
      <c r="C152" s="284" t="s">
        <v>374</v>
      </c>
      <c r="D152" s="284" t="s">
        <v>370</v>
      </c>
      <c r="E152" s="348">
        <f t="shared" si="42"/>
        <v>33.11</v>
      </c>
      <c r="F152" s="348">
        <v>12.71</v>
      </c>
      <c r="G152" s="348">
        <v>6.09</v>
      </c>
      <c r="H152" s="348">
        <v>4.57</v>
      </c>
      <c r="I152" s="348">
        <v>0.15</v>
      </c>
      <c r="J152" s="348">
        <v>0.46</v>
      </c>
      <c r="K152" s="348">
        <v>9.13</v>
      </c>
      <c r="L152" s="348"/>
      <c r="M152" s="348">
        <f t="shared" ref="M152:M169" si="43">SUM(N152:T152)</f>
        <v>4.91896</v>
      </c>
      <c r="N152" s="348">
        <f>(SUM('工资福利（公务员、参公人员）'!R152:T152)+SUM('工资福利（事业）'!V152:X152,'工资福利（事业）'!AB152))*0.16</f>
        <v>1.912</v>
      </c>
      <c r="O152" s="348">
        <f>(SUM('工资福利（公务员、参公人员）'!R152:S152)+SUM('工资福利（事业）'!V152:X152,'工资福利（事业）'!AB152))*0.08</f>
        <v>0.8976</v>
      </c>
      <c r="P152" s="348">
        <f>(SUM('工资福利（公务员、参公人员）'!R152:S152)+SUM('工资福利（事业）'!V152:X152,'工资福利（事业）'!AB152))*0.06</f>
        <v>0.6732</v>
      </c>
      <c r="Q152" s="348">
        <f>(SUM('工资福利（公务员、参公人员）'!R152:S152)+SUM('工资福利（事业）'!V152:X152,'工资福利（事业）'!AB152))*0.002</f>
        <v>0.02244</v>
      </c>
      <c r="R152" s="348">
        <f>(SUM('工资福利（公务员、参公人员）'!R152:S152)+SUM('工资福利（事业）'!V152:X152,'工资福利（事业）'!AB152))*0.006</f>
        <v>0.06732</v>
      </c>
      <c r="S152" s="348">
        <f>(SUM('工资福利（公务员、参公人员）'!R152:S152)+SUM('工资福利（事业）'!V152:X152,'工资福利（事业）'!AB152))*0.12</f>
        <v>1.3464</v>
      </c>
      <c r="T152" s="348"/>
      <c r="U152" s="348">
        <f t="shared" ref="U152:U169" si="44">SUM(V152:AB152)</f>
        <v>38.02896</v>
      </c>
      <c r="V152" s="348">
        <f t="shared" ref="V152:V169" si="45">F152+N152</f>
        <v>14.622</v>
      </c>
      <c r="W152" s="348">
        <f t="shared" ref="W152:W169" si="46">G152+O152</f>
        <v>6.9876</v>
      </c>
      <c r="X152" s="348">
        <f t="shared" ref="X152:X169" si="47">H152+P152</f>
        <v>5.2432</v>
      </c>
      <c r="Y152" s="348">
        <f t="shared" ref="Y152:Y169" si="48">I152+Q152</f>
        <v>0.17244</v>
      </c>
      <c r="Z152" s="348">
        <f t="shared" ref="Z152:Z169" si="49">J152+R152</f>
        <v>0.52732</v>
      </c>
      <c r="AA152" s="348">
        <f t="shared" ref="AA152:AA169" si="50">K152+S152</f>
        <v>10.4764</v>
      </c>
      <c r="AB152" s="348">
        <f t="shared" ref="AB152:AB169" si="51">L152+T152</f>
        <v>0</v>
      </c>
      <c r="AC152" s="350"/>
    </row>
    <row r="153" ht="24" spans="1:29">
      <c r="A153" s="284" t="s">
        <v>195</v>
      </c>
      <c r="B153" s="284" t="s">
        <v>199</v>
      </c>
      <c r="C153" s="284" t="s">
        <v>375</v>
      </c>
      <c r="D153" s="284" t="s">
        <v>376</v>
      </c>
      <c r="E153" s="348">
        <f t="shared" si="42"/>
        <v>9.04</v>
      </c>
      <c r="F153" s="348">
        <v>3.38</v>
      </c>
      <c r="G153" s="348">
        <v>1.69</v>
      </c>
      <c r="H153" s="348">
        <v>1.27</v>
      </c>
      <c r="I153" s="348">
        <v>0.04</v>
      </c>
      <c r="J153" s="348">
        <v>0.13</v>
      </c>
      <c r="K153" s="348">
        <v>2.53</v>
      </c>
      <c r="L153" s="348"/>
      <c r="M153" s="348">
        <f t="shared" si="43"/>
        <v>3.2742</v>
      </c>
      <c r="N153" s="348">
        <f>(SUM('工资福利（公务员、参公人员）'!R153:T153)+SUM('工资福利（事业）'!V153:X153,'工资福利（事业）'!AB153))*0.16</f>
        <v>1.224</v>
      </c>
      <c r="O153" s="348">
        <f>(SUM('工资福利（公务员、参公人员）'!R153:S153)+SUM('工资福利（事业）'!V153:X153,'工资福利（事业）'!AB153))*0.08</f>
        <v>0.612</v>
      </c>
      <c r="P153" s="348">
        <f>(SUM('工资福利（公务员、参公人员）'!R153:S153)+SUM('工资福利（事业）'!V153:X153,'工资福利（事业）'!AB153))*0.06</f>
        <v>0.459</v>
      </c>
      <c r="Q153" s="348">
        <f>(SUM('工资福利（公务员、参公人员）'!R153:S153)+SUM('工资福利（事业）'!V153:X153,'工资福利（事业）'!AB153))*0.002</f>
        <v>0.0153</v>
      </c>
      <c r="R153" s="348">
        <f>(SUM('工资福利（公务员、参公人员）'!R153:S153)+SUM('工资福利（事业）'!V153:X153,'工资福利（事业）'!AB153))*0.006</f>
        <v>0.0459</v>
      </c>
      <c r="S153" s="348">
        <f>(SUM('工资福利（公务员、参公人员）'!R153:S153)+SUM('工资福利（事业）'!V153:X153,'工资福利（事业）'!AB153))*0.12</f>
        <v>0.918</v>
      </c>
      <c r="T153" s="348"/>
      <c r="U153" s="348">
        <f t="shared" si="44"/>
        <v>12.3142</v>
      </c>
      <c r="V153" s="348">
        <f t="shared" si="45"/>
        <v>4.604</v>
      </c>
      <c r="W153" s="348">
        <f t="shared" si="46"/>
        <v>2.302</v>
      </c>
      <c r="X153" s="348">
        <f t="shared" si="47"/>
        <v>1.729</v>
      </c>
      <c r="Y153" s="348">
        <f t="shared" si="48"/>
        <v>0.0553</v>
      </c>
      <c r="Z153" s="348">
        <f t="shared" si="49"/>
        <v>0.1759</v>
      </c>
      <c r="AA153" s="348">
        <f t="shared" si="50"/>
        <v>3.448</v>
      </c>
      <c r="AB153" s="348">
        <f t="shared" si="51"/>
        <v>0</v>
      </c>
      <c r="AC153" s="350"/>
    </row>
    <row r="154" ht="24" spans="1:29">
      <c r="A154" s="284" t="s">
        <v>195</v>
      </c>
      <c r="B154" s="284" t="s">
        <v>199</v>
      </c>
      <c r="C154" s="284" t="s">
        <v>781</v>
      </c>
      <c r="D154" s="284" t="s">
        <v>376</v>
      </c>
      <c r="E154" s="348">
        <f t="shared" si="42"/>
        <v>6.92</v>
      </c>
      <c r="F154" s="348">
        <v>2.59</v>
      </c>
      <c r="G154" s="348">
        <v>1.29</v>
      </c>
      <c r="H154" s="348">
        <v>0.97</v>
      </c>
      <c r="I154" s="348">
        <v>0.03</v>
      </c>
      <c r="J154" s="348">
        <v>0.1</v>
      </c>
      <c r="K154" s="348">
        <v>1.94</v>
      </c>
      <c r="L154" s="348"/>
      <c r="M154" s="348">
        <f t="shared" si="43"/>
        <v>-4.1302</v>
      </c>
      <c r="N154" s="348">
        <f>(SUM('工资福利（公务员、参公人员）'!R154:T154)+SUM('工资福利（事业）'!V154:X154,'工资福利（事业）'!AB154))*0.16</f>
        <v>-1.544</v>
      </c>
      <c r="O154" s="348">
        <f>(SUM('工资福利（公务员、参公人员）'!R154:S154)+SUM('工资福利（事业）'!V154:X154,'工资福利（事业）'!AB154))*0.08</f>
        <v>-0.772</v>
      </c>
      <c r="P154" s="348">
        <f>(SUM('工资福利（公务员、参公人员）'!R154:S154)+SUM('工资福利（事业）'!V154:X154,'工资福利（事业）'!AB154))*0.06</f>
        <v>-0.579</v>
      </c>
      <c r="Q154" s="348">
        <f>(SUM('工资福利（公务员、参公人员）'!R154:S154)+SUM('工资福利（事业）'!V154:X154,'工资福利（事业）'!AB154))*0.002</f>
        <v>-0.0193</v>
      </c>
      <c r="R154" s="348">
        <f>(SUM('工资福利（公务员、参公人员）'!R154:S154)+SUM('工资福利（事业）'!V154:X154,'工资福利（事业）'!AB154))*0.006</f>
        <v>-0.0579</v>
      </c>
      <c r="S154" s="348">
        <f>(SUM('工资福利（公务员、参公人员）'!R154:S154)+SUM('工资福利（事业）'!V154:X154,'工资福利（事业）'!AB154))*0.12</f>
        <v>-1.158</v>
      </c>
      <c r="T154" s="348"/>
      <c r="U154" s="348">
        <f t="shared" si="44"/>
        <v>2.7898</v>
      </c>
      <c r="V154" s="348">
        <f t="shared" si="45"/>
        <v>1.046</v>
      </c>
      <c r="W154" s="348">
        <f t="shared" si="46"/>
        <v>0.518</v>
      </c>
      <c r="X154" s="348">
        <f t="shared" si="47"/>
        <v>0.391</v>
      </c>
      <c r="Y154" s="348">
        <f t="shared" si="48"/>
        <v>0.0107</v>
      </c>
      <c r="Z154" s="348">
        <f t="shared" si="49"/>
        <v>0.0421</v>
      </c>
      <c r="AA154" s="348">
        <f t="shared" si="50"/>
        <v>0.782</v>
      </c>
      <c r="AB154" s="348">
        <f t="shared" si="51"/>
        <v>0</v>
      </c>
      <c r="AC154" s="350"/>
    </row>
    <row r="155" ht="24" spans="1:29">
      <c r="A155" s="284" t="s">
        <v>195</v>
      </c>
      <c r="B155" s="284" t="s">
        <v>199</v>
      </c>
      <c r="C155" s="284" t="s">
        <v>378</v>
      </c>
      <c r="D155" s="284" t="s">
        <v>376</v>
      </c>
      <c r="E155" s="348">
        <f t="shared" si="42"/>
        <v>4.91</v>
      </c>
      <c r="F155" s="348">
        <v>1.83</v>
      </c>
      <c r="G155" s="348">
        <v>0.92</v>
      </c>
      <c r="H155" s="348">
        <v>0.69</v>
      </c>
      <c r="I155" s="348">
        <v>0.02</v>
      </c>
      <c r="J155" s="348">
        <v>0.07</v>
      </c>
      <c r="K155" s="348">
        <v>1.38</v>
      </c>
      <c r="L155" s="348"/>
      <c r="M155" s="348">
        <f t="shared" si="43"/>
        <v>3.04736</v>
      </c>
      <c r="N155" s="348">
        <f>(SUM('工资福利（公务员、参公人员）'!R155:T155)+SUM('工资福利（事业）'!V155:X155,'工资福利（事业）'!AB155))*0.16</f>
        <v>1.1392</v>
      </c>
      <c r="O155" s="348">
        <f>(SUM('工资福利（公务员、参公人员）'!R155:S155)+SUM('工资福利（事业）'!V155:X155,'工资福利（事业）'!AB155))*0.08</f>
        <v>0.5696</v>
      </c>
      <c r="P155" s="348">
        <f>(SUM('工资福利（公务员、参公人员）'!R155:S155)+SUM('工资福利（事业）'!V155:X155,'工资福利（事业）'!AB155))*0.06</f>
        <v>0.4272</v>
      </c>
      <c r="Q155" s="348">
        <f>(SUM('工资福利（公务员、参公人员）'!R155:S155)+SUM('工资福利（事业）'!V155:X155,'工资福利（事业）'!AB155))*0.002</f>
        <v>0.01424</v>
      </c>
      <c r="R155" s="348">
        <f>(SUM('工资福利（公务员、参公人员）'!R155:S155)+SUM('工资福利（事业）'!V155:X155,'工资福利（事业）'!AB155))*0.006</f>
        <v>0.04272</v>
      </c>
      <c r="S155" s="348">
        <f>(SUM('工资福利（公务员、参公人员）'!R155:S155)+SUM('工资福利（事业）'!V155:X155,'工资福利（事业）'!AB155))*0.12</f>
        <v>0.8544</v>
      </c>
      <c r="T155" s="348"/>
      <c r="U155" s="348">
        <f t="shared" si="44"/>
        <v>7.95736</v>
      </c>
      <c r="V155" s="348">
        <f t="shared" si="45"/>
        <v>2.9692</v>
      </c>
      <c r="W155" s="348">
        <f t="shared" si="46"/>
        <v>1.4896</v>
      </c>
      <c r="X155" s="348">
        <f t="shared" si="47"/>
        <v>1.1172</v>
      </c>
      <c r="Y155" s="348">
        <f t="shared" si="48"/>
        <v>0.03424</v>
      </c>
      <c r="Z155" s="348">
        <f t="shared" si="49"/>
        <v>0.11272</v>
      </c>
      <c r="AA155" s="348">
        <f t="shared" si="50"/>
        <v>2.2344</v>
      </c>
      <c r="AB155" s="348">
        <f t="shared" si="51"/>
        <v>0</v>
      </c>
      <c r="AC155" s="350"/>
    </row>
    <row r="156" ht="24" spans="1:29">
      <c r="A156" s="284" t="s">
        <v>195</v>
      </c>
      <c r="B156" s="284" t="s">
        <v>199</v>
      </c>
      <c r="C156" s="284" t="s">
        <v>379</v>
      </c>
      <c r="D156" s="284" t="s">
        <v>376</v>
      </c>
      <c r="E156" s="348">
        <f t="shared" si="42"/>
        <v>5.49</v>
      </c>
      <c r="F156" s="348">
        <v>2.05</v>
      </c>
      <c r="G156" s="348">
        <v>1.02</v>
      </c>
      <c r="H156" s="348">
        <v>0.77</v>
      </c>
      <c r="I156" s="348">
        <v>0.03</v>
      </c>
      <c r="J156" s="348">
        <v>0.08</v>
      </c>
      <c r="K156" s="348">
        <v>1.54</v>
      </c>
      <c r="L156" s="348"/>
      <c r="M156" s="348">
        <f t="shared" si="43"/>
        <v>0.50932</v>
      </c>
      <c r="N156" s="348">
        <f>(SUM('工资福利（公务员、参公人员）'!R156:T156)+SUM('工资福利（事业）'!V156:X156,'工资福利（事业）'!AB156))*0.16</f>
        <v>0.1904</v>
      </c>
      <c r="O156" s="348">
        <f>(SUM('工资福利（公务员、参公人员）'!R156:S156)+SUM('工资福利（事业）'!V156:X156,'工资福利（事业）'!AB156))*0.08</f>
        <v>0.0952</v>
      </c>
      <c r="P156" s="348">
        <f>(SUM('工资福利（公务员、参公人员）'!R156:S156)+SUM('工资福利（事业）'!V156:X156,'工资福利（事业）'!AB156))*0.06</f>
        <v>0.0714</v>
      </c>
      <c r="Q156" s="348">
        <f>(SUM('工资福利（公务员、参公人员）'!R156:S156)+SUM('工资福利（事业）'!V156:X156,'工资福利（事业）'!AB156))*0.002</f>
        <v>0.00238</v>
      </c>
      <c r="R156" s="348">
        <f>(SUM('工资福利（公务员、参公人员）'!R156:S156)+SUM('工资福利（事业）'!V156:X156,'工资福利（事业）'!AB156))*0.006</f>
        <v>0.00714</v>
      </c>
      <c r="S156" s="348">
        <f>(SUM('工资福利（公务员、参公人员）'!R156:S156)+SUM('工资福利（事业）'!V156:X156,'工资福利（事业）'!AB156))*0.12</f>
        <v>0.1428</v>
      </c>
      <c r="T156" s="348"/>
      <c r="U156" s="348">
        <f t="shared" si="44"/>
        <v>5.99932</v>
      </c>
      <c r="V156" s="348">
        <f t="shared" si="45"/>
        <v>2.2404</v>
      </c>
      <c r="W156" s="348">
        <f t="shared" si="46"/>
        <v>1.1152</v>
      </c>
      <c r="X156" s="348">
        <f t="shared" si="47"/>
        <v>0.8414</v>
      </c>
      <c r="Y156" s="348">
        <f t="shared" si="48"/>
        <v>0.03238</v>
      </c>
      <c r="Z156" s="348">
        <f t="shared" si="49"/>
        <v>0.08714</v>
      </c>
      <c r="AA156" s="348">
        <f t="shared" si="50"/>
        <v>1.6828</v>
      </c>
      <c r="AB156" s="348">
        <f t="shared" si="51"/>
        <v>0</v>
      </c>
      <c r="AC156" s="350"/>
    </row>
    <row r="157" ht="24" spans="1:29">
      <c r="A157" s="284" t="s">
        <v>195</v>
      </c>
      <c r="B157" s="284" t="s">
        <v>199</v>
      </c>
      <c r="C157" s="284" t="s">
        <v>380</v>
      </c>
      <c r="D157" s="284" t="s">
        <v>376</v>
      </c>
      <c r="E157" s="348">
        <f t="shared" si="42"/>
        <v>4.6</v>
      </c>
      <c r="F157" s="348">
        <v>1.72</v>
      </c>
      <c r="G157" s="348">
        <v>0.86</v>
      </c>
      <c r="H157" s="348">
        <v>0.65</v>
      </c>
      <c r="I157" s="348">
        <v>0.02</v>
      </c>
      <c r="J157" s="348">
        <v>0.06</v>
      </c>
      <c r="K157" s="348">
        <v>1.29</v>
      </c>
      <c r="L157" s="348"/>
      <c r="M157" s="348">
        <f t="shared" si="43"/>
        <v>6.93788</v>
      </c>
      <c r="N157" s="348">
        <f>(SUM('工资福利（公务员、参公人员）'!R157:T157)+SUM('工资福利（事业）'!V157:X157,'工资福利（事业）'!AB157))*0.16</f>
        <v>2.5936</v>
      </c>
      <c r="O157" s="348">
        <f>(SUM('工资福利（公务员、参公人员）'!R157:S157)+SUM('工资福利（事业）'!V157:X157,'工资福利（事业）'!AB157))*0.08</f>
        <v>1.2968</v>
      </c>
      <c r="P157" s="348">
        <f>(SUM('工资福利（公务员、参公人员）'!R157:S157)+SUM('工资福利（事业）'!V157:X157,'工资福利（事业）'!AB157))*0.06</f>
        <v>0.9726</v>
      </c>
      <c r="Q157" s="348">
        <f>(SUM('工资福利（公务员、参公人员）'!R157:S157)+SUM('工资福利（事业）'!V157:X157,'工资福利（事业）'!AB157))*0.002</f>
        <v>0.03242</v>
      </c>
      <c r="R157" s="348">
        <f>(SUM('工资福利（公务员、参公人员）'!R157:S157)+SUM('工资福利（事业）'!V157:X157,'工资福利（事业）'!AB157))*0.006</f>
        <v>0.09726</v>
      </c>
      <c r="S157" s="348">
        <f>(SUM('工资福利（公务员、参公人员）'!R157:S157)+SUM('工资福利（事业）'!V157:X157,'工资福利（事业）'!AB157))*0.12</f>
        <v>1.9452</v>
      </c>
      <c r="T157" s="348"/>
      <c r="U157" s="348">
        <f t="shared" si="44"/>
        <v>11.53788</v>
      </c>
      <c r="V157" s="348">
        <f t="shared" si="45"/>
        <v>4.3136</v>
      </c>
      <c r="W157" s="348">
        <f t="shared" si="46"/>
        <v>2.1568</v>
      </c>
      <c r="X157" s="348">
        <f t="shared" si="47"/>
        <v>1.6226</v>
      </c>
      <c r="Y157" s="348">
        <f t="shared" si="48"/>
        <v>0.05242</v>
      </c>
      <c r="Z157" s="348">
        <f t="shared" si="49"/>
        <v>0.15726</v>
      </c>
      <c r="AA157" s="348">
        <f t="shared" si="50"/>
        <v>3.2352</v>
      </c>
      <c r="AB157" s="348">
        <f t="shared" si="51"/>
        <v>0</v>
      </c>
      <c r="AC157" s="350"/>
    </row>
    <row r="158" ht="24" spans="1:29">
      <c r="A158" s="284" t="s">
        <v>195</v>
      </c>
      <c r="B158" s="284" t="s">
        <v>199</v>
      </c>
      <c r="C158" s="284" t="s">
        <v>381</v>
      </c>
      <c r="D158" s="284" t="s">
        <v>376</v>
      </c>
      <c r="E158" s="348">
        <f t="shared" si="42"/>
        <v>9.14</v>
      </c>
      <c r="F158" s="348">
        <v>3.42</v>
      </c>
      <c r="G158" s="348">
        <v>1.71</v>
      </c>
      <c r="H158" s="348">
        <v>1.28</v>
      </c>
      <c r="I158" s="348">
        <v>0.04</v>
      </c>
      <c r="J158" s="348">
        <v>0.13</v>
      </c>
      <c r="K158" s="348">
        <v>2.56</v>
      </c>
      <c r="L158" s="348"/>
      <c r="M158" s="348">
        <f t="shared" si="43"/>
        <v>0.9202</v>
      </c>
      <c r="N158" s="348">
        <f>(SUM('工资福利（公务员、参公人员）'!R158:T158)+SUM('工资福利（事业）'!V158:X158,'工资福利（事业）'!AB158))*0.16</f>
        <v>0.344</v>
      </c>
      <c r="O158" s="348">
        <f>(SUM('工资福利（公务员、参公人员）'!R158:S158)+SUM('工资福利（事业）'!V158:X158,'工资福利（事业）'!AB158))*0.08</f>
        <v>0.172</v>
      </c>
      <c r="P158" s="348">
        <f>(SUM('工资福利（公务员、参公人员）'!R158:S158)+SUM('工资福利（事业）'!V158:X158,'工资福利（事业）'!AB158))*0.06</f>
        <v>0.129</v>
      </c>
      <c r="Q158" s="348">
        <f>(SUM('工资福利（公务员、参公人员）'!R158:S158)+SUM('工资福利（事业）'!V158:X158,'工资福利（事业）'!AB158))*0.002</f>
        <v>0.0043</v>
      </c>
      <c r="R158" s="348">
        <f>(SUM('工资福利（公务员、参公人员）'!R158:S158)+SUM('工资福利（事业）'!V158:X158,'工资福利（事业）'!AB158))*0.006</f>
        <v>0.0129</v>
      </c>
      <c r="S158" s="348">
        <f>(SUM('工资福利（公务员、参公人员）'!R158:S158)+SUM('工资福利（事业）'!V158:X158,'工资福利（事业）'!AB158))*0.12</f>
        <v>0.258</v>
      </c>
      <c r="T158" s="348"/>
      <c r="U158" s="348">
        <f t="shared" si="44"/>
        <v>10.0602</v>
      </c>
      <c r="V158" s="348">
        <f t="shared" si="45"/>
        <v>3.764</v>
      </c>
      <c r="W158" s="348">
        <f t="shared" si="46"/>
        <v>1.882</v>
      </c>
      <c r="X158" s="348">
        <f t="shared" si="47"/>
        <v>1.409</v>
      </c>
      <c r="Y158" s="348">
        <f t="shared" si="48"/>
        <v>0.0443</v>
      </c>
      <c r="Z158" s="348">
        <f t="shared" si="49"/>
        <v>0.1429</v>
      </c>
      <c r="AA158" s="348">
        <f t="shared" si="50"/>
        <v>2.818</v>
      </c>
      <c r="AB158" s="348">
        <f t="shared" si="51"/>
        <v>0</v>
      </c>
      <c r="AC158" s="350"/>
    </row>
    <row r="159" ht="24" spans="1:29">
      <c r="A159" s="284" t="s">
        <v>195</v>
      </c>
      <c r="B159" s="284" t="s">
        <v>199</v>
      </c>
      <c r="C159" s="284" t="s">
        <v>382</v>
      </c>
      <c r="D159" s="284" t="s">
        <v>376</v>
      </c>
      <c r="E159" s="348">
        <f t="shared" si="42"/>
        <v>7.46</v>
      </c>
      <c r="F159" s="348">
        <v>2.79</v>
      </c>
      <c r="G159" s="348">
        <v>1.4</v>
      </c>
      <c r="H159" s="348">
        <v>1.05</v>
      </c>
      <c r="I159" s="348">
        <v>0.03</v>
      </c>
      <c r="J159" s="348">
        <v>0.1</v>
      </c>
      <c r="K159" s="348">
        <v>2.09</v>
      </c>
      <c r="L159" s="348"/>
      <c r="M159" s="348">
        <f t="shared" si="43"/>
        <v>0.6206</v>
      </c>
      <c r="N159" s="348">
        <f>(SUM('工资福利（公务员、参公人员）'!R159:T159)+SUM('工资福利（事业）'!V159:X159,'工资福利（事业）'!AB159))*0.16</f>
        <v>0.232</v>
      </c>
      <c r="O159" s="348">
        <f>(SUM('工资福利（公务员、参公人员）'!R159:S159)+SUM('工资福利（事业）'!V159:X159,'工资福利（事业）'!AB159))*0.08</f>
        <v>0.116</v>
      </c>
      <c r="P159" s="348">
        <f>(SUM('工资福利（公务员、参公人员）'!R159:S159)+SUM('工资福利（事业）'!V159:X159,'工资福利（事业）'!AB159))*0.06</f>
        <v>0.087</v>
      </c>
      <c r="Q159" s="348">
        <f>(SUM('工资福利（公务员、参公人员）'!R159:S159)+SUM('工资福利（事业）'!V159:X159,'工资福利（事业）'!AB159))*0.002</f>
        <v>0.0029</v>
      </c>
      <c r="R159" s="348">
        <f>(SUM('工资福利（公务员、参公人员）'!R159:S159)+SUM('工资福利（事业）'!V159:X159,'工资福利（事业）'!AB159))*0.006</f>
        <v>0.0087</v>
      </c>
      <c r="S159" s="348">
        <f>(SUM('工资福利（公务员、参公人员）'!R159:S159)+SUM('工资福利（事业）'!V159:X159,'工资福利（事业）'!AB159))*0.12</f>
        <v>0.174</v>
      </c>
      <c r="T159" s="348"/>
      <c r="U159" s="348">
        <f t="shared" si="44"/>
        <v>8.0806</v>
      </c>
      <c r="V159" s="348">
        <f t="shared" si="45"/>
        <v>3.022</v>
      </c>
      <c r="W159" s="348">
        <f t="shared" si="46"/>
        <v>1.516</v>
      </c>
      <c r="X159" s="348">
        <f t="shared" si="47"/>
        <v>1.137</v>
      </c>
      <c r="Y159" s="348">
        <f t="shared" si="48"/>
        <v>0.0329</v>
      </c>
      <c r="Z159" s="348">
        <f t="shared" si="49"/>
        <v>0.1087</v>
      </c>
      <c r="AA159" s="348">
        <f t="shared" si="50"/>
        <v>2.264</v>
      </c>
      <c r="AB159" s="348">
        <f t="shared" si="51"/>
        <v>0</v>
      </c>
      <c r="AC159" s="350"/>
    </row>
    <row r="160" ht="24" spans="1:29">
      <c r="A160" s="284" t="s">
        <v>195</v>
      </c>
      <c r="B160" s="284" t="s">
        <v>199</v>
      </c>
      <c r="C160" s="284" t="s">
        <v>383</v>
      </c>
      <c r="D160" s="284" t="s">
        <v>376</v>
      </c>
      <c r="E160" s="348">
        <f t="shared" si="42"/>
        <v>23.59</v>
      </c>
      <c r="F160" s="348">
        <v>8.82</v>
      </c>
      <c r="G160" s="348">
        <v>4.41</v>
      </c>
      <c r="H160" s="348">
        <v>3.31</v>
      </c>
      <c r="I160" s="348">
        <v>0.11</v>
      </c>
      <c r="J160" s="348">
        <v>0.33</v>
      </c>
      <c r="K160" s="348">
        <v>6.61</v>
      </c>
      <c r="L160" s="348"/>
      <c r="M160" s="348">
        <f t="shared" si="43"/>
        <v>2.23844</v>
      </c>
      <c r="N160" s="348">
        <f>(SUM('工资福利（公务员、参公人员）'!R160:T160)+SUM('工资福利（事业）'!V160:X160,'工资福利（事业）'!AB160))*0.16</f>
        <v>0.8368</v>
      </c>
      <c r="O160" s="348">
        <f>(SUM('工资福利（公务员、参公人员）'!R160:S160)+SUM('工资福利（事业）'!V160:X160,'工资福利（事业）'!AB160))*0.08</f>
        <v>0.4184</v>
      </c>
      <c r="P160" s="348">
        <f>(SUM('工资福利（公务员、参公人员）'!R160:S160)+SUM('工资福利（事业）'!V160:X160,'工资福利（事业）'!AB160))*0.06</f>
        <v>0.3138</v>
      </c>
      <c r="Q160" s="348">
        <f>(SUM('工资福利（公务员、参公人员）'!R160:S160)+SUM('工资福利（事业）'!V160:X160,'工资福利（事业）'!AB160))*0.002</f>
        <v>0.01046</v>
      </c>
      <c r="R160" s="348">
        <f>(SUM('工资福利（公务员、参公人员）'!R160:S160)+SUM('工资福利（事业）'!V160:X160,'工资福利（事业）'!AB160))*0.006</f>
        <v>0.03138</v>
      </c>
      <c r="S160" s="348">
        <f>(SUM('工资福利（公务员、参公人员）'!R160:S160)+SUM('工资福利（事业）'!V160:X160,'工资福利（事业）'!AB160))*0.12</f>
        <v>0.6276</v>
      </c>
      <c r="T160" s="348"/>
      <c r="U160" s="348">
        <f t="shared" si="44"/>
        <v>25.82844</v>
      </c>
      <c r="V160" s="348">
        <f t="shared" si="45"/>
        <v>9.6568</v>
      </c>
      <c r="W160" s="348">
        <f t="shared" si="46"/>
        <v>4.8284</v>
      </c>
      <c r="X160" s="348">
        <f t="shared" si="47"/>
        <v>3.6238</v>
      </c>
      <c r="Y160" s="348">
        <f t="shared" si="48"/>
        <v>0.12046</v>
      </c>
      <c r="Z160" s="348">
        <f t="shared" si="49"/>
        <v>0.36138</v>
      </c>
      <c r="AA160" s="348">
        <f t="shared" si="50"/>
        <v>7.2376</v>
      </c>
      <c r="AB160" s="348">
        <f t="shared" si="51"/>
        <v>0</v>
      </c>
      <c r="AC160" s="350"/>
    </row>
    <row r="161" ht="24" spans="1:29">
      <c r="A161" s="284" t="s">
        <v>195</v>
      </c>
      <c r="B161" s="284" t="s">
        <v>196</v>
      </c>
      <c r="C161" s="284" t="s">
        <v>384</v>
      </c>
      <c r="D161" s="284" t="s">
        <v>385</v>
      </c>
      <c r="E161" s="348">
        <f t="shared" si="42"/>
        <v>49.2</v>
      </c>
      <c r="F161" s="348">
        <v>18.39</v>
      </c>
      <c r="G161" s="348">
        <v>9.2</v>
      </c>
      <c r="H161" s="348">
        <v>6.9</v>
      </c>
      <c r="I161" s="348">
        <v>0.23</v>
      </c>
      <c r="J161" s="348">
        <v>0.69</v>
      </c>
      <c r="K161" s="348">
        <v>13.79</v>
      </c>
      <c r="L161" s="348"/>
      <c r="M161" s="348">
        <f t="shared" si="43"/>
        <v>-5.34108</v>
      </c>
      <c r="N161" s="348">
        <f>(SUM('工资福利（公务员、参公人员）'!R161:T161)+SUM('工资福利（事业）'!V161:X161,'工资福利（事业）'!AB161))*0.16</f>
        <v>-2.0688</v>
      </c>
      <c r="O161" s="348">
        <f>(SUM('工资福利（公务员、参公人员）'!R161:S161)+SUM('工资福利（事业）'!V161:X161,'工资福利（事业）'!AB161))*0.08</f>
        <v>-0.9768</v>
      </c>
      <c r="P161" s="348">
        <f>(SUM('工资福利（公务员、参公人员）'!R161:S161)+SUM('工资福利（事业）'!V161:X161,'工资福利（事业）'!AB161))*0.06</f>
        <v>-0.7326</v>
      </c>
      <c r="Q161" s="348">
        <f>(SUM('工资福利（公务员、参公人员）'!R161:S161)+SUM('工资福利（事业）'!V161:X161,'工资福利（事业）'!AB161))*0.002</f>
        <v>-0.02442</v>
      </c>
      <c r="R161" s="348">
        <f>(SUM('工资福利（公务员、参公人员）'!R161:S161)+SUM('工资福利（事业）'!V161:X161,'工资福利（事业）'!AB161))*0.006</f>
        <v>-0.07326</v>
      </c>
      <c r="S161" s="348">
        <f>(SUM('工资福利（公务员、参公人员）'!R161:S161)+SUM('工资福利（事业）'!V161:X161,'工资福利（事业）'!AB161))*0.12</f>
        <v>-1.4652</v>
      </c>
      <c r="T161" s="348"/>
      <c r="U161" s="348">
        <f t="shared" si="44"/>
        <v>43.85892</v>
      </c>
      <c r="V161" s="348">
        <f t="shared" si="45"/>
        <v>16.3212</v>
      </c>
      <c r="W161" s="348">
        <f t="shared" si="46"/>
        <v>8.2232</v>
      </c>
      <c r="X161" s="348">
        <f t="shared" si="47"/>
        <v>6.1674</v>
      </c>
      <c r="Y161" s="348">
        <f t="shared" si="48"/>
        <v>0.20558</v>
      </c>
      <c r="Z161" s="348">
        <f t="shared" si="49"/>
        <v>0.61674</v>
      </c>
      <c r="AA161" s="348">
        <f t="shared" si="50"/>
        <v>12.3248</v>
      </c>
      <c r="AB161" s="348">
        <f t="shared" si="51"/>
        <v>0</v>
      </c>
      <c r="AC161" s="350"/>
    </row>
    <row r="162" ht="24" spans="1:29">
      <c r="A162" s="284" t="s">
        <v>195</v>
      </c>
      <c r="B162" s="284" t="s">
        <v>196</v>
      </c>
      <c r="C162" s="284" t="s">
        <v>386</v>
      </c>
      <c r="D162" s="284" t="s">
        <v>385</v>
      </c>
      <c r="E162" s="348">
        <f t="shared" si="42"/>
        <v>8.24</v>
      </c>
      <c r="F162" s="348">
        <v>3.17</v>
      </c>
      <c r="G162" s="348">
        <v>1.51</v>
      </c>
      <c r="H162" s="348">
        <v>1.14</v>
      </c>
      <c r="I162" s="348">
        <v>0.04</v>
      </c>
      <c r="J162" s="348">
        <v>0.11</v>
      </c>
      <c r="K162" s="348">
        <v>2.27</v>
      </c>
      <c r="L162" s="348"/>
      <c r="M162" s="348">
        <f t="shared" si="43"/>
        <v>2.59364</v>
      </c>
      <c r="N162" s="348">
        <f>(SUM('工资福利（公务员、参公人员）'!R162:T162)+SUM('工资福利（事业）'!V162:X162,'工资福利（事业）'!AB162))*0.16</f>
        <v>0.9776</v>
      </c>
      <c r="O162" s="348">
        <f>(SUM('工资福利（公务员、参公人员）'!R162:S162)+SUM('工资福利（事业）'!V162:X162,'工资福利（事业）'!AB162))*0.08</f>
        <v>0.4824</v>
      </c>
      <c r="P162" s="348">
        <f>(SUM('工资福利（公务员、参公人员）'!R162:S162)+SUM('工资福利（事业）'!V162:X162,'工资福利（事业）'!AB162))*0.06</f>
        <v>0.3618</v>
      </c>
      <c r="Q162" s="348">
        <f>(SUM('工资福利（公务员、参公人员）'!R162:S162)+SUM('工资福利（事业）'!V162:X162,'工资福利（事业）'!AB162))*0.002</f>
        <v>0.01206</v>
      </c>
      <c r="R162" s="348">
        <f>(SUM('工资福利（公务员、参公人员）'!R162:S162)+SUM('工资福利（事业）'!V162:X162,'工资福利（事业）'!AB162))*0.006</f>
        <v>0.03618</v>
      </c>
      <c r="S162" s="348">
        <f>(SUM('工资福利（公务员、参公人员）'!R162:S162)+SUM('工资福利（事业）'!V162:X162,'工资福利（事业）'!AB162))*0.12</f>
        <v>0.7236</v>
      </c>
      <c r="T162" s="348"/>
      <c r="U162" s="348">
        <f t="shared" si="44"/>
        <v>10.83364</v>
      </c>
      <c r="V162" s="348">
        <f t="shared" si="45"/>
        <v>4.1476</v>
      </c>
      <c r="W162" s="348">
        <f t="shared" si="46"/>
        <v>1.9924</v>
      </c>
      <c r="X162" s="348">
        <f t="shared" si="47"/>
        <v>1.5018</v>
      </c>
      <c r="Y162" s="348">
        <f t="shared" si="48"/>
        <v>0.05206</v>
      </c>
      <c r="Z162" s="348">
        <f t="shared" si="49"/>
        <v>0.14618</v>
      </c>
      <c r="AA162" s="348">
        <f t="shared" si="50"/>
        <v>2.9936</v>
      </c>
      <c r="AB162" s="348">
        <f t="shared" si="51"/>
        <v>0</v>
      </c>
      <c r="AC162" s="350"/>
    </row>
    <row r="163" ht="24" spans="1:29">
      <c r="A163" s="284" t="s">
        <v>195</v>
      </c>
      <c r="B163" s="284" t="s">
        <v>199</v>
      </c>
      <c r="C163" s="284" t="s">
        <v>387</v>
      </c>
      <c r="D163" s="284" t="s">
        <v>388</v>
      </c>
      <c r="E163" s="348">
        <f t="shared" si="42"/>
        <v>4.27</v>
      </c>
      <c r="F163" s="348">
        <v>1.59</v>
      </c>
      <c r="G163" s="348">
        <v>0.8</v>
      </c>
      <c r="H163" s="348">
        <v>0.6</v>
      </c>
      <c r="I163" s="348">
        <v>0.02</v>
      </c>
      <c r="J163" s="348">
        <v>0.06</v>
      </c>
      <c r="K163" s="348">
        <v>1.2</v>
      </c>
      <c r="L163" s="348"/>
      <c r="M163" s="348">
        <f t="shared" si="43"/>
        <v>2.16568</v>
      </c>
      <c r="N163" s="348">
        <f>(SUM('工资福利（公务员、参公人员）'!R163:T163)+SUM('工资福利（事业）'!V163:X163,'工资福利（事业）'!AB163))*0.16</f>
        <v>0.8096</v>
      </c>
      <c r="O163" s="348">
        <f>(SUM('工资福利（公务员、参公人员）'!R163:S163)+SUM('工资福利（事业）'!V163:X163,'工资福利（事业）'!AB163))*0.08</f>
        <v>0.4048</v>
      </c>
      <c r="P163" s="348">
        <f>(SUM('工资福利（公务员、参公人员）'!R163:S163)+SUM('工资福利（事业）'!V163:X163,'工资福利（事业）'!AB163))*0.06</f>
        <v>0.3036</v>
      </c>
      <c r="Q163" s="348">
        <f>(SUM('工资福利（公务员、参公人员）'!R163:S163)+SUM('工资福利（事业）'!V163:X163,'工资福利（事业）'!AB163))*0.002</f>
        <v>0.01012</v>
      </c>
      <c r="R163" s="348">
        <f>(SUM('工资福利（公务员、参公人员）'!R163:S163)+SUM('工资福利（事业）'!V163:X163,'工资福利（事业）'!AB163))*0.006</f>
        <v>0.03036</v>
      </c>
      <c r="S163" s="348">
        <f>(SUM('工资福利（公务员、参公人员）'!R163:S163)+SUM('工资福利（事业）'!V163:X163,'工资福利（事业）'!AB163))*0.12</f>
        <v>0.6072</v>
      </c>
      <c r="T163" s="348"/>
      <c r="U163" s="348">
        <f t="shared" si="44"/>
        <v>6.43568</v>
      </c>
      <c r="V163" s="348">
        <f t="shared" si="45"/>
        <v>2.3996</v>
      </c>
      <c r="W163" s="348">
        <f t="shared" si="46"/>
        <v>1.2048</v>
      </c>
      <c r="X163" s="348">
        <f t="shared" si="47"/>
        <v>0.9036</v>
      </c>
      <c r="Y163" s="348">
        <f t="shared" si="48"/>
        <v>0.03012</v>
      </c>
      <c r="Z163" s="348">
        <f t="shared" si="49"/>
        <v>0.09036</v>
      </c>
      <c r="AA163" s="348">
        <f t="shared" si="50"/>
        <v>1.8072</v>
      </c>
      <c r="AB163" s="348">
        <f t="shared" si="51"/>
        <v>0</v>
      </c>
      <c r="AC163" s="350"/>
    </row>
    <row r="164" ht="24" spans="1:29">
      <c r="A164" s="284" t="s">
        <v>195</v>
      </c>
      <c r="B164" s="284" t="s">
        <v>199</v>
      </c>
      <c r="C164" s="284" t="s">
        <v>389</v>
      </c>
      <c r="D164" s="284" t="s">
        <v>388</v>
      </c>
      <c r="E164" s="348">
        <f t="shared" si="42"/>
        <v>12.67</v>
      </c>
      <c r="F164" s="348">
        <v>4.73</v>
      </c>
      <c r="G164" s="348">
        <v>2.37</v>
      </c>
      <c r="H164" s="348">
        <v>1.78</v>
      </c>
      <c r="I164" s="348">
        <v>0.06</v>
      </c>
      <c r="J164" s="348">
        <v>0.18</v>
      </c>
      <c r="K164" s="348">
        <v>3.55</v>
      </c>
      <c r="L164" s="348"/>
      <c r="M164" s="348">
        <f t="shared" si="43"/>
        <v>1.04004</v>
      </c>
      <c r="N164" s="348">
        <f>(SUM('工资福利（公务员、参公人员）'!R164:T164)+SUM('工资福利（事业）'!V164:X164,'工资福利（事业）'!AB164))*0.16</f>
        <v>0.3888</v>
      </c>
      <c r="O164" s="348">
        <f>(SUM('工资福利（公务员、参公人员）'!R164:S164)+SUM('工资福利（事业）'!V164:X164,'工资福利（事业）'!AB164))*0.08</f>
        <v>0.1944</v>
      </c>
      <c r="P164" s="348">
        <f>(SUM('工资福利（公务员、参公人员）'!R164:S164)+SUM('工资福利（事业）'!V164:X164,'工资福利（事业）'!AB164))*0.06</f>
        <v>0.1458</v>
      </c>
      <c r="Q164" s="348">
        <f>(SUM('工资福利（公务员、参公人员）'!R164:S164)+SUM('工资福利（事业）'!V164:X164,'工资福利（事业）'!AB164))*0.002</f>
        <v>0.00486</v>
      </c>
      <c r="R164" s="348">
        <f>(SUM('工资福利（公务员、参公人员）'!R164:S164)+SUM('工资福利（事业）'!V164:X164,'工资福利（事业）'!AB164))*0.006</f>
        <v>0.01458</v>
      </c>
      <c r="S164" s="348">
        <f>(SUM('工资福利（公务员、参公人员）'!R164:S164)+SUM('工资福利（事业）'!V164:X164,'工资福利（事业）'!AB164))*0.12</f>
        <v>0.2916</v>
      </c>
      <c r="T164" s="348"/>
      <c r="U164" s="348">
        <f t="shared" si="44"/>
        <v>13.71004</v>
      </c>
      <c r="V164" s="348">
        <f t="shared" si="45"/>
        <v>5.1188</v>
      </c>
      <c r="W164" s="348">
        <f t="shared" si="46"/>
        <v>2.5644</v>
      </c>
      <c r="X164" s="348">
        <f t="shared" si="47"/>
        <v>1.9258</v>
      </c>
      <c r="Y164" s="348">
        <f t="shared" si="48"/>
        <v>0.06486</v>
      </c>
      <c r="Z164" s="348">
        <f t="shared" si="49"/>
        <v>0.19458</v>
      </c>
      <c r="AA164" s="348">
        <f t="shared" si="50"/>
        <v>3.8416</v>
      </c>
      <c r="AB164" s="348">
        <f t="shared" si="51"/>
        <v>0</v>
      </c>
      <c r="AC164" s="350"/>
    </row>
    <row r="165" ht="24" spans="1:29">
      <c r="A165" s="284" t="s">
        <v>195</v>
      </c>
      <c r="B165" s="284" t="s">
        <v>196</v>
      </c>
      <c r="C165" s="284" t="s">
        <v>390</v>
      </c>
      <c r="D165" s="284" t="s">
        <v>391</v>
      </c>
      <c r="E165" s="348">
        <f t="shared" si="42"/>
        <v>42.93</v>
      </c>
      <c r="F165" s="348">
        <v>16.53</v>
      </c>
      <c r="G165" s="348">
        <v>7.88</v>
      </c>
      <c r="H165" s="348">
        <v>5.91</v>
      </c>
      <c r="I165" s="348">
        <v>0.2</v>
      </c>
      <c r="J165" s="348">
        <v>0.59</v>
      </c>
      <c r="K165" s="348">
        <v>11.82</v>
      </c>
      <c r="L165" s="348"/>
      <c r="M165" s="348">
        <f t="shared" si="43"/>
        <v>0.18</v>
      </c>
      <c r="N165" s="348">
        <f>(SUM('工资福利（公务员、参公人员）'!R165:T165)+SUM('工资福利（事业）'!V165:X165,'工资福利（事业）'!AB165))*0.16</f>
        <v>0.0191999999999999</v>
      </c>
      <c r="O165" s="348">
        <f>(SUM('工资福利（公务员、参公人员）'!R165:S165)+SUM('工资福利（事业）'!V165:X165,'工资福利（事业）'!AB165))*0.08</f>
        <v>0.048</v>
      </c>
      <c r="P165" s="348">
        <f>(SUM('工资福利（公务员、参公人员）'!R165:S165)+SUM('工资福利（事业）'!V165:X165,'工资福利（事业）'!AB165))*0.06</f>
        <v>0.036</v>
      </c>
      <c r="Q165" s="348">
        <f>(SUM('工资福利（公务员、参公人员）'!R165:S165)+SUM('工资福利（事业）'!V165:X165,'工资福利（事业）'!AB165))*0.002</f>
        <v>0.0012</v>
      </c>
      <c r="R165" s="348">
        <f>(SUM('工资福利（公务员、参公人员）'!R165:S165)+SUM('工资福利（事业）'!V165:X165,'工资福利（事业）'!AB165))*0.006</f>
        <v>0.0036</v>
      </c>
      <c r="S165" s="348">
        <f>(SUM('工资福利（公务员、参公人员）'!R165:S165)+SUM('工资福利（事业）'!V165:X165,'工资福利（事业）'!AB165))*0.12</f>
        <v>0.072</v>
      </c>
      <c r="T165" s="348"/>
      <c r="U165" s="348">
        <f t="shared" si="44"/>
        <v>43.11</v>
      </c>
      <c r="V165" s="348">
        <f t="shared" si="45"/>
        <v>16.5492</v>
      </c>
      <c r="W165" s="348">
        <f t="shared" si="46"/>
        <v>7.928</v>
      </c>
      <c r="X165" s="348">
        <f t="shared" si="47"/>
        <v>5.946</v>
      </c>
      <c r="Y165" s="348">
        <f t="shared" si="48"/>
        <v>0.2012</v>
      </c>
      <c r="Z165" s="348">
        <f t="shared" si="49"/>
        <v>0.5936</v>
      </c>
      <c r="AA165" s="348">
        <f t="shared" si="50"/>
        <v>11.892</v>
      </c>
      <c r="AB165" s="348">
        <f t="shared" si="51"/>
        <v>0</v>
      </c>
      <c r="AC165" s="350"/>
    </row>
    <row r="166" ht="24" spans="1:29">
      <c r="A166" s="284" t="s">
        <v>195</v>
      </c>
      <c r="B166" s="284" t="s">
        <v>199</v>
      </c>
      <c r="C166" s="284" t="s">
        <v>392</v>
      </c>
      <c r="D166" s="284" t="s">
        <v>393</v>
      </c>
      <c r="E166" s="348">
        <f t="shared" si="42"/>
        <v>17.32</v>
      </c>
      <c r="F166" s="348">
        <v>7.53</v>
      </c>
      <c r="G166" s="348">
        <v>3.77</v>
      </c>
      <c r="H166" s="348"/>
      <c r="I166" s="348">
        <v>0.09</v>
      </c>
      <c r="J166" s="348">
        <v>0.28</v>
      </c>
      <c r="K166" s="348">
        <v>5.65</v>
      </c>
      <c r="L166" s="348"/>
      <c r="M166" s="348">
        <f t="shared" si="43"/>
        <v>2.21276</v>
      </c>
      <c r="N166" s="348">
        <f>(SUM('工资福利（公务员、参公人员）'!R166:T166)+SUM('工资福利（事业）'!V166:X166,'工资福利（事业）'!AB166))*0.16</f>
        <v>0.8272</v>
      </c>
      <c r="O166" s="348">
        <f>(SUM('工资福利（公务员、参公人员）'!R166:S166)+SUM('工资福利（事业）'!V166:X166,'工资福利（事业）'!AB166))*0.08</f>
        <v>0.4136</v>
      </c>
      <c r="P166" s="348">
        <f>(SUM('工资福利（公务员、参公人员）'!R166:S166)+SUM('工资福利（事业）'!V166:X166,'工资福利（事业）'!AB166))*0.06</f>
        <v>0.3102</v>
      </c>
      <c r="Q166" s="348">
        <f>(SUM('工资福利（公务员、参公人员）'!R166:S166)+SUM('工资福利（事业）'!V166:X166,'工资福利（事业）'!AB166))*0.002</f>
        <v>0.01034</v>
      </c>
      <c r="R166" s="348">
        <f>(SUM('工资福利（公务员、参公人员）'!R166:S166)+SUM('工资福利（事业）'!V166:X166,'工资福利（事业）'!AB166))*0.006</f>
        <v>0.03102</v>
      </c>
      <c r="S166" s="348">
        <f>(SUM('工资福利（公务员、参公人员）'!R166:S166)+SUM('工资福利（事业）'!V166:X166,'工资福利（事业）'!AB166))*0.12</f>
        <v>0.6204</v>
      </c>
      <c r="T166" s="348"/>
      <c r="U166" s="348">
        <f t="shared" si="44"/>
        <v>19.53276</v>
      </c>
      <c r="V166" s="348">
        <f t="shared" si="45"/>
        <v>8.3572</v>
      </c>
      <c r="W166" s="348">
        <f t="shared" si="46"/>
        <v>4.1836</v>
      </c>
      <c r="X166" s="348">
        <f t="shared" si="47"/>
        <v>0.3102</v>
      </c>
      <c r="Y166" s="348">
        <f t="shared" si="48"/>
        <v>0.10034</v>
      </c>
      <c r="Z166" s="348">
        <f t="shared" si="49"/>
        <v>0.31102</v>
      </c>
      <c r="AA166" s="348">
        <f t="shared" si="50"/>
        <v>6.2704</v>
      </c>
      <c r="AB166" s="348">
        <f t="shared" si="51"/>
        <v>0</v>
      </c>
      <c r="AC166" s="350"/>
    </row>
    <row r="167" ht="24" spans="1:29">
      <c r="A167" s="284" t="s">
        <v>195</v>
      </c>
      <c r="B167" s="284" t="s">
        <v>196</v>
      </c>
      <c r="C167" s="284" t="s">
        <v>394</v>
      </c>
      <c r="D167" s="284" t="s">
        <v>395</v>
      </c>
      <c r="E167" s="348">
        <f t="shared" si="42"/>
        <v>25.63</v>
      </c>
      <c r="F167" s="348">
        <v>9.88</v>
      </c>
      <c r="G167" s="348">
        <v>4.7</v>
      </c>
      <c r="H167" s="348">
        <v>3.53</v>
      </c>
      <c r="I167" s="348">
        <v>0.12</v>
      </c>
      <c r="J167" s="348">
        <v>0.35</v>
      </c>
      <c r="K167" s="348">
        <v>7.05</v>
      </c>
      <c r="L167" s="348"/>
      <c r="M167" s="348">
        <f t="shared" si="43"/>
        <v>2.165</v>
      </c>
      <c r="N167" s="348">
        <f>(SUM('工资福利（公务员、参公人员）'!R167:T167)+SUM('工资福利（事业）'!V167:X167,'工资福利（事业）'!AB167))*0.16</f>
        <v>0.8384</v>
      </c>
      <c r="O167" s="348">
        <f>(SUM('工资福利（公务员、参公人员）'!R167:S167)+SUM('工资福利（事业）'!V167:X167,'工资福利（事业）'!AB167))*0.08</f>
        <v>0.396</v>
      </c>
      <c r="P167" s="348">
        <f>(SUM('工资福利（公务员、参公人员）'!R167:S167)+SUM('工资福利（事业）'!V167:X167,'工资福利（事业）'!AB167))*0.06</f>
        <v>0.297</v>
      </c>
      <c r="Q167" s="348">
        <f>(SUM('工资福利（公务员、参公人员）'!R167:S167)+SUM('工资福利（事业）'!V167:X167,'工资福利（事业）'!AB167))*0.002</f>
        <v>0.0099</v>
      </c>
      <c r="R167" s="348">
        <f>(SUM('工资福利（公务员、参公人员）'!R167:S167)+SUM('工资福利（事业）'!V167:X167,'工资福利（事业）'!AB167))*0.006</f>
        <v>0.0297</v>
      </c>
      <c r="S167" s="348">
        <f>(SUM('工资福利（公务员、参公人员）'!R167:S167)+SUM('工资福利（事业）'!V167:X167,'工资福利（事业）'!AB167))*0.12</f>
        <v>0.594</v>
      </c>
      <c r="T167" s="348"/>
      <c r="U167" s="348">
        <f t="shared" si="44"/>
        <v>27.795</v>
      </c>
      <c r="V167" s="348">
        <f t="shared" si="45"/>
        <v>10.7184</v>
      </c>
      <c r="W167" s="348">
        <f t="shared" si="46"/>
        <v>5.096</v>
      </c>
      <c r="X167" s="348">
        <f t="shared" si="47"/>
        <v>3.827</v>
      </c>
      <c r="Y167" s="348">
        <f t="shared" si="48"/>
        <v>0.1299</v>
      </c>
      <c r="Z167" s="348">
        <f t="shared" si="49"/>
        <v>0.3797</v>
      </c>
      <c r="AA167" s="348">
        <f t="shared" si="50"/>
        <v>7.644</v>
      </c>
      <c r="AB167" s="348">
        <f t="shared" si="51"/>
        <v>0</v>
      </c>
      <c r="AC167" s="350"/>
    </row>
    <row r="168" ht="24" spans="1:29">
      <c r="A168" s="284" t="s">
        <v>195</v>
      </c>
      <c r="B168" s="284" t="s">
        <v>199</v>
      </c>
      <c r="C168" s="284" t="s">
        <v>396</v>
      </c>
      <c r="D168" s="284" t="s">
        <v>397</v>
      </c>
      <c r="E168" s="348">
        <f t="shared" si="42"/>
        <v>6.63</v>
      </c>
      <c r="F168" s="348">
        <v>2.48</v>
      </c>
      <c r="G168" s="348">
        <v>1.24</v>
      </c>
      <c r="H168" s="348">
        <v>0.93</v>
      </c>
      <c r="I168" s="348">
        <v>0.03</v>
      </c>
      <c r="J168" s="348">
        <v>0.09</v>
      </c>
      <c r="K168" s="348">
        <v>1.86</v>
      </c>
      <c r="L168" s="348"/>
      <c r="M168" s="348">
        <f t="shared" si="43"/>
        <v>0.75328</v>
      </c>
      <c r="N168" s="348">
        <f>(SUM('工资福利（公务员、参公人员）'!R168:T168)+SUM('工资福利（事业）'!V168:X168,'工资福利（事业）'!AB168))*0.16</f>
        <v>0.2816</v>
      </c>
      <c r="O168" s="348">
        <f>(SUM('工资福利（公务员、参公人员）'!R168:S168)+SUM('工资福利（事业）'!V168:X168,'工资福利（事业）'!AB168))*0.08</f>
        <v>0.1408</v>
      </c>
      <c r="P168" s="348">
        <f>(SUM('工资福利（公务员、参公人员）'!R168:S168)+SUM('工资福利（事业）'!V168:X168,'工资福利（事业）'!AB168))*0.06</f>
        <v>0.1056</v>
      </c>
      <c r="Q168" s="348">
        <f>(SUM('工资福利（公务员、参公人员）'!R168:S168)+SUM('工资福利（事业）'!V168:X168,'工资福利（事业）'!AB168))*0.002</f>
        <v>0.00352</v>
      </c>
      <c r="R168" s="348">
        <f>(SUM('工资福利（公务员、参公人员）'!R168:S168)+SUM('工资福利（事业）'!V168:X168,'工资福利（事业）'!AB168))*0.006</f>
        <v>0.01056</v>
      </c>
      <c r="S168" s="348">
        <f>(SUM('工资福利（公务员、参公人员）'!R168:S168)+SUM('工资福利（事业）'!V168:X168,'工资福利（事业）'!AB168))*0.12</f>
        <v>0.2112</v>
      </c>
      <c r="T168" s="348"/>
      <c r="U168" s="348">
        <f t="shared" si="44"/>
        <v>7.38328</v>
      </c>
      <c r="V168" s="348">
        <f t="shared" si="45"/>
        <v>2.7616</v>
      </c>
      <c r="W168" s="348">
        <f t="shared" si="46"/>
        <v>1.3808</v>
      </c>
      <c r="X168" s="348">
        <f t="shared" si="47"/>
        <v>1.0356</v>
      </c>
      <c r="Y168" s="348">
        <f t="shared" si="48"/>
        <v>0.03352</v>
      </c>
      <c r="Z168" s="348">
        <f t="shared" si="49"/>
        <v>0.10056</v>
      </c>
      <c r="AA168" s="348">
        <f t="shared" si="50"/>
        <v>2.0712</v>
      </c>
      <c r="AB168" s="348">
        <f t="shared" si="51"/>
        <v>0</v>
      </c>
      <c r="AC168" s="350"/>
    </row>
    <row r="169" ht="24" spans="1:29">
      <c r="A169" s="284" t="s">
        <v>195</v>
      </c>
      <c r="B169" s="284" t="s">
        <v>199</v>
      </c>
      <c r="C169" s="284" t="s">
        <v>398</v>
      </c>
      <c r="D169" s="284" t="s">
        <v>397</v>
      </c>
      <c r="E169" s="348">
        <f t="shared" si="42"/>
        <v>2.33</v>
      </c>
      <c r="F169" s="348">
        <v>0.87</v>
      </c>
      <c r="G169" s="348">
        <v>0.44</v>
      </c>
      <c r="H169" s="348">
        <v>0.33</v>
      </c>
      <c r="I169" s="348">
        <v>0.01</v>
      </c>
      <c r="J169" s="348">
        <v>0.03</v>
      </c>
      <c r="K169" s="348">
        <v>0.65</v>
      </c>
      <c r="L169" s="348"/>
      <c r="M169" s="348">
        <f t="shared" si="43"/>
        <v>0.19688</v>
      </c>
      <c r="N169" s="348">
        <f>(SUM('工资福利（公务员、参公人员）'!R169:T169)+SUM('工资福利（事业）'!V169:X169,'工资福利（事业）'!AB169))*0.16</f>
        <v>0.0736</v>
      </c>
      <c r="O169" s="348">
        <f>(SUM('工资福利（公务员、参公人员）'!R169:S169)+SUM('工资福利（事业）'!V169:X169,'工资福利（事业）'!AB169))*0.08</f>
        <v>0.0368</v>
      </c>
      <c r="P169" s="348">
        <f>(SUM('工资福利（公务员、参公人员）'!R169:S169)+SUM('工资福利（事业）'!V169:X169,'工资福利（事业）'!AB169))*0.06</f>
        <v>0.0276</v>
      </c>
      <c r="Q169" s="348">
        <f>(SUM('工资福利（公务员、参公人员）'!R169:S169)+SUM('工资福利（事业）'!V169:X169,'工资福利（事业）'!AB169))*0.002</f>
        <v>0.00092</v>
      </c>
      <c r="R169" s="348">
        <f>(SUM('工资福利（公务员、参公人员）'!R169:S169)+SUM('工资福利（事业）'!V169:X169,'工资福利（事业）'!AB169))*0.006</f>
        <v>0.00276</v>
      </c>
      <c r="S169" s="348">
        <f>(SUM('工资福利（公务员、参公人员）'!R169:S169)+SUM('工资福利（事业）'!V169:X169,'工资福利（事业）'!AB169))*0.12</f>
        <v>0.0552</v>
      </c>
      <c r="T169" s="348"/>
      <c r="U169" s="348">
        <f t="shared" si="44"/>
        <v>2.52688</v>
      </c>
      <c r="V169" s="348">
        <f t="shared" si="45"/>
        <v>0.9436</v>
      </c>
      <c r="W169" s="348">
        <f t="shared" si="46"/>
        <v>0.4768</v>
      </c>
      <c r="X169" s="348">
        <f t="shared" si="47"/>
        <v>0.3576</v>
      </c>
      <c r="Y169" s="348">
        <f t="shared" si="48"/>
        <v>0.01092</v>
      </c>
      <c r="Z169" s="348">
        <f t="shared" si="49"/>
        <v>0.03276</v>
      </c>
      <c r="AA169" s="348">
        <f t="shared" si="50"/>
        <v>0.7052</v>
      </c>
      <c r="AB169" s="348">
        <f t="shared" si="51"/>
        <v>0</v>
      </c>
      <c r="AC169" s="350"/>
    </row>
    <row r="170" ht="24" spans="1:29">
      <c r="A170" s="284" t="s">
        <v>195</v>
      </c>
      <c r="B170" s="284" t="s">
        <v>196</v>
      </c>
      <c r="C170" s="284" t="s">
        <v>399</v>
      </c>
      <c r="D170" s="284" t="s">
        <v>400</v>
      </c>
      <c r="E170" s="348">
        <f t="shared" si="42"/>
        <v>12.91</v>
      </c>
      <c r="F170" s="348">
        <v>4.97</v>
      </c>
      <c r="G170" s="348">
        <v>2.37</v>
      </c>
      <c r="H170" s="348">
        <v>1.78</v>
      </c>
      <c r="I170" s="348">
        <v>0.06</v>
      </c>
      <c r="J170" s="348">
        <v>0.18</v>
      </c>
      <c r="K170" s="348">
        <v>3.55</v>
      </c>
      <c r="L170" s="348"/>
      <c r="M170" s="348">
        <f t="shared" ref="M170:M186" si="52">SUM(N170:T170)</f>
        <v>4.24248</v>
      </c>
      <c r="N170" s="348">
        <f>(SUM('工资福利（公务员、参公人员）'!R170:T170)+SUM('工资福利（事业）'!V170:X170,'工资福利（事业）'!AB170))*0.16</f>
        <v>1.6</v>
      </c>
      <c r="O170" s="348">
        <f>(SUM('工资福利（公务员、参公人员）'!R170:S170)+SUM('工资福利（事业）'!V170:X170,'工资福利（事业）'!AB170))*0.08</f>
        <v>0.7888</v>
      </c>
      <c r="P170" s="348">
        <f>(SUM('工资福利（公务员、参公人员）'!R170:S170)+SUM('工资福利（事业）'!V170:X170,'工资福利（事业）'!AB170))*0.06</f>
        <v>0.5916</v>
      </c>
      <c r="Q170" s="348">
        <f>(SUM('工资福利（公务员、参公人员）'!R170:S170)+SUM('工资福利（事业）'!V170:X170,'工资福利（事业）'!AB170))*0.002</f>
        <v>0.01972</v>
      </c>
      <c r="R170" s="348">
        <f>(SUM('工资福利（公务员、参公人员）'!R170:S170)+SUM('工资福利（事业）'!V170:X170,'工资福利（事业）'!AB170))*0.006</f>
        <v>0.05916</v>
      </c>
      <c r="S170" s="348">
        <f>(SUM('工资福利（公务员、参公人员）'!R170:S170)+SUM('工资福利（事业）'!V170:X170,'工资福利（事业）'!AB170))*0.12</f>
        <v>1.1832</v>
      </c>
      <c r="T170" s="348"/>
      <c r="U170" s="348">
        <f t="shared" ref="U170:U186" si="53">SUM(V170:AB170)</f>
        <v>17.15248</v>
      </c>
      <c r="V170" s="348">
        <f t="shared" ref="V170:V186" si="54">F170+N170</f>
        <v>6.57</v>
      </c>
      <c r="W170" s="348">
        <f t="shared" ref="W170:W186" si="55">G170+O170</f>
        <v>3.1588</v>
      </c>
      <c r="X170" s="348">
        <f t="shared" ref="X170:X186" si="56">H170+P170</f>
        <v>2.3716</v>
      </c>
      <c r="Y170" s="348">
        <f t="shared" ref="Y170:Y186" si="57">I170+Q170</f>
        <v>0.07972</v>
      </c>
      <c r="Z170" s="348">
        <f t="shared" ref="Z170:Z186" si="58">J170+R170</f>
        <v>0.23916</v>
      </c>
      <c r="AA170" s="348">
        <f t="shared" ref="AA170:AA186" si="59">K170+S170</f>
        <v>4.7332</v>
      </c>
      <c r="AB170" s="348">
        <f t="shared" ref="AB170:AB186" si="60">L170+T170</f>
        <v>0</v>
      </c>
      <c r="AC170" s="350"/>
    </row>
    <row r="171" ht="24" spans="1:29">
      <c r="A171" s="284" t="s">
        <v>195</v>
      </c>
      <c r="B171" s="284" t="s">
        <v>196</v>
      </c>
      <c r="C171" s="284" t="s">
        <v>401</v>
      </c>
      <c r="D171" s="284" t="s">
        <v>355</v>
      </c>
      <c r="E171" s="348">
        <f t="shared" si="42"/>
        <v>0</v>
      </c>
      <c r="F171" s="348"/>
      <c r="G171" s="348"/>
      <c r="H171" s="348"/>
      <c r="I171" s="348"/>
      <c r="J171" s="348"/>
      <c r="K171" s="348"/>
      <c r="L171" s="348"/>
      <c r="M171" s="348">
        <f t="shared" si="52"/>
        <v>0</v>
      </c>
      <c r="N171" s="348">
        <f>(SUM('工资福利（公务员、参公人员）'!R171:T171)+SUM('工资福利（事业）'!V171:X171,'工资福利（事业）'!AB171))*0.16</f>
        <v>0</v>
      </c>
      <c r="O171" s="348">
        <f>(SUM('工资福利（公务员、参公人员）'!R171:S171)+SUM('工资福利（事业）'!V171:X171,'工资福利（事业）'!AB171))*0.08</f>
        <v>0</v>
      </c>
      <c r="P171" s="348">
        <f>(SUM('工资福利（公务员、参公人员）'!R171:S171)+SUM('工资福利（事业）'!V171:X171,'工资福利（事业）'!AB171))*0.06</f>
        <v>0</v>
      </c>
      <c r="Q171" s="348">
        <f>(SUM('工资福利（公务员、参公人员）'!R171:S171)+SUM('工资福利（事业）'!V171:X171,'工资福利（事业）'!AB171))*0.002</f>
        <v>0</v>
      </c>
      <c r="R171" s="348">
        <f>(SUM('工资福利（公务员、参公人员）'!R171:S171)+SUM('工资福利（事业）'!V171:X171,'工资福利（事业）'!AB171))*0.006</f>
        <v>0</v>
      </c>
      <c r="S171" s="348">
        <f>(SUM('工资福利（公务员、参公人员）'!R171:S171)+SUM('工资福利（事业）'!V171:X171,'工资福利（事业）'!AB171))*0.12</f>
        <v>0</v>
      </c>
      <c r="T171" s="348"/>
      <c r="U171" s="348">
        <f t="shared" si="53"/>
        <v>0</v>
      </c>
      <c r="V171" s="348">
        <f t="shared" si="54"/>
        <v>0</v>
      </c>
      <c r="W171" s="348">
        <f t="shared" si="55"/>
        <v>0</v>
      </c>
      <c r="X171" s="348">
        <f t="shared" si="56"/>
        <v>0</v>
      </c>
      <c r="Y171" s="348">
        <f t="shared" si="57"/>
        <v>0</v>
      </c>
      <c r="Z171" s="348">
        <f t="shared" si="58"/>
        <v>0</v>
      </c>
      <c r="AA171" s="348">
        <f t="shared" si="59"/>
        <v>0</v>
      </c>
      <c r="AB171" s="348">
        <f t="shared" si="60"/>
        <v>0</v>
      </c>
      <c r="AC171" s="350"/>
    </row>
    <row r="172" ht="24" spans="1:29">
      <c r="A172" s="284" t="s">
        <v>195</v>
      </c>
      <c r="B172" s="284" t="s">
        <v>196</v>
      </c>
      <c r="C172" s="284" t="s">
        <v>402</v>
      </c>
      <c r="D172" s="284" t="s">
        <v>355</v>
      </c>
      <c r="E172" s="348">
        <f t="shared" si="42"/>
        <v>0</v>
      </c>
      <c r="F172" s="348"/>
      <c r="G172" s="348"/>
      <c r="H172" s="348"/>
      <c r="I172" s="348"/>
      <c r="J172" s="348"/>
      <c r="K172" s="348"/>
      <c r="L172" s="348"/>
      <c r="M172" s="348">
        <f t="shared" si="52"/>
        <v>0</v>
      </c>
      <c r="N172" s="348">
        <f>(SUM('工资福利（公务员、参公人员）'!R172:T172)+SUM('工资福利（事业）'!V172:X172,'工资福利（事业）'!AB172))*0.16</f>
        <v>0</v>
      </c>
      <c r="O172" s="348">
        <f>(SUM('工资福利（公务员、参公人员）'!R172:S172)+SUM('工资福利（事业）'!V172:X172,'工资福利（事业）'!AB172))*0.08</f>
        <v>0</v>
      </c>
      <c r="P172" s="348">
        <f>(SUM('工资福利（公务员、参公人员）'!R172:S172)+SUM('工资福利（事业）'!V172:X172,'工资福利（事业）'!AB172))*0.06</f>
        <v>0</v>
      </c>
      <c r="Q172" s="348">
        <f>(SUM('工资福利（公务员、参公人员）'!R172:S172)+SUM('工资福利（事业）'!V172:X172,'工资福利（事业）'!AB172))*0.002</f>
        <v>0</v>
      </c>
      <c r="R172" s="348">
        <f>(SUM('工资福利（公务员、参公人员）'!R172:S172)+SUM('工资福利（事业）'!V172:X172,'工资福利（事业）'!AB172))*0.006</f>
        <v>0</v>
      </c>
      <c r="S172" s="348">
        <f>(SUM('工资福利（公务员、参公人员）'!R172:S172)+SUM('工资福利（事业）'!V172:X172,'工资福利（事业）'!AB172))*0.12</f>
        <v>0</v>
      </c>
      <c r="T172" s="348"/>
      <c r="U172" s="348">
        <f t="shared" si="53"/>
        <v>0</v>
      </c>
      <c r="V172" s="348">
        <f t="shared" si="54"/>
        <v>0</v>
      </c>
      <c r="W172" s="348">
        <f t="shared" si="55"/>
        <v>0</v>
      </c>
      <c r="X172" s="348">
        <f t="shared" si="56"/>
        <v>0</v>
      </c>
      <c r="Y172" s="348">
        <f t="shared" si="57"/>
        <v>0</v>
      </c>
      <c r="Z172" s="348">
        <f t="shared" si="58"/>
        <v>0</v>
      </c>
      <c r="AA172" s="348">
        <f t="shared" si="59"/>
        <v>0</v>
      </c>
      <c r="AB172" s="348">
        <f t="shared" si="60"/>
        <v>0</v>
      </c>
      <c r="AC172" s="350"/>
    </row>
    <row r="173" ht="24" spans="1:29">
      <c r="A173" s="284" t="s">
        <v>195</v>
      </c>
      <c r="B173" s="284" t="s">
        <v>196</v>
      </c>
      <c r="C173" s="284" t="s">
        <v>403</v>
      </c>
      <c r="D173" s="284" t="s">
        <v>355</v>
      </c>
      <c r="E173" s="348">
        <f t="shared" si="42"/>
        <v>0</v>
      </c>
      <c r="F173" s="348"/>
      <c r="G173" s="348"/>
      <c r="H173" s="348"/>
      <c r="I173" s="348"/>
      <c r="J173" s="348"/>
      <c r="K173" s="348"/>
      <c r="L173" s="348"/>
      <c r="M173" s="348">
        <f t="shared" si="52"/>
        <v>0</v>
      </c>
      <c r="N173" s="348">
        <f>(SUM('工资福利（公务员、参公人员）'!R173:T173)+SUM('工资福利（事业）'!V173:X173,'工资福利（事业）'!AB173))*0.16</f>
        <v>0</v>
      </c>
      <c r="O173" s="348">
        <f>(SUM('工资福利（公务员、参公人员）'!R173:S173)+SUM('工资福利（事业）'!V173:X173,'工资福利（事业）'!AB173))*0.08</f>
        <v>0</v>
      </c>
      <c r="P173" s="348">
        <f>(SUM('工资福利（公务员、参公人员）'!R173:S173)+SUM('工资福利（事业）'!V173:X173,'工资福利（事业）'!AB173))*0.06</f>
        <v>0</v>
      </c>
      <c r="Q173" s="348">
        <f>(SUM('工资福利（公务员、参公人员）'!R173:S173)+SUM('工资福利（事业）'!V173:X173,'工资福利（事业）'!AB173))*0.002</f>
        <v>0</v>
      </c>
      <c r="R173" s="348">
        <f>(SUM('工资福利（公务员、参公人员）'!R173:S173)+SUM('工资福利（事业）'!V173:X173,'工资福利（事业）'!AB173))*0.006</f>
        <v>0</v>
      </c>
      <c r="S173" s="348">
        <f>(SUM('工资福利（公务员、参公人员）'!R173:S173)+SUM('工资福利（事业）'!V173:X173,'工资福利（事业）'!AB173))*0.12</f>
        <v>0</v>
      </c>
      <c r="T173" s="348"/>
      <c r="U173" s="348">
        <f t="shared" si="53"/>
        <v>0</v>
      </c>
      <c r="V173" s="348">
        <f t="shared" si="54"/>
        <v>0</v>
      </c>
      <c r="W173" s="348">
        <f t="shared" si="55"/>
        <v>0</v>
      </c>
      <c r="X173" s="348">
        <f t="shared" si="56"/>
        <v>0</v>
      </c>
      <c r="Y173" s="348">
        <f t="shared" si="57"/>
        <v>0</v>
      </c>
      <c r="Z173" s="348">
        <f t="shared" si="58"/>
        <v>0</v>
      </c>
      <c r="AA173" s="348">
        <f t="shared" si="59"/>
        <v>0</v>
      </c>
      <c r="AB173" s="348">
        <f t="shared" si="60"/>
        <v>0</v>
      </c>
      <c r="AC173" s="350"/>
    </row>
    <row r="174" ht="24" spans="1:29">
      <c r="A174" s="284" t="s">
        <v>195</v>
      </c>
      <c r="B174" s="284" t="s">
        <v>196</v>
      </c>
      <c r="C174" s="284" t="s">
        <v>404</v>
      </c>
      <c r="D174" s="284" t="s">
        <v>400</v>
      </c>
      <c r="E174" s="348">
        <f t="shared" si="42"/>
        <v>5.55</v>
      </c>
      <c r="F174" s="348">
        <v>2.15</v>
      </c>
      <c r="G174" s="348">
        <v>1.01</v>
      </c>
      <c r="H174" s="348">
        <v>0.76</v>
      </c>
      <c r="I174" s="348">
        <v>0.03</v>
      </c>
      <c r="J174" s="348">
        <v>0.08</v>
      </c>
      <c r="K174" s="348">
        <v>1.52</v>
      </c>
      <c r="L174" s="348"/>
      <c r="M174" s="348">
        <f t="shared" si="52"/>
        <v>-0.70456</v>
      </c>
      <c r="N174" s="348">
        <f>(SUM('工资福利（公务员、参公人员）'!R174:T174)+SUM('工资福利（事业）'!V174:X174,'工资福利（事业）'!AB174))*0.16</f>
        <v>-0.2704</v>
      </c>
      <c r="O174" s="348">
        <f>(SUM('工资福利（公务员、参公人员）'!R174:S174)+SUM('工资福利（事业）'!V174:X174,'工资福利（事业）'!AB174))*0.08</f>
        <v>-0.1296</v>
      </c>
      <c r="P174" s="348">
        <f>(SUM('工资福利（公务员、参公人员）'!R174:S174)+SUM('工资福利（事业）'!V174:X174,'工资福利（事业）'!AB174))*0.06</f>
        <v>-0.0972</v>
      </c>
      <c r="Q174" s="348">
        <f>(SUM('工资福利（公务员、参公人员）'!R174:S174)+SUM('工资福利（事业）'!V174:X174,'工资福利（事业）'!AB174))*0.002</f>
        <v>-0.00324</v>
      </c>
      <c r="R174" s="348">
        <f>(SUM('工资福利（公务员、参公人员）'!R174:S174)+SUM('工资福利（事业）'!V174:X174,'工资福利（事业）'!AB174))*0.006</f>
        <v>-0.00972</v>
      </c>
      <c r="S174" s="348">
        <f>(SUM('工资福利（公务员、参公人员）'!R174:S174)+SUM('工资福利（事业）'!V174:X174,'工资福利（事业）'!AB174))*0.12</f>
        <v>-0.1944</v>
      </c>
      <c r="T174" s="348"/>
      <c r="U174" s="348">
        <f t="shared" si="53"/>
        <v>4.84544</v>
      </c>
      <c r="V174" s="348">
        <f t="shared" si="54"/>
        <v>1.8796</v>
      </c>
      <c r="W174" s="348">
        <f t="shared" si="55"/>
        <v>0.8804</v>
      </c>
      <c r="X174" s="348">
        <f t="shared" si="56"/>
        <v>0.6628</v>
      </c>
      <c r="Y174" s="348">
        <f t="shared" si="57"/>
        <v>0.02676</v>
      </c>
      <c r="Z174" s="348">
        <f t="shared" si="58"/>
        <v>0.07028</v>
      </c>
      <c r="AA174" s="348">
        <f t="shared" si="59"/>
        <v>1.3256</v>
      </c>
      <c r="AB174" s="348">
        <f t="shared" si="60"/>
        <v>0</v>
      </c>
      <c r="AC174" s="350"/>
    </row>
    <row r="175" ht="24" spans="1:29">
      <c r="A175" s="284" t="s">
        <v>195</v>
      </c>
      <c r="B175" s="284" t="s">
        <v>196</v>
      </c>
      <c r="C175" s="284" t="s">
        <v>405</v>
      </c>
      <c r="D175" s="284" t="s">
        <v>400</v>
      </c>
      <c r="E175" s="348">
        <f t="shared" si="42"/>
        <v>21.74</v>
      </c>
      <c r="F175" s="348">
        <v>8.37</v>
      </c>
      <c r="G175" s="348">
        <v>3.99</v>
      </c>
      <c r="H175" s="348">
        <v>2.99</v>
      </c>
      <c r="I175" s="348">
        <v>0.1</v>
      </c>
      <c r="J175" s="348">
        <v>0.3</v>
      </c>
      <c r="K175" s="348">
        <v>5.99</v>
      </c>
      <c r="L175" s="348"/>
      <c r="M175" s="348">
        <f t="shared" si="52"/>
        <v>2.14684</v>
      </c>
      <c r="N175" s="348">
        <f>(SUM('工资福利（公务员、参公人员）'!R175:T175)+SUM('工资福利（事业）'!V175:X175,'工资福利（事业）'!AB175))*0.16</f>
        <v>0.8256</v>
      </c>
      <c r="O175" s="348">
        <f>(SUM('工资福利（公务员、参公人员）'!R175:S175)+SUM('工资福利（事业）'!V175:X175,'工资福利（事业）'!AB175))*0.08</f>
        <v>0.3944</v>
      </c>
      <c r="P175" s="348">
        <f>(SUM('工资福利（公务员、参公人员）'!R175:S175)+SUM('工资福利（事业）'!V175:X175,'工资福利（事业）'!AB175))*0.06</f>
        <v>0.2958</v>
      </c>
      <c r="Q175" s="348">
        <f>(SUM('工资福利（公务员、参公人员）'!R175:S175)+SUM('工资福利（事业）'!V175:X175,'工资福利（事业）'!AB175))*0.002</f>
        <v>0.00986</v>
      </c>
      <c r="R175" s="348">
        <f>(SUM('工资福利（公务员、参公人员）'!R175:S175)+SUM('工资福利（事业）'!V175:X175,'工资福利（事业）'!AB175))*0.006</f>
        <v>0.02958</v>
      </c>
      <c r="S175" s="348">
        <f>(SUM('工资福利（公务员、参公人员）'!R175:S175)+SUM('工资福利（事业）'!V175:X175,'工资福利（事业）'!AB175))*0.12</f>
        <v>0.5916</v>
      </c>
      <c r="T175" s="348"/>
      <c r="U175" s="348">
        <f t="shared" si="53"/>
        <v>23.88684</v>
      </c>
      <c r="V175" s="348">
        <f t="shared" si="54"/>
        <v>9.1956</v>
      </c>
      <c r="W175" s="348">
        <f t="shared" si="55"/>
        <v>4.3844</v>
      </c>
      <c r="X175" s="348">
        <f t="shared" si="56"/>
        <v>3.2858</v>
      </c>
      <c r="Y175" s="348">
        <f t="shared" si="57"/>
        <v>0.10986</v>
      </c>
      <c r="Z175" s="348">
        <f t="shared" si="58"/>
        <v>0.32958</v>
      </c>
      <c r="AA175" s="348">
        <f t="shared" si="59"/>
        <v>6.5816</v>
      </c>
      <c r="AB175" s="348">
        <f t="shared" si="60"/>
        <v>0</v>
      </c>
      <c r="AC175" s="350"/>
    </row>
    <row r="176" ht="24" spans="1:29">
      <c r="A176" s="284" t="s">
        <v>195</v>
      </c>
      <c r="B176" s="284" t="s">
        <v>196</v>
      </c>
      <c r="C176" s="284" t="s">
        <v>406</v>
      </c>
      <c r="D176" s="284" t="s">
        <v>400</v>
      </c>
      <c r="E176" s="348">
        <f t="shared" si="42"/>
        <v>5.34</v>
      </c>
      <c r="F176" s="348">
        <v>2.06</v>
      </c>
      <c r="G176" s="348">
        <v>0.98</v>
      </c>
      <c r="H176" s="348">
        <v>0.74</v>
      </c>
      <c r="I176" s="348">
        <v>0.02</v>
      </c>
      <c r="J176" s="348">
        <v>0.07</v>
      </c>
      <c r="K176" s="348">
        <v>1.47</v>
      </c>
      <c r="L176" s="348"/>
      <c r="M176" s="348">
        <f t="shared" si="52"/>
        <v>0.68584</v>
      </c>
      <c r="N176" s="348">
        <f>(SUM('工资福利（公务员、参公人员）'!R176:T176)+SUM('工资福利（事业）'!V176:X176,'工资福利（事业）'!AB176))*0.16</f>
        <v>0.2624</v>
      </c>
      <c r="O176" s="348">
        <f>(SUM('工资福利（公务员、参公人员）'!R176:S176)+SUM('工资福利（事业）'!V176:X176,'工资福利（事业）'!AB176))*0.08</f>
        <v>0.1264</v>
      </c>
      <c r="P176" s="348">
        <f>(SUM('工资福利（公务员、参公人员）'!R176:S176)+SUM('工资福利（事业）'!V176:X176,'工资福利（事业）'!AB176))*0.06</f>
        <v>0.0948</v>
      </c>
      <c r="Q176" s="348">
        <f>(SUM('工资福利（公务员、参公人员）'!R176:S176)+SUM('工资福利（事业）'!V176:X176,'工资福利（事业）'!AB176))*0.002</f>
        <v>0.00316</v>
      </c>
      <c r="R176" s="348">
        <f>(SUM('工资福利（公务员、参公人员）'!R176:S176)+SUM('工资福利（事业）'!V176:X176,'工资福利（事业）'!AB176))*0.006</f>
        <v>0.00948</v>
      </c>
      <c r="S176" s="348">
        <f>(SUM('工资福利（公务员、参公人员）'!R176:S176)+SUM('工资福利（事业）'!V176:X176,'工资福利（事业）'!AB176))*0.12</f>
        <v>0.1896</v>
      </c>
      <c r="T176" s="348"/>
      <c r="U176" s="348">
        <f t="shared" si="53"/>
        <v>6.02584</v>
      </c>
      <c r="V176" s="348">
        <f t="shared" si="54"/>
        <v>2.3224</v>
      </c>
      <c r="W176" s="348">
        <f t="shared" si="55"/>
        <v>1.1064</v>
      </c>
      <c r="X176" s="348">
        <f t="shared" si="56"/>
        <v>0.8348</v>
      </c>
      <c r="Y176" s="348">
        <f t="shared" si="57"/>
        <v>0.02316</v>
      </c>
      <c r="Z176" s="348">
        <f t="shared" si="58"/>
        <v>0.07948</v>
      </c>
      <c r="AA176" s="348">
        <f t="shared" si="59"/>
        <v>1.6596</v>
      </c>
      <c r="AB176" s="348">
        <f t="shared" si="60"/>
        <v>0</v>
      </c>
      <c r="AC176" s="350"/>
    </row>
    <row r="177" ht="24" spans="1:29">
      <c r="A177" s="284" t="s">
        <v>195</v>
      </c>
      <c r="B177" s="284" t="s">
        <v>196</v>
      </c>
      <c r="C177" s="284" t="s">
        <v>407</v>
      </c>
      <c r="D177" s="284" t="s">
        <v>400</v>
      </c>
      <c r="E177" s="348">
        <f t="shared" si="42"/>
        <v>31.99</v>
      </c>
      <c r="F177" s="348">
        <v>12.32</v>
      </c>
      <c r="G177" s="348">
        <v>5.87</v>
      </c>
      <c r="H177" s="348">
        <v>4.4</v>
      </c>
      <c r="I177" s="348">
        <v>0.15</v>
      </c>
      <c r="J177" s="348">
        <v>0.44</v>
      </c>
      <c r="K177" s="348">
        <v>8.81</v>
      </c>
      <c r="L177" s="348"/>
      <c r="M177" s="348">
        <f t="shared" si="52"/>
        <v>0.01224</v>
      </c>
      <c r="N177" s="348">
        <f>(SUM('工资福利（公务员、参公人员）'!R177:T177)+SUM('工资福利（事业）'!V177:X177,'工资福利（事业）'!AB177))*0.16</f>
        <v>0.0176</v>
      </c>
      <c r="O177" s="348">
        <f>(SUM('工资福利（公务员、参公人员）'!R177:S177)+SUM('工资福利（事业）'!V177:X177,'工资福利（事业）'!AB177))*0.08</f>
        <v>-0.0016</v>
      </c>
      <c r="P177" s="348">
        <f>(SUM('工资福利（公务员、参公人员）'!R177:S177)+SUM('工资福利（事业）'!V177:X177,'工资福利（事业）'!AB177))*0.06</f>
        <v>-0.0012</v>
      </c>
      <c r="Q177" s="348">
        <f>(SUM('工资福利（公务员、参公人员）'!R177:S177)+SUM('工资福利（事业）'!V177:X177,'工资福利（事业）'!AB177))*0.002</f>
        <v>-4e-5</v>
      </c>
      <c r="R177" s="348">
        <f>(SUM('工资福利（公务员、参公人员）'!R177:S177)+SUM('工资福利（事业）'!V177:X177,'工资福利（事业）'!AB177))*0.006</f>
        <v>-0.00012</v>
      </c>
      <c r="S177" s="348">
        <f>(SUM('工资福利（公务员、参公人员）'!R177:S177)+SUM('工资福利（事业）'!V177:X177,'工资福利（事业）'!AB177))*0.12</f>
        <v>-0.0024</v>
      </c>
      <c r="T177" s="348"/>
      <c r="U177" s="348">
        <f t="shared" si="53"/>
        <v>32.00224</v>
      </c>
      <c r="V177" s="348">
        <f t="shared" si="54"/>
        <v>12.3376</v>
      </c>
      <c r="W177" s="348">
        <f t="shared" si="55"/>
        <v>5.8684</v>
      </c>
      <c r="X177" s="348">
        <f t="shared" si="56"/>
        <v>4.3988</v>
      </c>
      <c r="Y177" s="348">
        <f t="shared" si="57"/>
        <v>0.14996</v>
      </c>
      <c r="Z177" s="348">
        <f t="shared" si="58"/>
        <v>0.43988</v>
      </c>
      <c r="AA177" s="348">
        <f t="shared" si="59"/>
        <v>8.8076</v>
      </c>
      <c r="AB177" s="348">
        <f t="shared" si="60"/>
        <v>0</v>
      </c>
      <c r="AC177" s="350"/>
    </row>
    <row r="178" ht="24" spans="1:29">
      <c r="A178" s="284" t="s">
        <v>195</v>
      </c>
      <c r="B178" s="284" t="s">
        <v>196</v>
      </c>
      <c r="C178" s="284" t="s">
        <v>408</v>
      </c>
      <c r="D178" s="284" t="s">
        <v>409</v>
      </c>
      <c r="E178" s="348">
        <f t="shared" si="42"/>
        <v>2.17</v>
      </c>
      <c r="F178" s="348">
        <v>0.83</v>
      </c>
      <c r="G178" s="348">
        <v>0.4</v>
      </c>
      <c r="H178" s="348">
        <v>0.3</v>
      </c>
      <c r="I178" s="348">
        <v>0.02</v>
      </c>
      <c r="J178" s="348">
        <v>0.03</v>
      </c>
      <c r="K178" s="348">
        <v>0.59</v>
      </c>
      <c r="L178" s="348"/>
      <c r="M178" s="348">
        <f t="shared" si="52"/>
        <v>0.16584</v>
      </c>
      <c r="N178" s="348">
        <f>(SUM('工资福利（公务员、参公人员）'!R178:T178)+SUM('工资福利（事业）'!V178:X178,'工资福利（事业）'!AB178))*0.16</f>
        <v>0.064</v>
      </c>
      <c r="O178" s="348">
        <f>(SUM('工资福利（公务员、参公人员）'!R178:S178)+SUM('工资福利（事业）'!V178:X178,'工资福利（事业）'!AB178))*0.08</f>
        <v>0.0304</v>
      </c>
      <c r="P178" s="348">
        <f>(SUM('工资福利（公务员、参公人员）'!R178:S178)+SUM('工资福利（事业）'!V178:X178,'工资福利（事业）'!AB178))*0.06</f>
        <v>0.0228</v>
      </c>
      <c r="Q178" s="348">
        <f>(SUM('工资福利（公务员、参公人员）'!R178:S178)+SUM('工资福利（事业）'!V178:X178,'工资福利（事业）'!AB178))*0.002</f>
        <v>0.00076</v>
      </c>
      <c r="R178" s="348">
        <f>(SUM('工资福利（公务员、参公人员）'!R178:S178)+SUM('工资福利（事业）'!V178:X178,'工资福利（事业）'!AB178))*0.006</f>
        <v>0.00228</v>
      </c>
      <c r="S178" s="348">
        <f>(SUM('工资福利（公务员、参公人员）'!R178:S178)+SUM('工资福利（事业）'!V178:X178,'工资福利（事业）'!AB178))*0.12</f>
        <v>0.0456</v>
      </c>
      <c r="T178" s="348"/>
      <c r="U178" s="348">
        <f t="shared" si="53"/>
        <v>2.33584</v>
      </c>
      <c r="V178" s="348">
        <f t="shared" si="54"/>
        <v>0.894</v>
      </c>
      <c r="W178" s="348">
        <f t="shared" si="55"/>
        <v>0.4304</v>
      </c>
      <c r="X178" s="348">
        <f t="shared" si="56"/>
        <v>0.3228</v>
      </c>
      <c r="Y178" s="348">
        <f t="shared" si="57"/>
        <v>0.02076</v>
      </c>
      <c r="Z178" s="348">
        <f t="shared" si="58"/>
        <v>0.03228</v>
      </c>
      <c r="AA178" s="348">
        <f t="shared" si="59"/>
        <v>0.6356</v>
      </c>
      <c r="AB178" s="348">
        <f t="shared" si="60"/>
        <v>0</v>
      </c>
      <c r="AC178" s="350"/>
    </row>
    <row r="179" ht="24" spans="1:29">
      <c r="A179" s="284" t="s">
        <v>195</v>
      </c>
      <c r="B179" s="284" t="s">
        <v>199</v>
      </c>
      <c r="C179" s="284" t="s">
        <v>410</v>
      </c>
      <c r="D179" s="284" t="s">
        <v>411</v>
      </c>
      <c r="E179" s="348">
        <f t="shared" si="42"/>
        <v>3.94</v>
      </c>
      <c r="F179" s="348">
        <v>1.71</v>
      </c>
      <c r="G179" s="348">
        <v>0.86</v>
      </c>
      <c r="H179" s="348"/>
      <c r="I179" s="348">
        <v>0.02</v>
      </c>
      <c r="J179" s="348">
        <v>0.06</v>
      </c>
      <c r="K179" s="348">
        <v>1.29</v>
      </c>
      <c r="L179" s="348"/>
      <c r="M179" s="348">
        <f t="shared" si="52"/>
        <v>0.38092</v>
      </c>
      <c r="N179" s="348">
        <f>(SUM('工资福利（公务员、参公人员）'!R179:T179)+SUM('工资福利（事业）'!V179:X179,'工资福利（事业）'!AB179))*0.16</f>
        <v>0.1424</v>
      </c>
      <c r="O179" s="348">
        <f>(SUM('工资福利（公务员、参公人员）'!R179:S179)+SUM('工资福利（事业）'!V179:X179,'工资福利（事业）'!AB179))*0.08</f>
        <v>0.0712</v>
      </c>
      <c r="P179" s="348">
        <f>(SUM('工资福利（公务员、参公人员）'!R179:S179)+SUM('工资福利（事业）'!V179:X179,'工资福利（事业）'!AB179))*0.06</f>
        <v>0.0534</v>
      </c>
      <c r="Q179" s="348">
        <f>(SUM('工资福利（公务员、参公人员）'!R179:S179)+SUM('工资福利（事业）'!V179:X179,'工资福利（事业）'!AB179))*0.002</f>
        <v>0.00178</v>
      </c>
      <c r="R179" s="348">
        <f>(SUM('工资福利（公务员、参公人员）'!R179:S179)+SUM('工资福利（事业）'!V179:X179,'工资福利（事业）'!AB179))*0.006</f>
        <v>0.00534</v>
      </c>
      <c r="S179" s="348">
        <f>(SUM('工资福利（公务员、参公人员）'!R179:S179)+SUM('工资福利（事业）'!V179:X179,'工资福利（事业）'!AB179))*0.12</f>
        <v>0.1068</v>
      </c>
      <c r="T179" s="348"/>
      <c r="U179" s="348">
        <f t="shared" si="53"/>
        <v>4.32092</v>
      </c>
      <c r="V179" s="348">
        <f t="shared" si="54"/>
        <v>1.8524</v>
      </c>
      <c r="W179" s="348">
        <f t="shared" si="55"/>
        <v>0.9312</v>
      </c>
      <c r="X179" s="348">
        <f t="shared" si="56"/>
        <v>0.0534</v>
      </c>
      <c r="Y179" s="348">
        <f t="shared" si="57"/>
        <v>0.02178</v>
      </c>
      <c r="Z179" s="348">
        <f t="shared" si="58"/>
        <v>0.06534</v>
      </c>
      <c r="AA179" s="348">
        <f t="shared" si="59"/>
        <v>1.3968</v>
      </c>
      <c r="AB179" s="348">
        <f t="shared" si="60"/>
        <v>0</v>
      </c>
      <c r="AC179" s="350"/>
    </row>
    <row r="180" ht="24" spans="1:29">
      <c r="A180" s="284" t="s">
        <v>195</v>
      </c>
      <c r="B180" s="284" t="s">
        <v>199</v>
      </c>
      <c r="C180" s="284" t="s">
        <v>412</v>
      </c>
      <c r="D180" s="284" t="s">
        <v>411</v>
      </c>
      <c r="E180" s="348">
        <f t="shared" si="42"/>
        <v>6.39</v>
      </c>
      <c r="F180" s="348">
        <v>2.78</v>
      </c>
      <c r="G180" s="348">
        <v>1.39</v>
      </c>
      <c r="H180" s="348"/>
      <c r="I180" s="348">
        <v>0.03</v>
      </c>
      <c r="J180" s="348">
        <v>0.1</v>
      </c>
      <c r="K180" s="348">
        <v>2.09</v>
      </c>
      <c r="L180" s="348"/>
      <c r="M180" s="348">
        <f t="shared" si="52"/>
        <v>0.5992</v>
      </c>
      <c r="N180" s="348">
        <f>(SUM('工资福利（公务员、参公人员）'!R180:T180)+SUM('工资福利（事业）'!V180:X180,'工资福利（事业）'!AB180))*0.16</f>
        <v>0.224</v>
      </c>
      <c r="O180" s="348">
        <f>(SUM('工资福利（公务员、参公人员）'!R180:S180)+SUM('工资福利（事业）'!V180:X180,'工资福利（事业）'!AB180))*0.08</f>
        <v>0.112</v>
      </c>
      <c r="P180" s="348">
        <f>(SUM('工资福利（公务员、参公人员）'!R180:S180)+SUM('工资福利（事业）'!V180:X180,'工资福利（事业）'!AB180))*0.06</f>
        <v>0.084</v>
      </c>
      <c r="Q180" s="348">
        <f>(SUM('工资福利（公务员、参公人员）'!R180:S180)+SUM('工资福利（事业）'!V180:X180,'工资福利（事业）'!AB180))*0.002</f>
        <v>0.0028</v>
      </c>
      <c r="R180" s="348">
        <f>(SUM('工资福利（公务员、参公人员）'!R180:S180)+SUM('工资福利（事业）'!V180:X180,'工资福利（事业）'!AB180))*0.006</f>
        <v>0.0084</v>
      </c>
      <c r="S180" s="348">
        <f>(SUM('工资福利（公务员、参公人员）'!R180:S180)+SUM('工资福利（事业）'!V180:X180,'工资福利（事业）'!AB180))*0.12</f>
        <v>0.168</v>
      </c>
      <c r="T180" s="348"/>
      <c r="U180" s="348">
        <f t="shared" si="53"/>
        <v>6.9892</v>
      </c>
      <c r="V180" s="348">
        <f t="shared" si="54"/>
        <v>3.004</v>
      </c>
      <c r="W180" s="348">
        <f t="shared" si="55"/>
        <v>1.502</v>
      </c>
      <c r="X180" s="348">
        <f t="shared" si="56"/>
        <v>0.084</v>
      </c>
      <c r="Y180" s="348">
        <f t="shared" si="57"/>
        <v>0.0328</v>
      </c>
      <c r="Z180" s="348">
        <f t="shared" si="58"/>
        <v>0.1084</v>
      </c>
      <c r="AA180" s="348">
        <f t="shared" si="59"/>
        <v>2.258</v>
      </c>
      <c r="AB180" s="348">
        <f t="shared" si="60"/>
        <v>0</v>
      </c>
      <c r="AC180" s="350"/>
    </row>
    <row r="181" ht="24" spans="1:29">
      <c r="A181" s="284" t="s">
        <v>195</v>
      </c>
      <c r="B181" s="284" t="s">
        <v>199</v>
      </c>
      <c r="C181" s="284" t="s">
        <v>413</v>
      </c>
      <c r="D181" s="284" t="s">
        <v>411</v>
      </c>
      <c r="E181" s="348">
        <f t="shared" si="42"/>
        <v>5.73</v>
      </c>
      <c r="F181" s="348">
        <v>2.49</v>
      </c>
      <c r="G181" s="348">
        <v>1.25</v>
      </c>
      <c r="H181" s="348"/>
      <c r="I181" s="348">
        <v>0.03</v>
      </c>
      <c r="J181" s="348">
        <v>0.09</v>
      </c>
      <c r="K181" s="348">
        <v>1.87</v>
      </c>
      <c r="L181" s="348"/>
      <c r="M181" s="348">
        <f t="shared" si="52"/>
        <v>0.65912</v>
      </c>
      <c r="N181" s="348">
        <f>(SUM('工资福利（公务员、参公人员）'!R181:T181)+SUM('工资福利（事业）'!V181:X181,'工资福利（事业）'!AB181))*0.16</f>
        <v>0.2464</v>
      </c>
      <c r="O181" s="348">
        <f>(SUM('工资福利（公务员、参公人员）'!R181:S181)+SUM('工资福利（事业）'!V181:X181,'工资福利（事业）'!AB181))*0.08</f>
        <v>0.1232</v>
      </c>
      <c r="P181" s="348">
        <f>(SUM('工资福利（公务员、参公人员）'!R181:S181)+SUM('工资福利（事业）'!V181:X181,'工资福利（事业）'!AB181))*0.06</f>
        <v>0.0924</v>
      </c>
      <c r="Q181" s="348">
        <f>(SUM('工资福利（公务员、参公人员）'!R181:S181)+SUM('工资福利（事业）'!V181:X181,'工资福利（事业）'!AB181))*0.002</f>
        <v>0.00308</v>
      </c>
      <c r="R181" s="348">
        <f>(SUM('工资福利（公务员、参公人员）'!R181:S181)+SUM('工资福利（事业）'!V181:X181,'工资福利（事业）'!AB181))*0.006</f>
        <v>0.00924</v>
      </c>
      <c r="S181" s="348">
        <f>(SUM('工资福利（公务员、参公人员）'!R181:S181)+SUM('工资福利（事业）'!V181:X181,'工资福利（事业）'!AB181))*0.12</f>
        <v>0.1848</v>
      </c>
      <c r="T181" s="348"/>
      <c r="U181" s="348">
        <f t="shared" si="53"/>
        <v>6.38912</v>
      </c>
      <c r="V181" s="348">
        <f t="shared" si="54"/>
        <v>2.7364</v>
      </c>
      <c r="W181" s="348">
        <f t="shared" si="55"/>
        <v>1.3732</v>
      </c>
      <c r="X181" s="348">
        <f t="shared" si="56"/>
        <v>0.0924</v>
      </c>
      <c r="Y181" s="348">
        <f t="shared" si="57"/>
        <v>0.03308</v>
      </c>
      <c r="Z181" s="348">
        <f t="shared" si="58"/>
        <v>0.09924</v>
      </c>
      <c r="AA181" s="348">
        <f t="shared" si="59"/>
        <v>2.0548</v>
      </c>
      <c r="AB181" s="348">
        <f t="shared" si="60"/>
        <v>0</v>
      </c>
      <c r="AC181" s="350"/>
    </row>
    <row r="182" ht="24" spans="1:29">
      <c r="A182" s="284" t="s">
        <v>195</v>
      </c>
      <c r="B182" s="284" t="s">
        <v>199</v>
      </c>
      <c r="C182" s="284" t="s">
        <v>414</v>
      </c>
      <c r="D182" s="284" t="s">
        <v>411</v>
      </c>
      <c r="E182" s="348">
        <f t="shared" si="42"/>
        <v>1.97</v>
      </c>
      <c r="F182" s="348">
        <v>0.86</v>
      </c>
      <c r="G182" s="348">
        <v>0.43</v>
      </c>
      <c r="H182" s="348"/>
      <c r="I182" s="348">
        <v>0.01</v>
      </c>
      <c r="J182" s="348">
        <v>0.03</v>
      </c>
      <c r="K182" s="348">
        <v>0.64</v>
      </c>
      <c r="L182" s="348"/>
      <c r="M182" s="348">
        <f t="shared" si="52"/>
        <v>0.19688</v>
      </c>
      <c r="N182" s="348">
        <f>(SUM('工资福利（公务员、参公人员）'!R182:T182)+SUM('工资福利（事业）'!V182:X182,'工资福利（事业）'!AB182))*0.16</f>
        <v>0.0736</v>
      </c>
      <c r="O182" s="348">
        <f>(SUM('工资福利（公务员、参公人员）'!R182:S182)+SUM('工资福利（事业）'!V182:X182,'工资福利（事业）'!AB182))*0.08</f>
        <v>0.0368</v>
      </c>
      <c r="P182" s="348">
        <f>(SUM('工资福利（公务员、参公人员）'!R182:S182)+SUM('工资福利（事业）'!V182:X182,'工资福利（事业）'!AB182))*0.06</f>
        <v>0.0276</v>
      </c>
      <c r="Q182" s="348">
        <f>(SUM('工资福利（公务员、参公人员）'!R182:S182)+SUM('工资福利（事业）'!V182:X182,'工资福利（事业）'!AB182))*0.002</f>
        <v>0.00092</v>
      </c>
      <c r="R182" s="348">
        <f>(SUM('工资福利（公务员、参公人员）'!R182:S182)+SUM('工资福利（事业）'!V182:X182,'工资福利（事业）'!AB182))*0.006</f>
        <v>0.00276</v>
      </c>
      <c r="S182" s="348">
        <f>(SUM('工资福利（公务员、参公人员）'!R182:S182)+SUM('工资福利（事业）'!V182:X182,'工资福利（事业）'!AB182))*0.12</f>
        <v>0.0552</v>
      </c>
      <c r="T182" s="348"/>
      <c r="U182" s="348">
        <f t="shared" si="53"/>
        <v>2.16688</v>
      </c>
      <c r="V182" s="348">
        <f t="shared" si="54"/>
        <v>0.9336</v>
      </c>
      <c r="W182" s="348">
        <f t="shared" si="55"/>
        <v>0.4668</v>
      </c>
      <c r="X182" s="348">
        <f t="shared" si="56"/>
        <v>0.0276</v>
      </c>
      <c r="Y182" s="348">
        <f t="shared" si="57"/>
        <v>0.01092</v>
      </c>
      <c r="Z182" s="348">
        <f t="shared" si="58"/>
        <v>0.03276</v>
      </c>
      <c r="AA182" s="348">
        <f t="shared" si="59"/>
        <v>0.6952</v>
      </c>
      <c r="AB182" s="348">
        <f t="shared" si="60"/>
        <v>0</v>
      </c>
      <c r="AC182" s="350"/>
    </row>
    <row r="183" ht="24" spans="1:29">
      <c r="A183" s="284" t="s">
        <v>195</v>
      </c>
      <c r="B183" s="284" t="s">
        <v>196</v>
      </c>
      <c r="C183" s="284" t="s">
        <v>415</v>
      </c>
      <c r="D183" s="284" t="s">
        <v>416</v>
      </c>
      <c r="E183" s="348">
        <f t="shared" si="42"/>
        <v>216.84</v>
      </c>
      <c r="F183" s="348">
        <v>83.55</v>
      </c>
      <c r="G183" s="348">
        <v>39.79</v>
      </c>
      <c r="H183" s="348">
        <v>29.84</v>
      </c>
      <c r="I183" s="348">
        <v>0.99</v>
      </c>
      <c r="J183" s="348">
        <v>2.98</v>
      </c>
      <c r="K183" s="348">
        <v>59.69</v>
      </c>
      <c r="L183" s="348"/>
      <c r="M183" s="348">
        <f t="shared" si="52"/>
        <v>-1.7032</v>
      </c>
      <c r="N183" s="348">
        <f>(SUM('工资福利（公务员、参公人员）'!R183:T183)+SUM('工资福利（事业）'!V183:X183,'工资福利（事业）'!AB183))*0.16</f>
        <v>-0.5776</v>
      </c>
      <c r="O183" s="348">
        <f>(SUM('工资福利（公务员、参公人员）'!R183:S183)+SUM('工资福利（事业）'!V183:X183,'工资福利（事业）'!AB183))*0.08</f>
        <v>-0.336</v>
      </c>
      <c r="P183" s="348">
        <f>(SUM('工资福利（公务员、参公人员）'!R183:S183)+SUM('工资福利（事业）'!V183:X183,'工资福利（事业）'!AB183))*0.06</f>
        <v>-0.252</v>
      </c>
      <c r="Q183" s="348">
        <f>(SUM('工资福利（公务员、参公人员）'!R183:S183)+SUM('工资福利（事业）'!V183:X183,'工资福利（事业）'!AB183))*0.002</f>
        <v>-0.0084</v>
      </c>
      <c r="R183" s="348">
        <f>(SUM('工资福利（公务员、参公人员）'!R183:S183)+SUM('工资福利（事业）'!V183:X183,'工资福利（事业）'!AB183))*0.006</f>
        <v>-0.0252</v>
      </c>
      <c r="S183" s="348">
        <f>(SUM('工资福利（公务员、参公人员）'!R183:S183)+SUM('工资福利（事业）'!V183:X183,'工资福利（事业）'!AB183))*0.12</f>
        <v>-0.504</v>
      </c>
      <c r="T183" s="348"/>
      <c r="U183" s="348">
        <f t="shared" si="53"/>
        <v>215.1368</v>
      </c>
      <c r="V183" s="348">
        <f t="shared" si="54"/>
        <v>82.9724</v>
      </c>
      <c r="W183" s="348">
        <f t="shared" si="55"/>
        <v>39.454</v>
      </c>
      <c r="X183" s="348">
        <f t="shared" si="56"/>
        <v>29.588</v>
      </c>
      <c r="Y183" s="348">
        <f t="shared" si="57"/>
        <v>0.9816</v>
      </c>
      <c r="Z183" s="348">
        <f t="shared" si="58"/>
        <v>2.9548</v>
      </c>
      <c r="AA183" s="348">
        <f t="shared" si="59"/>
        <v>59.186</v>
      </c>
      <c r="AB183" s="348">
        <f t="shared" si="60"/>
        <v>0</v>
      </c>
      <c r="AC183" s="350"/>
    </row>
    <row r="184" ht="24" spans="1:29">
      <c r="A184" s="284" t="s">
        <v>195</v>
      </c>
      <c r="B184" s="284" t="s">
        <v>199</v>
      </c>
      <c r="C184" s="284" t="s">
        <v>417</v>
      </c>
      <c r="D184" s="284" t="s">
        <v>418</v>
      </c>
      <c r="E184" s="348">
        <f t="shared" si="42"/>
        <v>20.55</v>
      </c>
      <c r="F184" s="348">
        <v>7.68</v>
      </c>
      <c r="G184" s="348">
        <v>3.84</v>
      </c>
      <c r="H184" s="348">
        <v>2.88</v>
      </c>
      <c r="I184" s="348">
        <v>0.1</v>
      </c>
      <c r="J184" s="348">
        <v>0.29</v>
      </c>
      <c r="K184" s="348">
        <v>5.76</v>
      </c>
      <c r="L184" s="348"/>
      <c r="M184" s="348">
        <f t="shared" si="52"/>
        <v>3.75784</v>
      </c>
      <c r="N184" s="348">
        <f>(SUM('工资福利（公务员、参公人员）'!R184:T184)+SUM('工资福利（事业）'!V184:X184,'工资福利（事业）'!AB184))*0.16</f>
        <v>1.4048</v>
      </c>
      <c r="O184" s="348">
        <f>(SUM('工资福利（公务员、参公人员）'!R184:S184)+SUM('工资福利（事业）'!V184:X184,'工资福利（事业）'!AB184))*0.08</f>
        <v>0.7024</v>
      </c>
      <c r="P184" s="348">
        <f>(SUM('工资福利（公务员、参公人员）'!R184:S184)+SUM('工资福利（事业）'!V184:X184,'工资福利（事业）'!AB184))*0.06</f>
        <v>0.5268</v>
      </c>
      <c r="Q184" s="348">
        <f>(SUM('工资福利（公务员、参公人员）'!R184:S184)+SUM('工资福利（事业）'!V184:X184,'工资福利（事业）'!AB184))*0.002</f>
        <v>0.01756</v>
      </c>
      <c r="R184" s="348">
        <f>(SUM('工资福利（公务员、参公人员）'!R184:S184)+SUM('工资福利（事业）'!V184:X184,'工资福利（事业）'!AB184))*0.006</f>
        <v>0.05268</v>
      </c>
      <c r="S184" s="348">
        <f>(SUM('工资福利（公务员、参公人员）'!R184:S184)+SUM('工资福利（事业）'!V184:X184,'工资福利（事业）'!AB184))*0.12</f>
        <v>1.0536</v>
      </c>
      <c r="T184" s="348"/>
      <c r="U184" s="348">
        <f t="shared" si="53"/>
        <v>24.30784</v>
      </c>
      <c r="V184" s="348">
        <f t="shared" si="54"/>
        <v>9.0848</v>
      </c>
      <c r="W184" s="348">
        <f t="shared" si="55"/>
        <v>4.5424</v>
      </c>
      <c r="X184" s="348">
        <f t="shared" si="56"/>
        <v>3.4068</v>
      </c>
      <c r="Y184" s="348">
        <f t="shared" si="57"/>
        <v>0.11756</v>
      </c>
      <c r="Z184" s="348">
        <f t="shared" si="58"/>
        <v>0.34268</v>
      </c>
      <c r="AA184" s="348">
        <f t="shared" si="59"/>
        <v>6.8136</v>
      </c>
      <c r="AB184" s="348">
        <f t="shared" si="60"/>
        <v>0</v>
      </c>
      <c r="AC184" s="350"/>
    </row>
    <row r="185" ht="24" spans="1:29">
      <c r="A185" s="284" t="s">
        <v>195</v>
      </c>
      <c r="B185" s="284" t="s">
        <v>199</v>
      </c>
      <c r="C185" s="284" t="s">
        <v>419</v>
      </c>
      <c r="D185" s="284" t="s">
        <v>418</v>
      </c>
      <c r="E185" s="348">
        <f t="shared" si="42"/>
        <v>7.78</v>
      </c>
      <c r="F185" s="348">
        <v>2.91</v>
      </c>
      <c r="G185" s="348">
        <v>1.45</v>
      </c>
      <c r="H185" s="348">
        <v>1.09</v>
      </c>
      <c r="I185" s="348">
        <v>0.04</v>
      </c>
      <c r="J185" s="348">
        <v>0.11</v>
      </c>
      <c r="K185" s="348">
        <v>2.18</v>
      </c>
      <c r="L185" s="348"/>
      <c r="M185" s="348">
        <f t="shared" si="52"/>
        <v>0.58636</v>
      </c>
      <c r="N185" s="348">
        <f>(SUM('工资福利（公务员、参公人员）'!R185:T185)+SUM('工资福利（事业）'!V185:X185,'工资福利（事业）'!AB185))*0.16</f>
        <v>0.2192</v>
      </c>
      <c r="O185" s="348">
        <f>(SUM('工资福利（公务员、参公人员）'!R185:S185)+SUM('工资福利（事业）'!V185:X185,'工资福利（事业）'!AB185))*0.08</f>
        <v>0.1096</v>
      </c>
      <c r="P185" s="348">
        <f>(SUM('工资福利（公务员、参公人员）'!R185:S185)+SUM('工资福利（事业）'!V185:X185,'工资福利（事业）'!AB185))*0.06</f>
        <v>0.0822</v>
      </c>
      <c r="Q185" s="348">
        <f>(SUM('工资福利（公务员、参公人员）'!R185:S185)+SUM('工资福利（事业）'!V185:X185,'工资福利（事业）'!AB185))*0.002</f>
        <v>0.00274</v>
      </c>
      <c r="R185" s="348">
        <f>(SUM('工资福利（公务员、参公人员）'!R185:S185)+SUM('工资福利（事业）'!V185:X185,'工资福利（事业）'!AB185))*0.006</f>
        <v>0.00822</v>
      </c>
      <c r="S185" s="348">
        <f>(SUM('工资福利（公务员、参公人员）'!R185:S185)+SUM('工资福利（事业）'!V185:X185,'工资福利（事业）'!AB185))*0.12</f>
        <v>0.1644</v>
      </c>
      <c r="T185" s="348"/>
      <c r="U185" s="348">
        <f t="shared" si="53"/>
        <v>8.36636</v>
      </c>
      <c r="V185" s="348">
        <f t="shared" si="54"/>
        <v>3.1292</v>
      </c>
      <c r="W185" s="348">
        <f t="shared" si="55"/>
        <v>1.5596</v>
      </c>
      <c r="X185" s="348">
        <f t="shared" si="56"/>
        <v>1.1722</v>
      </c>
      <c r="Y185" s="348">
        <f t="shared" si="57"/>
        <v>0.04274</v>
      </c>
      <c r="Z185" s="348">
        <f t="shared" si="58"/>
        <v>0.11822</v>
      </c>
      <c r="AA185" s="348">
        <f t="shared" si="59"/>
        <v>2.3444</v>
      </c>
      <c r="AB185" s="348">
        <f t="shared" si="60"/>
        <v>0</v>
      </c>
      <c r="AC185" s="350"/>
    </row>
    <row r="186" ht="24" spans="1:29">
      <c r="A186" s="284" t="s">
        <v>195</v>
      </c>
      <c r="B186" s="284" t="s">
        <v>199</v>
      </c>
      <c r="C186" s="284" t="s">
        <v>420</v>
      </c>
      <c r="D186" s="284" t="s">
        <v>418</v>
      </c>
      <c r="E186" s="348">
        <f t="shared" si="42"/>
        <v>58.1</v>
      </c>
      <c r="F186" s="348">
        <v>21.72</v>
      </c>
      <c r="G186" s="348">
        <v>10.86</v>
      </c>
      <c r="H186" s="348">
        <v>8.15</v>
      </c>
      <c r="I186" s="348">
        <v>0.27</v>
      </c>
      <c r="J186" s="348">
        <v>0.81</v>
      </c>
      <c r="K186" s="348">
        <v>16.29</v>
      </c>
      <c r="L186" s="348"/>
      <c r="M186" s="348">
        <f t="shared" si="52"/>
        <v>5.9064</v>
      </c>
      <c r="N186" s="348">
        <f>(SUM('工资福利（公务员、参公人员）'!R186:T186)+SUM('工资福利（事业）'!V186:X186,'工资福利（事业）'!AB186))*0.16</f>
        <v>2.208</v>
      </c>
      <c r="O186" s="348">
        <f>(SUM('工资福利（公务员、参公人员）'!R186:S186)+SUM('工资福利（事业）'!V186:X186,'工资福利（事业）'!AB186))*0.08</f>
        <v>1.104</v>
      </c>
      <c r="P186" s="348">
        <f>(SUM('工资福利（公务员、参公人员）'!R186:S186)+SUM('工资福利（事业）'!V186:X186,'工资福利（事业）'!AB186))*0.06</f>
        <v>0.828</v>
      </c>
      <c r="Q186" s="348">
        <f>(SUM('工资福利（公务员、参公人员）'!R186:S186)+SUM('工资福利（事业）'!V186:X186,'工资福利（事业）'!AB186))*0.002</f>
        <v>0.0276</v>
      </c>
      <c r="R186" s="348">
        <f>(SUM('工资福利（公务员、参公人员）'!R186:S186)+SUM('工资福利（事业）'!V186:X186,'工资福利（事业）'!AB186))*0.006</f>
        <v>0.0828</v>
      </c>
      <c r="S186" s="348">
        <f>(SUM('工资福利（公务员、参公人员）'!R186:S186)+SUM('工资福利（事业）'!V186:X186,'工资福利（事业）'!AB186))*0.12</f>
        <v>1.656</v>
      </c>
      <c r="T186" s="348"/>
      <c r="U186" s="348">
        <f t="shared" si="53"/>
        <v>64.0064</v>
      </c>
      <c r="V186" s="348">
        <f t="shared" si="54"/>
        <v>23.928</v>
      </c>
      <c r="W186" s="348">
        <f t="shared" si="55"/>
        <v>11.964</v>
      </c>
      <c r="X186" s="348">
        <f t="shared" si="56"/>
        <v>8.978</v>
      </c>
      <c r="Y186" s="348">
        <f t="shared" si="57"/>
        <v>0.2976</v>
      </c>
      <c r="Z186" s="348">
        <f t="shared" si="58"/>
        <v>0.8928</v>
      </c>
      <c r="AA186" s="348">
        <f t="shared" si="59"/>
        <v>17.946</v>
      </c>
      <c r="AB186" s="348">
        <f t="shared" si="60"/>
        <v>0</v>
      </c>
      <c r="AC186" s="350"/>
    </row>
    <row r="187" s="311" customFormat="1" ht="21" customHeight="1" spans="1:29">
      <c r="A187" s="328"/>
      <c r="B187" s="329" t="s">
        <v>745</v>
      </c>
      <c r="C187" s="329" t="s">
        <v>133</v>
      </c>
      <c r="D187" s="329">
        <v>204</v>
      </c>
      <c r="E187" s="358">
        <f t="shared" ref="E187:L187" si="61">SUM(E188:E197)</f>
        <v>1505.26</v>
      </c>
      <c r="F187" s="358">
        <f t="shared" si="61"/>
        <v>577.75</v>
      </c>
      <c r="G187" s="358">
        <f t="shared" si="61"/>
        <v>276.73</v>
      </c>
      <c r="H187" s="358">
        <f t="shared" si="61"/>
        <v>207.55</v>
      </c>
      <c r="I187" s="358">
        <f t="shared" si="61"/>
        <v>7.39</v>
      </c>
      <c r="J187" s="358">
        <f t="shared" si="61"/>
        <v>20.75</v>
      </c>
      <c r="K187" s="358">
        <f t="shared" si="61"/>
        <v>415.09</v>
      </c>
      <c r="L187" s="358">
        <f t="shared" si="61"/>
        <v>0</v>
      </c>
      <c r="M187" s="358">
        <f t="shared" ref="M187:AB187" si="62">SUM(M188:M197)</f>
        <v>106.25024</v>
      </c>
      <c r="N187" s="358">
        <f t="shared" si="62"/>
        <v>40.5152</v>
      </c>
      <c r="O187" s="358">
        <f t="shared" si="62"/>
        <v>19.6224</v>
      </c>
      <c r="P187" s="358">
        <f t="shared" si="62"/>
        <v>14.7168</v>
      </c>
      <c r="Q187" s="358">
        <f t="shared" si="62"/>
        <v>0.49056</v>
      </c>
      <c r="R187" s="358">
        <f t="shared" si="62"/>
        <v>1.47168</v>
      </c>
      <c r="S187" s="358">
        <f t="shared" si="62"/>
        <v>29.4336</v>
      </c>
      <c r="T187" s="358">
        <f t="shared" si="62"/>
        <v>0</v>
      </c>
      <c r="U187" s="358">
        <f t="shared" si="62"/>
        <v>1611.51024</v>
      </c>
      <c r="V187" s="358">
        <f t="shared" si="62"/>
        <v>618.2652</v>
      </c>
      <c r="W187" s="358">
        <f t="shared" si="62"/>
        <v>296.3524</v>
      </c>
      <c r="X187" s="358">
        <f t="shared" si="62"/>
        <v>222.2668</v>
      </c>
      <c r="Y187" s="358">
        <f t="shared" si="62"/>
        <v>7.88056</v>
      </c>
      <c r="Z187" s="358">
        <f t="shared" si="62"/>
        <v>22.22168</v>
      </c>
      <c r="AA187" s="358">
        <f t="shared" si="62"/>
        <v>444.5236</v>
      </c>
      <c r="AB187" s="358">
        <f t="shared" si="62"/>
        <v>0</v>
      </c>
      <c r="AC187" s="362"/>
    </row>
    <row r="188" ht="24" spans="1:29">
      <c r="A188" s="284" t="s">
        <v>195</v>
      </c>
      <c r="B188" s="284" t="s">
        <v>196</v>
      </c>
      <c r="C188" s="284" t="s">
        <v>421</v>
      </c>
      <c r="D188" s="284" t="s">
        <v>422</v>
      </c>
      <c r="E188" s="348">
        <f t="shared" ref="E188:E197" si="63">SUM(F188:L188)</f>
        <v>1159.12</v>
      </c>
      <c r="F188" s="348">
        <v>445.67</v>
      </c>
      <c r="G188" s="348">
        <v>212.97</v>
      </c>
      <c r="H188" s="348">
        <v>159.73</v>
      </c>
      <c r="I188" s="348">
        <v>5.32</v>
      </c>
      <c r="J188" s="348">
        <v>15.97</v>
      </c>
      <c r="K188" s="348">
        <v>319.46</v>
      </c>
      <c r="L188" s="348"/>
      <c r="M188" s="348">
        <f t="shared" ref="M188:M197" si="64">SUM(N188:T188)</f>
        <v>88.63848</v>
      </c>
      <c r="N188" s="348">
        <f>(SUM('工资福利（公务员、参公人员）'!R188:T188)+SUM('工资福利（事业）'!V188:X188,'工资福利（事业）'!AB188))*0.16</f>
        <v>33.736</v>
      </c>
      <c r="O188" s="348">
        <f>(SUM('工资福利（公务员、参公人员）'!R188:S188)+SUM('工资福利（事业）'!V188:X188,'工资福利（事业）'!AB188))*0.08</f>
        <v>16.3888</v>
      </c>
      <c r="P188" s="348">
        <f>(SUM('工资福利（公务员、参公人员）'!R188:S188)+SUM('工资福利（事业）'!V188:X188,'工资福利（事业）'!AB188))*0.06</f>
        <v>12.2916</v>
      </c>
      <c r="Q188" s="348">
        <f>(SUM('工资福利（公务员、参公人员）'!R188:S188)+SUM('工资福利（事业）'!V188:X188,'工资福利（事业）'!AB188))*0.002</f>
        <v>0.40972</v>
      </c>
      <c r="R188" s="348">
        <f>(SUM('工资福利（公务员、参公人员）'!R188:S188)+SUM('工资福利（事业）'!V188:X188,'工资福利（事业）'!AB188))*0.006</f>
        <v>1.22916</v>
      </c>
      <c r="S188" s="348">
        <f>(SUM('工资福利（公务员、参公人员）'!R188:S188)+SUM('工资福利（事业）'!V188:X188,'工资福利（事业）'!AB188))*0.12</f>
        <v>24.5832</v>
      </c>
      <c r="T188" s="348"/>
      <c r="U188" s="348">
        <f t="shared" ref="U188:U197" si="65">SUM(V188:AB188)</f>
        <v>1247.75848</v>
      </c>
      <c r="V188" s="348">
        <f t="shared" ref="V188:AB188" si="66">F188+N188</f>
        <v>479.406</v>
      </c>
      <c r="W188" s="348">
        <f t="shared" si="66"/>
        <v>229.3588</v>
      </c>
      <c r="X188" s="348">
        <f t="shared" si="66"/>
        <v>172.0216</v>
      </c>
      <c r="Y188" s="348">
        <f t="shared" si="66"/>
        <v>5.72972</v>
      </c>
      <c r="Z188" s="348">
        <f t="shared" si="66"/>
        <v>17.19916</v>
      </c>
      <c r="AA188" s="348">
        <f t="shared" si="66"/>
        <v>344.0432</v>
      </c>
      <c r="AB188" s="348">
        <f t="shared" si="66"/>
        <v>0</v>
      </c>
      <c r="AC188" s="350"/>
    </row>
    <row r="189" ht="24" spans="1:29">
      <c r="A189" s="284" t="s">
        <v>195</v>
      </c>
      <c r="B189" s="284" t="s">
        <v>196</v>
      </c>
      <c r="C189" s="284" t="s">
        <v>423</v>
      </c>
      <c r="D189" s="284" t="s">
        <v>422</v>
      </c>
      <c r="E189" s="348">
        <f t="shared" si="63"/>
        <v>103.5</v>
      </c>
      <c r="F189" s="348">
        <v>39.66</v>
      </c>
      <c r="G189" s="348">
        <v>18.91</v>
      </c>
      <c r="H189" s="348">
        <v>14.19</v>
      </c>
      <c r="I189" s="348">
        <v>0.95</v>
      </c>
      <c r="J189" s="348">
        <v>1.42</v>
      </c>
      <c r="K189" s="348">
        <v>28.37</v>
      </c>
      <c r="L189" s="348"/>
      <c r="M189" s="348">
        <f t="shared" si="64"/>
        <v>5.87552</v>
      </c>
      <c r="N189" s="348">
        <f>(SUM('工资福利（公务员、参公人员）'!R189:T189)+SUM('工资福利（事业）'!V189:X189,'工资福利（事业）'!AB189))*0.16</f>
        <v>2.2736</v>
      </c>
      <c r="O189" s="348">
        <f>(SUM('工资福利（公务员、参公人员）'!R189:S189)+SUM('工资福利（事业）'!V189:X189,'工资福利（事业）'!AB189))*0.08</f>
        <v>1.0752</v>
      </c>
      <c r="P189" s="348">
        <f>(SUM('工资福利（公务员、参公人员）'!R189:S189)+SUM('工资福利（事业）'!V189:X189,'工资福利（事业）'!AB189))*0.06</f>
        <v>0.8064</v>
      </c>
      <c r="Q189" s="348">
        <f>(SUM('工资福利（公务员、参公人员）'!R189:S189)+SUM('工资福利（事业）'!V189:X189,'工资福利（事业）'!AB189))*0.002</f>
        <v>0.02688</v>
      </c>
      <c r="R189" s="348">
        <f>(SUM('工资福利（公务员、参公人员）'!R189:S189)+SUM('工资福利（事业）'!V189:X189,'工资福利（事业）'!AB189))*0.006</f>
        <v>0.08064</v>
      </c>
      <c r="S189" s="348">
        <f>(SUM('工资福利（公务员、参公人员）'!R189:S189)+SUM('工资福利（事业）'!V189:X189,'工资福利（事业）'!AB189))*0.12</f>
        <v>1.6128</v>
      </c>
      <c r="T189" s="348"/>
      <c r="U189" s="348">
        <f t="shared" si="65"/>
        <v>109.37552</v>
      </c>
      <c r="V189" s="348">
        <f t="shared" ref="V189:AB189" si="67">F189+N189</f>
        <v>41.9336</v>
      </c>
      <c r="W189" s="348">
        <f t="shared" si="67"/>
        <v>19.9852</v>
      </c>
      <c r="X189" s="348">
        <f t="shared" si="67"/>
        <v>14.9964</v>
      </c>
      <c r="Y189" s="348">
        <f t="shared" si="67"/>
        <v>0.97688</v>
      </c>
      <c r="Z189" s="348">
        <f t="shared" si="67"/>
        <v>1.50064</v>
      </c>
      <c r="AA189" s="348">
        <f t="shared" si="67"/>
        <v>29.9828</v>
      </c>
      <c r="AB189" s="348">
        <f t="shared" si="67"/>
        <v>0</v>
      </c>
      <c r="AC189" s="350"/>
    </row>
    <row r="190" ht="24" spans="1:29">
      <c r="A190" s="284" t="s">
        <v>195</v>
      </c>
      <c r="B190" s="284" t="s">
        <v>196</v>
      </c>
      <c r="C190" s="284" t="s">
        <v>424</v>
      </c>
      <c r="D190" s="284" t="s">
        <v>422</v>
      </c>
      <c r="E190" s="348">
        <f t="shared" si="63"/>
        <v>0</v>
      </c>
      <c r="F190" s="348"/>
      <c r="G190" s="348"/>
      <c r="H190" s="348"/>
      <c r="I190" s="348"/>
      <c r="J190" s="348"/>
      <c r="K190" s="348"/>
      <c r="L190" s="348"/>
      <c r="M190" s="348">
        <f t="shared" si="64"/>
        <v>0</v>
      </c>
      <c r="N190" s="348">
        <f>(SUM('工资福利（公务员、参公人员）'!R190:T190)+SUM('工资福利（事业）'!V190:X190,'工资福利（事业）'!AB190))*0.16</f>
        <v>0</v>
      </c>
      <c r="O190" s="348">
        <f>(SUM('工资福利（公务员、参公人员）'!R190:S190)+SUM('工资福利（事业）'!V190:X190,'工资福利（事业）'!AB190))*0.08</f>
        <v>0</v>
      </c>
      <c r="P190" s="348">
        <f>(SUM('工资福利（公务员、参公人员）'!R190:S190)+SUM('工资福利（事业）'!V190:X190,'工资福利（事业）'!AB190))*0.06</f>
        <v>0</v>
      </c>
      <c r="Q190" s="348">
        <f>(SUM('工资福利（公务员、参公人员）'!R190:S190)+SUM('工资福利（事业）'!V190:X190,'工资福利（事业）'!AB190))*0.002</f>
        <v>0</v>
      </c>
      <c r="R190" s="348">
        <f>(SUM('工资福利（公务员、参公人员）'!R190:S190)+SUM('工资福利（事业）'!V190:X190,'工资福利（事业）'!AB190))*0.006</f>
        <v>0</v>
      </c>
      <c r="S190" s="348">
        <f>(SUM('工资福利（公务员、参公人员）'!R190:S190)+SUM('工资福利（事业）'!V190:X190,'工资福利（事业）'!AB190))*0.12</f>
        <v>0</v>
      </c>
      <c r="T190" s="348"/>
      <c r="U190" s="348">
        <f t="shared" si="65"/>
        <v>0</v>
      </c>
      <c r="V190" s="348">
        <f t="shared" ref="V190:AB190" si="68">F190+N190</f>
        <v>0</v>
      </c>
      <c r="W190" s="348">
        <f t="shared" si="68"/>
        <v>0</v>
      </c>
      <c r="X190" s="348">
        <f t="shared" si="68"/>
        <v>0</v>
      </c>
      <c r="Y190" s="348">
        <f t="shared" si="68"/>
        <v>0</v>
      </c>
      <c r="Z190" s="348">
        <f t="shared" si="68"/>
        <v>0</v>
      </c>
      <c r="AA190" s="348">
        <f t="shared" si="68"/>
        <v>0</v>
      </c>
      <c r="AB190" s="348">
        <f t="shared" si="68"/>
        <v>0</v>
      </c>
      <c r="AC190" s="350"/>
    </row>
    <row r="191" ht="24" spans="1:29">
      <c r="A191" s="284" t="s">
        <v>195</v>
      </c>
      <c r="B191" s="284" t="s">
        <v>199</v>
      </c>
      <c r="C191" s="284" t="s">
        <v>425</v>
      </c>
      <c r="D191" s="284" t="s">
        <v>426</v>
      </c>
      <c r="E191" s="348">
        <f t="shared" si="63"/>
        <v>75.33</v>
      </c>
      <c r="F191" s="348">
        <v>28.16</v>
      </c>
      <c r="G191" s="348">
        <v>14.08</v>
      </c>
      <c r="H191" s="348">
        <v>10.56</v>
      </c>
      <c r="I191" s="348">
        <v>0.35</v>
      </c>
      <c r="J191" s="348">
        <v>1.06</v>
      </c>
      <c r="K191" s="348">
        <v>21.12</v>
      </c>
      <c r="L191" s="348"/>
      <c r="M191" s="348">
        <f t="shared" si="64"/>
        <v>-2.48668</v>
      </c>
      <c r="N191" s="348">
        <f>(SUM('工资福利（公务员、参公人员）'!R191:T191)+SUM('工资福利（事业）'!V191:X191,'工资福利（事业）'!AB191))*0.16</f>
        <v>-0.9296</v>
      </c>
      <c r="O191" s="348">
        <f>(SUM('工资福利（公务员、参公人员）'!R191:S191)+SUM('工资福利（事业）'!V191:X191,'工资福利（事业）'!AB191))*0.08</f>
        <v>-0.4648</v>
      </c>
      <c r="P191" s="348">
        <f>(SUM('工资福利（公务员、参公人员）'!R191:S191)+SUM('工资福利（事业）'!V191:X191,'工资福利（事业）'!AB191))*0.06</f>
        <v>-0.3486</v>
      </c>
      <c r="Q191" s="348">
        <f>(SUM('工资福利（公务员、参公人员）'!R191:S191)+SUM('工资福利（事业）'!V191:X191,'工资福利（事业）'!AB191))*0.002</f>
        <v>-0.01162</v>
      </c>
      <c r="R191" s="348">
        <f>(SUM('工资福利（公务员、参公人员）'!R191:S191)+SUM('工资福利（事业）'!V191:X191,'工资福利（事业）'!AB191))*0.006</f>
        <v>-0.03486</v>
      </c>
      <c r="S191" s="348">
        <f>(SUM('工资福利（公务员、参公人员）'!R191:S191)+SUM('工资福利（事业）'!V191:X191,'工资福利（事业）'!AB191))*0.12</f>
        <v>-0.6972</v>
      </c>
      <c r="T191" s="348"/>
      <c r="U191" s="348">
        <f t="shared" si="65"/>
        <v>72.84332</v>
      </c>
      <c r="V191" s="348">
        <f t="shared" ref="V191:AB191" si="69">F191+N191</f>
        <v>27.2304</v>
      </c>
      <c r="W191" s="348">
        <f t="shared" si="69"/>
        <v>13.6152</v>
      </c>
      <c r="X191" s="348">
        <f t="shared" si="69"/>
        <v>10.2114</v>
      </c>
      <c r="Y191" s="348">
        <f t="shared" si="69"/>
        <v>0.33838</v>
      </c>
      <c r="Z191" s="348">
        <f t="shared" si="69"/>
        <v>1.02514</v>
      </c>
      <c r="AA191" s="348">
        <f t="shared" si="69"/>
        <v>20.4228</v>
      </c>
      <c r="AB191" s="348">
        <f t="shared" si="69"/>
        <v>0</v>
      </c>
      <c r="AC191" s="350"/>
    </row>
    <row r="192" ht="24" spans="1:29">
      <c r="A192" s="284" t="s">
        <v>195</v>
      </c>
      <c r="B192" s="284" t="s">
        <v>199</v>
      </c>
      <c r="C192" s="284" t="s">
        <v>786</v>
      </c>
      <c r="D192" s="284" t="s">
        <v>426</v>
      </c>
      <c r="E192" s="348">
        <f t="shared" si="63"/>
        <v>0</v>
      </c>
      <c r="F192" s="348"/>
      <c r="G192" s="348"/>
      <c r="H192" s="348"/>
      <c r="I192" s="348"/>
      <c r="J192" s="348"/>
      <c r="K192" s="348"/>
      <c r="L192" s="348"/>
      <c r="M192" s="348">
        <f t="shared" si="64"/>
        <v>8.35884</v>
      </c>
      <c r="N192" s="348">
        <f>(SUM('工资福利（公务员、参公人员）'!R192:T192)+SUM('工资福利（事业）'!V192:X192,'工资福利（事业）'!AB192))*0.16</f>
        <v>3.1248</v>
      </c>
      <c r="O192" s="348">
        <f>(SUM('工资福利（公务员、参公人员）'!R192:S192)+SUM('工资福利（事业）'!V192:X192,'工资福利（事业）'!AB192))*0.08</f>
        <v>1.5624</v>
      </c>
      <c r="P192" s="348">
        <f>(SUM('工资福利（公务员、参公人员）'!R192:S192)+SUM('工资福利（事业）'!V192:X192,'工资福利（事业）'!AB192))*0.06</f>
        <v>1.1718</v>
      </c>
      <c r="Q192" s="348">
        <f>(SUM('工资福利（公务员、参公人员）'!R192:S192)+SUM('工资福利（事业）'!V192:X192,'工资福利（事业）'!AB192))*0.002</f>
        <v>0.03906</v>
      </c>
      <c r="R192" s="348">
        <f>(SUM('工资福利（公务员、参公人员）'!R192:S192)+SUM('工资福利（事业）'!V192:X192,'工资福利（事业）'!AB192))*0.006</f>
        <v>0.11718</v>
      </c>
      <c r="S192" s="348">
        <f>(SUM('工资福利（公务员、参公人员）'!R192:S192)+SUM('工资福利（事业）'!V192:X192,'工资福利（事业）'!AB192))*0.12</f>
        <v>2.3436</v>
      </c>
      <c r="T192" s="348"/>
      <c r="U192" s="348">
        <f t="shared" si="65"/>
        <v>8.35884</v>
      </c>
      <c r="V192" s="348">
        <f t="shared" ref="V192:AB192" si="70">F192+N192</f>
        <v>3.1248</v>
      </c>
      <c r="W192" s="348">
        <f t="shared" si="70"/>
        <v>1.5624</v>
      </c>
      <c r="X192" s="348">
        <f t="shared" si="70"/>
        <v>1.1718</v>
      </c>
      <c r="Y192" s="348">
        <f t="shared" si="70"/>
        <v>0.03906</v>
      </c>
      <c r="Z192" s="348">
        <f t="shared" si="70"/>
        <v>0.11718</v>
      </c>
      <c r="AA192" s="348">
        <f t="shared" si="70"/>
        <v>2.3436</v>
      </c>
      <c r="AB192" s="348">
        <f t="shared" si="70"/>
        <v>0</v>
      </c>
      <c r="AC192" s="350"/>
    </row>
    <row r="193" ht="24" spans="1:29">
      <c r="A193" s="284" t="s">
        <v>195</v>
      </c>
      <c r="B193" s="284" t="s">
        <v>196</v>
      </c>
      <c r="C193" s="284" t="s">
        <v>427</v>
      </c>
      <c r="D193" s="284" t="s">
        <v>428</v>
      </c>
      <c r="E193" s="348">
        <f t="shared" si="63"/>
        <v>136.69</v>
      </c>
      <c r="F193" s="348">
        <v>52.62</v>
      </c>
      <c r="G193" s="348">
        <v>25.1</v>
      </c>
      <c r="H193" s="348">
        <v>18.82</v>
      </c>
      <c r="I193" s="348">
        <v>0.63</v>
      </c>
      <c r="J193" s="348">
        <v>1.88</v>
      </c>
      <c r="K193" s="348">
        <v>37.64</v>
      </c>
      <c r="L193" s="348"/>
      <c r="M193" s="348">
        <f t="shared" si="64"/>
        <v>1.6868</v>
      </c>
      <c r="N193" s="348">
        <f>(SUM('工资福利（公务员、参公人员）'!R193:T193)+SUM('工资福利（事业）'!V193:X193,'工资福利（事业）'!AB193))*0.16</f>
        <v>0.7488</v>
      </c>
      <c r="O193" s="348">
        <f>(SUM('工资福利（公务员、参公人员）'!R193:S193)+SUM('工资福利（事业）'!V193:X193,'工资福利（事业）'!AB193))*0.08</f>
        <v>0.28</v>
      </c>
      <c r="P193" s="348">
        <f>(SUM('工资福利（公务员、参公人员）'!R193:S193)+SUM('工资福利（事业）'!V193:X193,'工资福利（事业）'!AB193))*0.06</f>
        <v>0.21</v>
      </c>
      <c r="Q193" s="348">
        <f>(SUM('工资福利（公务员、参公人员）'!R193:S193)+SUM('工资福利（事业）'!V193:X193,'工资福利（事业）'!AB193))*0.002</f>
        <v>0.007</v>
      </c>
      <c r="R193" s="348">
        <f>(SUM('工资福利（公务员、参公人员）'!R193:S193)+SUM('工资福利（事业）'!V193:X193,'工资福利（事业）'!AB193))*0.006</f>
        <v>0.021</v>
      </c>
      <c r="S193" s="348">
        <f>(SUM('工资福利（公务员、参公人员）'!R193:S193)+SUM('工资福利（事业）'!V193:X193,'工资福利（事业）'!AB193))*0.12</f>
        <v>0.42</v>
      </c>
      <c r="T193" s="348"/>
      <c r="U193" s="348">
        <f t="shared" si="65"/>
        <v>138.3768</v>
      </c>
      <c r="V193" s="348">
        <f t="shared" ref="V193:AB193" si="71">F193+N193</f>
        <v>53.3688</v>
      </c>
      <c r="W193" s="348">
        <f t="shared" si="71"/>
        <v>25.38</v>
      </c>
      <c r="X193" s="348">
        <f t="shared" si="71"/>
        <v>19.03</v>
      </c>
      <c r="Y193" s="348">
        <f t="shared" si="71"/>
        <v>0.637</v>
      </c>
      <c r="Z193" s="348">
        <f t="shared" si="71"/>
        <v>1.901</v>
      </c>
      <c r="AA193" s="348">
        <f t="shared" si="71"/>
        <v>38.06</v>
      </c>
      <c r="AB193" s="348">
        <f t="shared" si="71"/>
        <v>0</v>
      </c>
      <c r="AC193" s="350"/>
    </row>
    <row r="194" ht="24" spans="1:29">
      <c r="A194" s="284" t="s">
        <v>195</v>
      </c>
      <c r="B194" s="284" t="s">
        <v>366</v>
      </c>
      <c r="C194" s="284" t="s">
        <v>429</v>
      </c>
      <c r="D194" s="284" t="s">
        <v>430</v>
      </c>
      <c r="E194" s="348">
        <f t="shared" si="63"/>
        <v>0</v>
      </c>
      <c r="F194" s="348"/>
      <c r="G194" s="348"/>
      <c r="H194" s="348"/>
      <c r="I194" s="348"/>
      <c r="J194" s="348"/>
      <c r="K194" s="348"/>
      <c r="L194" s="348"/>
      <c r="M194" s="348">
        <f t="shared" si="64"/>
        <v>1.11708</v>
      </c>
      <c r="N194" s="348">
        <f>(SUM('工资福利（公务员、参公人员）'!R194:T194)+SUM('工资福利（事业）'!V194:X194,'工资福利（事业）'!AB194))*0.16</f>
        <v>0.4176</v>
      </c>
      <c r="O194" s="348">
        <f>(SUM('工资福利（公务员、参公人员）'!R194:S194)+SUM('工资福利（事业）'!V194:X194,'工资福利（事业）'!AB194))*0.08</f>
        <v>0.2088</v>
      </c>
      <c r="P194" s="348">
        <f>(SUM('工资福利（公务员、参公人员）'!R194:S194)+SUM('工资福利（事业）'!V194:X194,'工资福利（事业）'!AB194))*0.06</f>
        <v>0.1566</v>
      </c>
      <c r="Q194" s="348">
        <f>(SUM('工资福利（公务员、参公人员）'!R194:S194)+SUM('工资福利（事业）'!V194:X194,'工资福利（事业）'!AB194))*0.002</f>
        <v>0.00522</v>
      </c>
      <c r="R194" s="348">
        <f>(SUM('工资福利（公务员、参公人员）'!R194:S194)+SUM('工资福利（事业）'!V194:X194,'工资福利（事业）'!AB194))*0.006</f>
        <v>0.01566</v>
      </c>
      <c r="S194" s="348">
        <f>(SUM('工资福利（公务员、参公人员）'!R194:S194)+SUM('工资福利（事业）'!V194:X194,'工资福利（事业）'!AB194))*0.12</f>
        <v>0.3132</v>
      </c>
      <c r="T194" s="348"/>
      <c r="U194" s="348">
        <f t="shared" si="65"/>
        <v>1.11708</v>
      </c>
      <c r="V194" s="348">
        <f t="shared" ref="V194:AB194" si="72">F194+N194</f>
        <v>0.4176</v>
      </c>
      <c r="W194" s="348">
        <f t="shared" si="72"/>
        <v>0.2088</v>
      </c>
      <c r="X194" s="348">
        <f t="shared" si="72"/>
        <v>0.1566</v>
      </c>
      <c r="Y194" s="348">
        <f t="shared" si="72"/>
        <v>0.00522</v>
      </c>
      <c r="Z194" s="348">
        <f t="shared" si="72"/>
        <v>0.01566</v>
      </c>
      <c r="AA194" s="348">
        <f t="shared" si="72"/>
        <v>0.3132</v>
      </c>
      <c r="AB194" s="348">
        <f t="shared" si="72"/>
        <v>0</v>
      </c>
      <c r="AC194" s="350"/>
    </row>
    <row r="195" ht="24" spans="1:29">
      <c r="A195" s="284" t="s">
        <v>195</v>
      </c>
      <c r="B195" s="284" t="s">
        <v>199</v>
      </c>
      <c r="C195" s="284" t="s">
        <v>431</v>
      </c>
      <c r="D195" s="284" t="s">
        <v>430</v>
      </c>
      <c r="E195" s="348">
        <f t="shared" si="63"/>
        <v>10.32</v>
      </c>
      <c r="F195" s="348">
        <v>3.86</v>
      </c>
      <c r="G195" s="348">
        <v>1.93</v>
      </c>
      <c r="H195" s="348">
        <v>1.45</v>
      </c>
      <c r="I195" s="348">
        <v>0.05</v>
      </c>
      <c r="J195" s="348">
        <v>0.14</v>
      </c>
      <c r="K195" s="348">
        <v>2.89</v>
      </c>
      <c r="L195" s="348"/>
      <c r="M195" s="348">
        <f t="shared" si="64"/>
        <v>1.97308</v>
      </c>
      <c r="N195" s="348">
        <f>(SUM('工资福利（公务员、参公人员）'!R195:T195)+SUM('工资福利（事业）'!V195:X195,'工资福利（事业）'!AB195))*0.16</f>
        <v>0.7376</v>
      </c>
      <c r="O195" s="348">
        <f>(SUM('工资福利（公务员、参公人员）'!R195:S195)+SUM('工资福利（事业）'!V195:X195,'工资福利（事业）'!AB195))*0.08</f>
        <v>0.3688</v>
      </c>
      <c r="P195" s="348">
        <f>(SUM('工资福利（公务员、参公人员）'!R195:S195)+SUM('工资福利（事业）'!V195:X195,'工资福利（事业）'!AB195))*0.06</f>
        <v>0.2766</v>
      </c>
      <c r="Q195" s="348">
        <f>(SUM('工资福利（公务员、参公人员）'!R195:S195)+SUM('工资福利（事业）'!V195:X195,'工资福利（事业）'!AB195))*0.002</f>
        <v>0.00922</v>
      </c>
      <c r="R195" s="348">
        <f>(SUM('工资福利（公务员、参公人员）'!R195:S195)+SUM('工资福利（事业）'!V195:X195,'工资福利（事业）'!AB195))*0.006</f>
        <v>0.02766</v>
      </c>
      <c r="S195" s="348">
        <f>(SUM('工资福利（公务员、参公人员）'!R195:S195)+SUM('工资福利（事业）'!V195:X195,'工资福利（事业）'!AB195))*0.12</f>
        <v>0.5532</v>
      </c>
      <c r="T195" s="348"/>
      <c r="U195" s="348">
        <f t="shared" si="65"/>
        <v>12.29308</v>
      </c>
      <c r="V195" s="348">
        <f t="shared" ref="V195:AB195" si="73">F195+N195</f>
        <v>4.5976</v>
      </c>
      <c r="W195" s="348">
        <f t="shared" si="73"/>
        <v>2.2988</v>
      </c>
      <c r="X195" s="348">
        <f t="shared" si="73"/>
        <v>1.7266</v>
      </c>
      <c r="Y195" s="348">
        <f t="shared" si="73"/>
        <v>0.05922</v>
      </c>
      <c r="Z195" s="348">
        <f t="shared" si="73"/>
        <v>0.16766</v>
      </c>
      <c r="AA195" s="348">
        <f t="shared" si="73"/>
        <v>3.4432</v>
      </c>
      <c r="AB195" s="348">
        <f t="shared" si="73"/>
        <v>0</v>
      </c>
      <c r="AC195" s="350"/>
    </row>
    <row r="196" ht="24" spans="1:29">
      <c r="A196" s="284" t="s">
        <v>195</v>
      </c>
      <c r="B196" s="284" t="s">
        <v>199</v>
      </c>
      <c r="C196" s="284" t="s">
        <v>432</v>
      </c>
      <c r="D196" s="284" t="s">
        <v>430</v>
      </c>
      <c r="E196" s="348">
        <f t="shared" si="63"/>
        <v>4.09</v>
      </c>
      <c r="F196" s="348">
        <v>1.53</v>
      </c>
      <c r="G196" s="348">
        <v>0.76</v>
      </c>
      <c r="H196" s="348">
        <v>0.57</v>
      </c>
      <c r="I196" s="348">
        <v>0.02</v>
      </c>
      <c r="J196" s="348">
        <v>0.06</v>
      </c>
      <c r="K196" s="348">
        <v>1.15</v>
      </c>
      <c r="L196" s="348"/>
      <c r="M196" s="348">
        <f t="shared" si="64"/>
        <v>0</v>
      </c>
      <c r="N196" s="348">
        <f>(SUM('工资福利（公务员、参公人员）'!R196:T196)+SUM('工资福利（事业）'!V196:X196,'工资福利（事业）'!AB196))*0.16</f>
        <v>0</v>
      </c>
      <c r="O196" s="348">
        <f>(SUM('工资福利（公务员、参公人员）'!R196:S196)+SUM('工资福利（事业）'!V196:X196,'工资福利（事业）'!AB196))*0.08</f>
        <v>0</v>
      </c>
      <c r="P196" s="348">
        <f>(SUM('工资福利（公务员、参公人员）'!R196:S196)+SUM('工资福利（事业）'!V196:X196,'工资福利（事业）'!AB196))*0.06</f>
        <v>0</v>
      </c>
      <c r="Q196" s="348">
        <f>(SUM('工资福利（公务员、参公人员）'!R196:S196)+SUM('工资福利（事业）'!V196:X196,'工资福利（事业）'!AB196))*0.002</f>
        <v>0</v>
      </c>
      <c r="R196" s="348">
        <f>(SUM('工资福利（公务员、参公人员）'!R196:S196)+SUM('工资福利（事业）'!V196:X196,'工资福利（事业）'!AB196))*0.006</f>
        <v>0</v>
      </c>
      <c r="S196" s="348">
        <f>(SUM('工资福利（公务员、参公人员）'!R196:S196)+SUM('工资福利（事业）'!V196:X196,'工资福利（事业）'!AB196))*0.12</f>
        <v>0</v>
      </c>
      <c r="T196" s="348"/>
      <c r="U196" s="348">
        <f t="shared" si="65"/>
        <v>4.09</v>
      </c>
      <c r="V196" s="348">
        <f t="shared" ref="V196:AB196" si="74">F196+N196</f>
        <v>1.53</v>
      </c>
      <c r="W196" s="348">
        <f t="shared" si="74"/>
        <v>0.76</v>
      </c>
      <c r="X196" s="348">
        <f t="shared" si="74"/>
        <v>0.57</v>
      </c>
      <c r="Y196" s="348">
        <f t="shared" si="74"/>
        <v>0.02</v>
      </c>
      <c r="Z196" s="348">
        <f t="shared" si="74"/>
        <v>0.06</v>
      </c>
      <c r="AA196" s="348">
        <f t="shared" si="74"/>
        <v>1.15</v>
      </c>
      <c r="AB196" s="348">
        <f t="shared" si="74"/>
        <v>0</v>
      </c>
      <c r="AC196" s="350"/>
    </row>
    <row r="197" ht="36" spans="1:29">
      <c r="A197" s="284" t="s">
        <v>195</v>
      </c>
      <c r="B197" s="284" t="s">
        <v>196</v>
      </c>
      <c r="C197" s="284" t="s">
        <v>433</v>
      </c>
      <c r="D197" s="284" t="s">
        <v>434</v>
      </c>
      <c r="E197" s="348">
        <f t="shared" si="63"/>
        <v>16.21</v>
      </c>
      <c r="F197" s="348">
        <v>6.25</v>
      </c>
      <c r="G197" s="348">
        <v>2.98</v>
      </c>
      <c r="H197" s="348">
        <v>2.23</v>
      </c>
      <c r="I197" s="348">
        <v>0.07</v>
      </c>
      <c r="J197" s="348">
        <v>0.22</v>
      </c>
      <c r="K197" s="348">
        <v>4.46</v>
      </c>
      <c r="L197" s="348"/>
      <c r="M197" s="348">
        <f t="shared" si="64"/>
        <v>1.08712</v>
      </c>
      <c r="N197" s="348">
        <f>(SUM('工资福利（公务员、参公人员）'!R197:T197)+SUM('工资福利（事业）'!V197:X197,'工资福利（事业）'!AB197))*0.16</f>
        <v>0.4064</v>
      </c>
      <c r="O197" s="348">
        <f>(SUM('工资福利（公务员、参公人员）'!R197:S197)+SUM('工资福利（事业）'!V197:X197,'工资福利（事业）'!AB197))*0.08</f>
        <v>0.2032</v>
      </c>
      <c r="P197" s="348">
        <f>(SUM('工资福利（公务员、参公人员）'!R197:S197)+SUM('工资福利（事业）'!V197:X197,'工资福利（事业）'!AB197))*0.06</f>
        <v>0.1524</v>
      </c>
      <c r="Q197" s="348">
        <f>(SUM('工资福利（公务员、参公人员）'!R197:S197)+SUM('工资福利（事业）'!V197:X197,'工资福利（事业）'!AB197))*0.002</f>
        <v>0.00508</v>
      </c>
      <c r="R197" s="348">
        <f>(SUM('工资福利（公务员、参公人员）'!R197:S197)+SUM('工资福利（事业）'!V197:X197,'工资福利（事业）'!AB197))*0.006</f>
        <v>0.01524</v>
      </c>
      <c r="S197" s="348">
        <f>(SUM('工资福利（公务员、参公人员）'!R197:S197)+SUM('工资福利（事业）'!V197:X197,'工资福利（事业）'!AB197))*0.12</f>
        <v>0.3048</v>
      </c>
      <c r="T197" s="348"/>
      <c r="U197" s="348">
        <f t="shared" si="65"/>
        <v>17.29712</v>
      </c>
      <c r="V197" s="348">
        <f t="shared" ref="V197:AB197" si="75">F197+N197</f>
        <v>6.6564</v>
      </c>
      <c r="W197" s="348">
        <f t="shared" si="75"/>
        <v>3.1832</v>
      </c>
      <c r="X197" s="348">
        <f t="shared" si="75"/>
        <v>2.3824</v>
      </c>
      <c r="Y197" s="348">
        <f t="shared" si="75"/>
        <v>0.07508</v>
      </c>
      <c r="Z197" s="348">
        <f t="shared" si="75"/>
        <v>0.23524</v>
      </c>
      <c r="AA197" s="348">
        <f t="shared" si="75"/>
        <v>4.7648</v>
      </c>
      <c r="AB197" s="348">
        <f t="shared" si="75"/>
        <v>0</v>
      </c>
      <c r="AC197" s="350"/>
    </row>
    <row r="198" s="311" customFormat="1" ht="21" customHeight="1" spans="1:29">
      <c r="A198" s="328"/>
      <c r="B198" s="329" t="s">
        <v>746</v>
      </c>
      <c r="C198" s="329" t="s">
        <v>134</v>
      </c>
      <c r="D198" s="329">
        <v>205</v>
      </c>
      <c r="E198" s="358">
        <f t="shared" ref="E198:L198" si="76">SUM(E199:E258)</f>
        <v>12557.17</v>
      </c>
      <c r="F198" s="358">
        <f t="shared" si="76"/>
        <v>4676.74</v>
      </c>
      <c r="G198" s="358">
        <f t="shared" si="76"/>
        <v>2335.34</v>
      </c>
      <c r="H198" s="358">
        <f t="shared" si="76"/>
        <v>1751.5</v>
      </c>
      <c r="I198" s="358">
        <f t="shared" si="76"/>
        <v>115.47</v>
      </c>
      <c r="J198" s="358">
        <f t="shared" si="76"/>
        <v>175.18</v>
      </c>
      <c r="K198" s="358">
        <f t="shared" si="76"/>
        <v>3502.94</v>
      </c>
      <c r="L198" s="358">
        <f t="shared" si="76"/>
        <v>0</v>
      </c>
      <c r="M198" s="358">
        <f t="shared" ref="M198:AB198" si="77">SUM(M199:M258)</f>
        <v>939.8326</v>
      </c>
      <c r="N198" s="358">
        <f t="shared" si="77"/>
        <v>349.7552</v>
      </c>
      <c r="O198" s="358">
        <f t="shared" si="77"/>
        <v>174.8696</v>
      </c>
      <c r="P198" s="358">
        <f t="shared" si="77"/>
        <v>131.1522</v>
      </c>
      <c r="Q198" s="358">
        <f t="shared" si="77"/>
        <v>8.63598</v>
      </c>
      <c r="R198" s="358">
        <f t="shared" si="77"/>
        <v>13.11522</v>
      </c>
      <c r="S198" s="358">
        <f t="shared" si="77"/>
        <v>262.3044</v>
      </c>
      <c r="T198" s="358">
        <f t="shared" si="77"/>
        <v>0</v>
      </c>
      <c r="U198" s="358">
        <f t="shared" si="77"/>
        <v>13497.0026</v>
      </c>
      <c r="V198" s="358">
        <f t="shared" si="77"/>
        <v>5026.4952</v>
      </c>
      <c r="W198" s="358">
        <f t="shared" si="77"/>
        <v>2510.2096</v>
      </c>
      <c r="X198" s="358">
        <f t="shared" si="77"/>
        <v>1882.6522</v>
      </c>
      <c r="Y198" s="358">
        <f t="shared" si="77"/>
        <v>124.10598</v>
      </c>
      <c r="Z198" s="358">
        <f t="shared" si="77"/>
        <v>188.29522</v>
      </c>
      <c r="AA198" s="358">
        <f t="shared" si="77"/>
        <v>3765.2444</v>
      </c>
      <c r="AB198" s="358">
        <f t="shared" si="77"/>
        <v>0</v>
      </c>
      <c r="AC198" s="362"/>
    </row>
    <row r="199" ht="24" spans="1:29">
      <c r="A199" s="284" t="s">
        <v>195</v>
      </c>
      <c r="B199" s="284" t="s">
        <v>196</v>
      </c>
      <c r="C199" s="284" t="s">
        <v>435</v>
      </c>
      <c r="D199" s="284" t="s">
        <v>436</v>
      </c>
      <c r="E199" s="348">
        <f t="shared" ref="E199:E258" si="78">SUM(F199:L199)</f>
        <v>43.65</v>
      </c>
      <c r="F199" s="348">
        <v>16.82</v>
      </c>
      <c r="G199" s="348">
        <v>8.01</v>
      </c>
      <c r="H199" s="348">
        <v>6.01</v>
      </c>
      <c r="I199" s="348">
        <v>0.2</v>
      </c>
      <c r="J199" s="348">
        <v>0.6</v>
      </c>
      <c r="K199" s="348">
        <v>12.01</v>
      </c>
      <c r="L199" s="348"/>
      <c r="M199" s="348">
        <f t="shared" ref="M199:M258" si="79">SUM(N199:T199)</f>
        <v>-17.74488</v>
      </c>
      <c r="N199" s="348">
        <f>(SUM('工资福利（公务员、参公人员）'!R199:T199)+SUM('工资福利（事业）'!V199:X199,'工资福利（事业）'!AB199))*0.16</f>
        <v>-6.6336</v>
      </c>
      <c r="O199" s="348">
        <f>(SUM('工资福利（公务员、参公人员）'!R199:S199)+SUM('工资福利（事业）'!V199:X199,'工资福利（事业）'!AB199))*0.08</f>
        <v>-3.3168</v>
      </c>
      <c r="P199" s="348">
        <f>(SUM('工资福利（公务员、参公人员）'!R199:S199)+SUM('工资福利（事业）'!V199:X199,'工资福利（事业）'!AB199))*0.06</f>
        <v>-2.4876</v>
      </c>
      <c r="Q199" s="348">
        <f>(SUM('工资福利（公务员、参公人员）'!R199:S199)+SUM('工资福利（事业）'!V199:X199,'工资福利（事业）'!AB199))*0.002</f>
        <v>-0.08292</v>
      </c>
      <c r="R199" s="348">
        <f>(SUM('工资福利（公务员、参公人员）'!R199:S199)+SUM('工资福利（事业）'!V199:X199,'工资福利（事业）'!AB199))*0.006</f>
        <v>-0.24876</v>
      </c>
      <c r="S199" s="348">
        <f>(SUM('工资福利（公务员、参公人员）'!R199:S199)+SUM('工资福利（事业）'!V199:X199,'工资福利（事业）'!AB199))*0.12</f>
        <v>-4.9752</v>
      </c>
      <c r="T199" s="348"/>
      <c r="U199" s="348">
        <f t="shared" ref="U199:U258" si="80">SUM(V199:AB199)</f>
        <v>25.90512</v>
      </c>
      <c r="V199" s="348">
        <f t="shared" ref="V199:V258" si="81">F199+N199</f>
        <v>10.1864</v>
      </c>
      <c r="W199" s="348">
        <f t="shared" ref="W199:W258" si="82">G199+O199</f>
        <v>4.6932</v>
      </c>
      <c r="X199" s="348">
        <f t="shared" ref="X199:X258" si="83">H199+P199</f>
        <v>3.5224</v>
      </c>
      <c r="Y199" s="348">
        <f t="shared" ref="Y199:Y258" si="84">I199+Q199</f>
        <v>0.11708</v>
      </c>
      <c r="Z199" s="348">
        <f t="shared" ref="Z199:Z258" si="85">J199+R199</f>
        <v>0.35124</v>
      </c>
      <c r="AA199" s="348">
        <f t="shared" ref="AA199:AA258" si="86">K199+S199</f>
        <v>7.0348</v>
      </c>
      <c r="AB199" s="348">
        <f t="shared" ref="AB199:AB258" si="87">L199+T199</f>
        <v>0</v>
      </c>
      <c r="AC199" s="363"/>
    </row>
    <row r="200" ht="24" spans="1:29">
      <c r="A200" s="284" t="s">
        <v>195</v>
      </c>
      <c r="B200" s="284" t="s">
        <v>438</v>
      </c>
      <c r="C200" s="284" t="s">
        <v>439</v>
      </c>
      <c r="D200" s="284" t="s">
        <v>440</v>
      </c>
      <c r="E200" s="348">
        <f t="shared" si="78"/>
        <v>931.22</v>
      </c>
      <c r="F200" s="348">
        <v>346.5</v>
      </c>
      <c r="G200" s="348">
        <v>173.25</v>
      </c>
      <c r="H200" s="348">
        <v>129.94</v>
      </c>
      <c r="I200" s="348">
        <v>8.66</v>
      </c>
      <c r="J200" s="348">
        <v>12.99</v>
      </c>
      <c r="K200" s="348">
        <v>259.88</v>
      </c>
      <c r="L200" s="348"/>
      <c r="M200" s="348">
        <f t="shared" si="79"/>
        <v>47.6569</v>
      </c>
      <c r="N200" s="348">
        <f>(SUM('工资福利（公务员、参公人员）'!R200:T200)+SUM('工资福利（事业）'!V200:X200,'工资福利（事业）'!AB200))*0.16</f>
        <v>17.7328</v>
      </c>
      <c r="O200" s="348">
        <f>(SUM('工资福利（公务员、参公人员）'!R200:S200)+SUM('工资福利（事业）'!V200:X200,'工资福利（事业）'!AB200))*0.08</f>
        <v>8.8664</v>
      </c>
      <c r="P200" s="348">
        <f>(SUM('工资福利（公务员、参公人员）'!R200:S200)+SUM('工资福利（事业）'!V200:X200,'工资福利（事业）'!AB200))*0.06</f>
        <v>6.6498</v>
      </c>
      <c r="Q200" s="348">
        <f>(SUM('工资福利（公务员、参公人员）'!R200:S200)+SUM('工资福利（事业）'!V200:X200,'工资福利（事业）'!AB200))*0.004</f>
        <v>0.44332</v>
      </c>
      <c r="R200" s="348">
        <f>(SUM('工资福利（公务员、参公人员）'!R200:S200)+SUM('工资福利（事业）'!V200:X200,'工资福利（事业）'!AB200))*0.006</f>
        <v>0.66498</v>
      </c>
      <c r="S200" s="348">
        <f>(SUM('工资福利（公务员、参公人员）'!R200:S200)+SUM('工资福利（事业）'!V200:X200,'工资福利（事业）'!AB200))*0.12</f>
        <v>13.2996</v>
      </c>
      <c r="T200" s="348"/>
      <c r="U200" s="348">
        <f t="shared" si="80"/>
        <v>978.8769</v>
      </c>
      <c r="V200" s="348">
        <f t="shared" si="81"/>
        <v>364.2328</v>
      </c>
      <c r="W200" s="348">
        <f t="shared" si="82"/>
        <v>182.1164</v>
      </c>
      <c r="X200" s="348">
        <f t="shared" si="83"/>
        <v>136.5898</v>
      </c>
      <c r="Y200" s="348">
        <f t="shared" si="84"/>
        <v>9.10332</v>
      </c>
      <c r="Z200" s="348">
        <f t="shared" si="85"/>
        <v>13.65498</v>
      </c>
      <c r="AA200" s="348">
        <f t="shared" si="86"/>
        <v>273.1796</v>
      </c>
      <c r="AB200" s="348">
        <f t="shared" si="87"/>
        <v>0</v>
      </c>
      <c r="AC200" s="350"/>
    </row>
    <row r="201" ht="24" spans="1:29">
      <c r="A201" s="284" t="s">
        <v>195</v>
      </c>
      <c r="B201" s="284" t="s">
        <v>438</v>
      </c>
      <c r="C201" s="284" t="s">
        <v>441</v>
      </c>
      <c r="D201" s="284" t="s">
        <v>440</v>
      </c>
      <c r="E201" s="348">
        <f t="shared" si="78"/>
        <v>666.93</v>
      </c>
      <c r="F201" s="348">
        <v>248.16</v>
      </c>
      <c r="G201" s="348">
        <v>124.08</v>
      </c>
      <c r="H201" s="348">
        <v>93.06</v>
      </c>
      <c r="I201" s="348">
        <v>6.2</v>
      </c>
      <c r="J201" s="348">
        <v>9.31</v>
      </c>
      <c r="K201" s="348">
        <v>186.12</v>
      </c>
      <c r="L201" s="348"/>
      <c r="M201" s="348">
        <f t="shared" si="79"/>
        <v>46.6292</v>
      </c>
      <c r="N201" s="348">
        <f>(SUM('工资福利（公务员、参公人员）'!R201:T201)+SUM('工资福利（事业）'!V201:X201,'工资福利（事业）'!AB201))*0.16</f>
        <v>17.3504</v>
      </c>
      <c r="O201" s="348">
        <f>(SUM('工资福利（公务员、参公人员）'!R201:S201)+SUM('工资福利（事业）'!V201:X201,'工资福利（事业）'!AB201))*0.08</f>
        <v>8.6752</v>
      </c>
      <c r="P201" s="348">
        <f>(SUM('工资福利（公务员、参公人员）'!R201:S201)+SUM('工资福利（事业）'!V201:X201,'工资福利（事业）'!AB201))*0.06</f>
        <v>6.5064</v>
      </c>
      <c r="Q201" s="348">
        <f>(SUM('工资福利（公务员、参公人员）'!R201:S201)+SUM('工资福利（事业）'!V201:X201,'工资福利（事业）'!AB201))*0.004</f>
        <v>0.43376</v>
      </c>
      <c r="R201" s="348">
        <f>(SUM('工资福利（公务员、参公人员）'!R201:S201)+SUM('工资福利（事业）'!V201:X201,'工资福利（事业）'!AB201))*0.006</f>
        <v>0.65064</v>
      </c>
      <c r="S201" s="348">
        <f>(SUM('工资福利（公务员、参公人员）'!R201:S201)+SUM('工资福利（事业）'!V201:X201,'工资福利（事业）'!AB201))*0.12</f>
        <v>13.0128</v>
      </c>
      <c r="T201" s="348"/>
      <c r="U201" s="348">
        <f t="shared" si="80"/>
        <v>713.5592</v>
      </c>
      <c r="V201" s="348">
        <f t="shared" si="81"/>
        <v>265.5104</v>
      </c>
      <c r="W201" s="348">
        <f t="shared" si="82"/>
        <v>132.7552</v>
      </c>
      <c r="X201" s="348">
        <f t="shared" si="83"/>
        <v>99.5664</v>
      </c>
      <c r="Y201" s="348">
        <f t="shared" si="84"/>
        <v>6.63376</v>
      </c>
      <c r="Z201" s="348">
        <f t="shared" si="85"/>
        <v>9.96064</v>
      </c>
      <c r="AA201" s="348">
        <f t="shared" si="86"/>
        <v>199.1328</v>
      </c>
      <c r="AB201" s="348">
        <f t="shared" si="87"/>
        <v>0</v>
      </c>
      <c r="AC201" s="350"/>
    </row>
    <row r="202" ht="24" spans="1:29">
      <c r="A202" s="284" t="s">
        <v>195</v>
      </c>
      <c r="B202" s="284" t="s">
        <v>442</v>
      </c>
      <c r="C202" s="284" t="s">
        <v>443</v>
      </c>
      <c r="D202" s="284" t="s">
        <v>444</v>
      </c>
      <c r="E202" s="348">
        <f t="shared" si="78"/>
        <v>585.28</v>
      </c>
      <c r="F202" s="348">
        <v>217.78</v>
      </c>
      <c r="G202" s="348">
        <v>108.89</v>
      </c>
      <c r="H202" s="348">
        <v>81.67</v>
      </c>
      <c r="I202" s="348">
        <v>5.44</v>
      </c>
      <c r="J202" s="348">
        <v>8.17</v>
      </c>
      <c r="K202" s="348">
        <v>163.33</v>
      </c>
      <c r="L202" s="348"/>
      <c r="M202" s="348">
        <f t="shared" si="79"/>
        <v>61.0643</v>
      </c>
      <c r="N202" s="348">
        <f>(SUM('工资福利（公务员、参公人员）'!R202:T202)+SUM('工资福利（事业）'!V202:X202,'工资福利（事业）'!AB202))*0.16</f>
        <v>22.7216</v>
      </c>
      <c r="O202" s="348">
        <f>(SUM('工资福利（公务员、参公人员）'!R202:S202)+SUM('工资福利（事业）'!V202:X202,'工资福利（事业）'!AB202))*0.08</f>
        <v>11.3608</v>
      </c>
      <c r="P202" s="348">
        <f>(SUM('工资福利（公务员、参公人员）'!R202:S202)+SUM('工资福利（事业）'!V202:X202,'工资福利（事业）'!AB202))*0.06</f>
        <v>8.5206</v>
      </c>
      <c r="Q202" s="348">
        <f>(SUM('工资福利（公务员、参公人员）'!R202:S202)+SUM('工资福利（事业）'!V202:X202,'工资福利（事业）'!AB202))*0.004</f>
        <v>0.56804</v>
      </c>
      <c r="R202" s="348">
        <f>(SUM('工资福利（公务员、参公人员）'!R202:S202)+SUM('工资福利（事业）'!V202:X202,'工资福利（事业）'!AB202))*0.006</f>
        <v>0.85206</v>
      </c>
      <c r="S202" s="348">
        <f>(SUM('工资福利（公务员、参公人员）'!R202:S202)+SUM('工资福利（事业）'!V202:X202,'工资福利（事业）'!AB202))*0.12</f>
        <v>17.0412</v>
      </c>
      <c r="T202" s="348"/>
      <c r="U202" s="348">
        <f t="shared" si="80"/>
        <v>646.3443</v>
      </c>
      <c r="V202" s="348">
        <f t="shared" si="81"/>
        <v>240.5016</v>
      </c>
      <c r="W202" s="348">
        <f t="shared" si="82"/>
        <v>120.2508</v>
      </c>
      <c r="X202" s="348">
        <f t="shared" si="83"/>
        <v>90.1906</v>
      </c>
      <c r="Y202" s="348">
        <f t="shared" si="84"/>
        <v>6.00804</v>
      </c>
      <c r="Z202" s="348">
        <f t="shared" si="85"/>
        <v>9.02206</v>
      </c>
      <c r="AA202" s="348">
        <f t="shared" si="86"/>
        <v>180.3712</v>
      </c>
      <c r="AB202" s="348">
        <f t="shared" si="87"/>
        <v>0</v>
      </c>
      <c r="AC202" s="350"/>
    </row>
    <row r="203" ht="24" spans="1:29">
      <c r="A203" s="284" t="s">
        <v>195</v>
      </c>
      <c r="B203" s="284" t="s">
        <v>442</v>
      </c>
      <c r="C203" s="284" t="s">
        <v>445</v>
      </c>
      <c r="D203" s="284" t="s">
        <v>444</v>
      </c>
      <c r="E203" s="348">
        <f t="shared" si="78"/>
        <v>345.98</v>
      </c>
      <c r="F203" s="348">
        <v>128.73</v>
      </c>
      <c r="G203" s="348">
        <v>64.37</v>
      </c>
      <c r="H203" s="348">
        <v>48.28</v>
      </c>
      <c r="I203" s="348">
        <v>3.22</v>
      </c>
      <c r="J203" s="348">
        <v>4.83</v>
      </c>
      <c r="K203" s="348">
        <v>96.55</v>
      </c>
      <c r="L203" s="348"/>
      <c r="M203" s="348">
        <f t="shared" si="79"/>
        <v>15.7595</v>
      </c>
      <c r="N203" s="348">
        <f>(SUM('工资福利（公务员、参公人员）'!R203:T203)+SUM('工资福利（事业）'!V203:X203,'工资福利（事业）'!AB203))*0.16</f>
        <v>5.864</v>
      </c>
      <c r="O203" s="348">
        <f>(SUM('工资福利（公务员、参公人员）'!R203:S203)+SUM('工资福利（事业）'!V203:X203,'工资福利（事业）'!AB203))*0.08</f>
        <v>2.932</v>
      </c>
      <c r="P203" s="348">
        <f>(SUM('工资福利（公务员、参公人员）'!R203:S203)+SUM('工资福利（事业）'!V203:X203,'工资福利（事业）'!AB203))*0.06</f>
        <v>2.199</v>
      </c>
      <c r="Q203" s="348">
        <f>(SUM('工资福利（公务员、参公人员）'!R203:S203)+SUM('工资福利（事业）'!V203:X203,'工资福利（事业）'!AB203))*0.004</f>
        <v>0.1466</v>
      </c>
      <c r="R203" s="348">
        <f>(SUM('工资福利（公务员、参公人员）'!R203:S203)+SUM('工资福利（事业）'!V203:X203,'工资福利（事业）'!AB203))*0.006</f>
        <v>0.2199</v>
      </c>
      <c r="S203" s="348">
        <f>(SUM('工资福利（公务员、参公人员）'!R203:S203)+SUM('工资福利（事业）'!V203:X203,'工资福利（事业）'!AB203))*0.12</f>
        <v>4.398</v>
      </c>
      <c r="T203" s="348"/>
      <c r="U203" s="348">
        <f t="shared" si="80"/>
        <v>361.7395</v>
      </c>
      <c r="V203" s="348">
        <f t="shared" si="81"/>
        <v>134.594</v>
      </c>
      <c r="W203" s="348">
        <f t="shared" si="82"/>
        <v>67.302</v>
      </c>
      <c r="X203" s="348">
        <f t="shared" si="83"/>
        <v>50.479</v>
      </c>
      <c r="Y203" s="348">
        <f t="shared" si="84"/>
        <v>3.3666</v>
      </c>
      <c r="Z203" s="348">
        <f t="shared" si="85"/>
        <v>5.0499</v>
      </c>
      <c r="AA203" s="348">
        <f t="shared" si="86"/>
        <v>100.948</v>
      </c>
      <c r="AB203" s="348">
        <f t="shared" si="87"/>
        <v>0</v>
      </c>
      <c r="AC203" s="350"/>
    </row>
    <row r="204" ht="24" spans="1:29">
      <c r="A204" s="284" t="s">
        <v>195</v>
      </c>
      <c r="B204" s="284" t="s">
        <v>199</v>
      </c>
      <c r="C204" s="284" t="s">
        <v>446</v>
      </c>
      <c r="D204" s="284" t="s">
        <v>447</v>
      </c>
      <c r="E204" s="348">
        <f t="shared" si="78"/>
        <v>178.55</v>
      </c>
      <c r="F204" s="348">
        <v>66.44</v>
      </c>
      <c r="G204" s="348">
        <v>33.22</v>
      </c>
      <c r="H204" s="348">
        <v>24.91</v>
      </c>
      <c r="I204" s="348">
        <v>1.66</v>
      </c>
      <c r="J204" s="348">
        <v>2.49</v>
      </c>
      <c r="K204" s="348">
        <v>49.83</v>
      </c>
      <c r="L204" s="348"/>
      <c r="M204" s="348">
        <f t="shared" si="79"/>
        <v>22.5148</v>
      </c>
      <c r="N204" s="348">
        <f>(SUM('工资福利（公务员、参公人员）'!R204:T204)+SUM('工资福利（事业）'!V204:X204,'工资福利（事业）'!AB204))*0.16</f>
        <v>8.3776</v>
      </c>
      <c r="O204" s="348">
        <f>(SUM('工资福利（公务员、参公人员）'!R204:S204)+SUM('工资福利（事业）'!V204:X204,'工资福利（事业）'!AB204))*0.08</f>
        <v>4.1888</v>
      </c>
      <c r="P204" s="348">
        <f>(SUM('工资福利（公务员、参公人员）'!R204:S204)+SUM('工资福利（事业）'!V204:X204,'工资福利（事业）'!AB204))*0.06</f>
        <v>3.1416</v>
      </c>
      <c r="Q204" s="348">
        <f>(SUM('工资福利（公务员、参公人员）'!R204:S204)+SUM('工资福利（事业）'!V204:X204,'工资福利（事业）'!AB204))*0.004</f>
        <v>0.20944</v>
      </c>
      <c r="R204" s="348">
        <f>(SUM('工资福利（公务员、参公人员）'!R204:S204)+SUM('工资福利（事业）'!V204:X204,'工资福利（事业）'!AB204))*0.006</f>
        <v>0.31416</v>
      </c>
      <c r="S204" s="348">
        <f>(SUM('工资福利（公务员、参公人员）'!R204:S204)+SUM('工资福利（事业）'!V204:X204,'工资福利（事业）'!AB204))*0.12</f>
        <v>6.2832</v>
      </c>
      <c r="T204" s="348"/>
      <c r="U204" s="348">
        <f t="shared" si="80"/>
        <v>201.0648</v>
      </c>
      <c r="V204" s="348">
        <f t="shared" si="81"/>
        <v>74.8176</v>
      </c>
      <c r="W204" s="348">
        <f t="shared" si="82"/>
        <v>37.4088</v>
      </c>
      <c r="X204" s="348">
        <f t="shared" si="83"/>
        <v>28.0516</v>
      </c>
      <c r="Y204" s="348">
        <f t="shared" si="84"/>
        <v>1.86944</v>
      </c>
      <c r="Z204" s="348">
        <f t="shared" si="85"/>
        <v>2.80416</v>
      </c>
      <c r="AA204" s="348">
        <f t="shared" si="86"/>
        <v>56.1132</v>
      </c>
      <c r="AB204" s="348">
        <f t="shared" si="87"/>
        <v>0</v>
      </c>
      <c r="AC204" s="350"/>
    </row>
    <row r="205" ht="36" spans="1:29">
      <c r="A205" s="284" t="s">
        <v>195</v>
      </c>
      <c r="B205" s="284" t="s">
        <v>438</v>
      </c>
      <c r="C205" s="284" t="s">
        <v>448</v>
      </c>
      <c r="D205" s="284" t="s">
        <v>449</v>
      </c>
      <c r="E205" s="348">
        <f t="shared" si="78"/>
        <v>90.9</v>
      </c>
      <c r="F205" s="348">
        <v>33.82</v>
      </c>
      <c r="G205" s="348">
        <v>16.91</v>
      </c>
      <c r="H205" s="348">
        <v>12.68</v>
      </c>
      <c r="I205" s="348">
        <v>0.85</v>
      </c>
      <c r="J205" s="348">
        <v>1.27</v>
      </c>
      <c r="K205" s="348">
        <v>25.37</v>
      </c>
      <c r="L205" s="348"/>
      <c r="M205" s="348">
        <f t="shared" si="79"/>
        <v>5.9641</v>
      </c>
      <c r="N205" s="348">
        <f>(SUM('工资福利（公务员、参公人员）'!R205:T205)+SUM('工资福利（事业）'!V205:X205,'工资福利（事业）'!AB205))*0.16</f>
        <v>2.2192</v>
      </c>
      <c r="O205" s="348">
        <f>(SUM('工资福利（公务员、参公人员）'!R205:S205)+SUM('工资福利（事业）'!V205:X205,'工资福利（事业）'!AB205))*0.08</f>
        <v>1.1096</v>
      </c>
      <c r="P205" s="348">
        <f>(SUM('工资福利（公务员、参公人员）'!R205:S205)+SUM('工资福利（事业）'!V205:X205,'工资福利（事业）'!AB205))*0.06</f>
        <v>0.8322</v>
      </c>
      <c r="Q205" s="348">
        <f>(SUM('工资福利（公务员、参公人员）'!R205:S205)+SUM('工资福利（事业）'!V205:X205,'工资福利（事业）'!AB205))*0.004</f>
        <v>0.05548</v>
      </c>
      <c r="R205" s="348">
        <f>(SUM('工资福利（公务员、参公人员）'!R205:S205)+SUM('工资福利（事业）'!V205:X205,'工资福利（事业）'!AB205))*0.006</f>
        <v>0.08322</v>
      </c>
      <c r="S205" s="348">
        <f>(SUM('工资福利（公务员、参公人员）'!R205:S205)+SUM('工资福利（事业）'!V205:X205,'工资福利（事业）'!AB205))*0.12</f>
        <v>1.6644</v>
      </c>
      <c r="T205" s="348"/>
      <c r="U205" s="348">
        <f t="shared" si="80"/>
        <v>96.8641</v>
      </c>
      <c r="V205" s="348">
        <f t="shared" si="81"/>
        <v>36.0392</v>
      </c>
      <c r="W205" s="348">
        <f t="shared" si="82"/>
        <v>18.0196</v>
      </c>
      <c r="X205" s="348">
        <f t="shared" si="83"/>
        <v>13.5122</v>
      </c>
      <c r="Y205" s="348">
        <f t="shared" si="84"/>
        <v>0.90548</v>
      </c>
      <c r="Z205" s="348">
        <f t="shared" si="85"/>
        <v>1.35322</v>
      </c>
      <c r="AA205" s="348">
        <f t="shared" si="86"/>
        <v>27.0344</v>
      </c>
      <c r="AB205" s="348">
        <f t="shared" si="87"/>
        <v>0</v>
      </c>
      <c r="AC205" s="350"/>
    </row>
    <row r="206" ht="24" spans="1:29">
      <c r="A206" s="284" t="s">
        <v>195</v>
      </c>
      <c r="B206" s="284" t="s">
        <v>442</v>
      </c>
      <c r="C206" s="284" t="s">
        <v>450</v>
      </c>
      <c r="D206" s="284" t="s">
        <v>444</v>
      </c>
      <c r="E206" s="348">
        <f t="shared" si="78"/>
        <v>80.04</v>
      </c>
      <c r="F206" s="348">
        <v>29.78</v>
      </c>
      <c r="G206" s="348">
        <v>14.89</v>
      </c>
      <c r="H206" s="348">
        <v>11.17</v>
      </c>
      <c r="I206" s="348">
        <v>0.74</v>
      </c>
      <c r="J206" s="348">
        <v>1.12</v>
      </c>
      <c r="K206" s="348">
        <v>22.34</v>
      </c>
      <c r="L206" s="348"/>
      <c r="M206" s="348">
        <f t="shared" si="79"/>
        <v>-1.7587</v>
      </c>
      <c r="N206" s="348">
        <f>(SUM('工资福利（公务员、参公人员）'!R206:T206)+SUM('工资福利（事业）'!V206:X206,'工资福利（事业）'!AB206))*0.16</f>
        <v>-0.6544</v>
      </c>
      <c r="O206" s="348">
        <f>(SUM('工资福利（公务员、参公人员）'!R206:S206)+SUM('工资福利（事业）'!V206:X206,'工资福利（事业）'!AB206))*0.08</f>
        <v>-0.3272</v>
      </c>
      <c r="P206" s="348">
        <f>(SUM('工资福利（公务员、参公人员）'!R206:S206)+SUM('工资福利（事业）'!V206:X206,'工资福利（事业）'!AB206))*0.06</f>
        <v>-0.2454</v>
      </c>
      <c r="Q206" s="348">
        <f>(SUM('工资福利（公务员、参公人员）'!R206:S206)+SUM('工资福利（事业）'!V206:X206,'工资福利（事业）'!AB206))*0.004</f>
        <v>-0.01636</v>
      </c>
      <c r="R206" s="348">
        <f>(SUM('工资福利（公务员、参公人员）'!R206:S206)+SUM('工资福利（事业）'!V206:X206,'工资福利（事业）'!AB206))*0.006</f>
        <v>-0.02454</v>
      </c>
      <c r="S206" s="348">
        <f>(SUM('工资福利（公务员、参公人员）'!R206:S206)+SUM('工资福利（事业）'!V206:X206,'工资福利（事业）'!AB206))*0.12</f>
        <v>-0.4908</v>
      </c>
      <c r="T206" s="348"/>
      <c r="U206" s="348">
        <f t="shared" si="80"/>
        <v>78.2813</v>
      </c>
      <c r="V206" s="348">
        <f t="shared" si="81"/>
        <v>29.1256</v>
      </c>
      <c r="W206" s="348">
        <f t="shared" si="82"/>
        <v>14.5628</v>
      </c>
      <c r="X206" s="348">
        <f t="shared" si="83"/>
        <v>10.9246</v>
      </c>
      <c r="Y206" s="348">
        <f t="shared" si="84"/>
        <v>0.72364</v>
      </c>
      <c r="Z206" s="348">
        <f t="shared" si="85"/>
        <v>1.09546</v>
      </c>
      <c r="AA206" s="348">
        <f t="shared" si="86"/>
        <v>21.8492</v>
      </c>
      <c r="AB206" s="348">
        <f t="shared" si="87"/>
        <v>0</v>
      </c>
      <c r="AC206" s="350"/>
    </row>
    <row r="207" ht="36" spans="1:29">
      <c r="A207" s="284" t="s">
        <v>195</v>
      </c>
      <c r="B207" s="284" t="s">
        <v>438</v>
      </c>
      <c r="C207" s="284" t="s">
        <v>451</v>
      </c>
      <c r="D207" s="284" t="s">
        <v>452</v>
      </c>
      <c r="E207" s="348">
        <f t="shared" si="78"/>
        <v>502</v>
      </c>
      <c r="F207" s="348">
        <v>186.79</v>
      </c>
      <c r="G207" s="348">
        <v>93.4</v>
      </c>
      <c r="H207" s="348">
        <v>70.05</v>
      </c>
      <c r="I207" s="348">
        <v>4.67</v>
      </c>
      <c r="J207" s="348">
        <v>7</v>
      </c>
      <c r="K207" s="348">
        <v>140.09</v>
      </c>
      <c r="L207" s="348"/>
      <c r="M207" s="348">
        <f t="shared" si="79"/>
        <v>45.4338</v>
      </c>
      <c r="N207" s="348">
        <f>(SUM('工资福利（公务员、参公人员）'!R207:T207)+SUM('工资福利（事业）'!V207:X207,'工资福利（事业）'!AB207))*0.16</f>
        <v>16.9056</v>
      </c>
      <c r="O207" s="348">
        <f>(SUM('工资福利（公务员、参公人员）'!R207:S207)+SUM('工资福利（事业）'!V207:X207,'工资福利（事业）'!AB207))*0.08</f>
        <v>8.4528</v>
      </c>
      <c r="P207" s="348">
        <f>(SUM('工资福利（公务员、参公人员）'!R207:S207)+SUM('工资福利（事业）'!V207:X207,'工资福利（事业）'!AB207))*0.06</f>
        <v>6.3396</v>
      </c>
      <c r="Q207" s="348">
        <f>(SUM('工资福利（公务员、参公人员）'!R207:S207)+SUM('工资福利（事业）'!V207:X207,'工资福利（事业）'!AB207))*0.004</f>
        <v>0.42264</v>
      </c>
      <c r="R207" s="348">
        <f>(SUM('工资福利（公务员、参公人员）'!R207:S207)+SUM('工资福利（事业）'!V207:X207,'工资福利（事业）'!AB207))*0.006</f>
        <v>0.63396</v>
      </c>
      <c r="S207" s="348">
        <f>(SUM('工资福利（公务员、参公人员）'!R207:S207)+SUM('工资福利（事业）'!V207:X207,'工资福利（事业）'!AB207))*0.12</f>
        <v>12.6792</v>
      </c>
      <c r="T207" s="348"/>
      <c r="U207" s="348">
        <f t="shared" si="80"/>
        <v>547.4338</v>
      </c>
      <c r="V207" s="348">
        <f t="shared" si="81"/>
        <v>203.6956</v>
      </c>
      <c r="W207" s="348">
        <f t="shared" si="82"/>
        <v>101.8528</v>
      </c>
      <c r="X207" s="348">
        <f t="shared" si="83"/>
        <v>76.3896</v>
      </c>
      <c r="Y207" s="348">
        <f t="shared" si="84"/>
        <v>5.09264</v>
      </c>
      <c r="Z207" s="348">
        <f t="shared" si="85"/>
        <v>7.63396</v>
      </c>
      <c r="AA207" s="348">
        <f t="shared" si="86"/>
        <v>152.7692</v>
      </c>
      <c r="AB207" s="348">
        <f t="shared" si="87"/>
        <v>0</v>
      </c>
      <c r="AC207" s="350"/>
    </row>
    <row r="208" ht="24" spans="1:29">
      <c r="A208" s="284" t="s">
        <v>195</v>
      </c>
      <c r="B208" s="284" t="s">
        <v>442</v>
      </c>
      <c r="C208" s="284" t="s">
        <v>789</v>
      </c>
      <c r="D208" s="284" t="s">
        <v>454</v>
      </c>
      <c r="E208" s="348">
        <f t="shared" si="78"/>
        <v>93.79</v>
      </c>
      <c r="F208" s="348">
        <v>34.9</v>
      </c>
      <c r="G208" s="348">
        <v>17.45</v>
      </c>
      <c r="H208" s="348">
        <v>13.09</v>
      </c>
      <c r="I208" s="348">
        <v>0.87</v>
      </c>
      <c r="J208" s="348">
        <v>1.31</v>
      </c>
      <c r="K208" s="348">
        <v>26.17</v>
      </c>
      <c r="L208" s="348"/>
      <c r="M208" s="348">
        <f t="shared" si="79"/>
        <v>12.7495</v>
      </c>
      <c r="N208" s="348">
        <f>(SUM('工资福利（公务员、参公人员）'!R208:T208)+SUM('工资福利（事业）'!V208:X208,'工资福利（事业）'!AB208))*0.16</f>
        <v>4.744</v>
      </c>
      <c r="O208" s="348">
        <f>(SUM('工资福利（公务员、参公人员）'!R208:S208)+SUM('工资福利（事业）'!V208:X208,'工资福利（事业）'!AB208))*0.08</f>
        <v>2.372</v>
      </c>
      <c r="P208" s="348">
        <f>(SUM('工资福利（公务员、参公人员）'!R208:S208)+SUM('工资福利（事业）'!V208:X208,'工资福利（事业）'!AB208))*0.06</f>
        <v>1.779</v>
      </c>
      <c r="Q208" s="348">
        <f>(SUM('工资福利（公务员、参公人员）'!R208:S208)+SUM('工资福利（事业）'!V208:X208,'工资福利（事业）'!AB208))*0.004</f>
        <v>0.1186</v>
      </c>
      <c r="R208" s="348">
        <f>(SUM('工资福利（公务员、参公人员）'!R208:S208)+SUM('工资福利（事业）'!V208:X208,'工资福利（事业）'!AB208))*0.006</f>
        <v>0.1779</v>
      </c>
      <c r="S208" s="348">
        <f>(SUM('工资福利（公务员、参公人员）'!R208:S208)+SUM('工资福利（事业）'!V208:X208,'工资福利（事业）'!AB208))*0.12</f>
        <v>3.558</v>
      </c>
      <c r="T208" s="348"/>
      <c r="U208" s="348">
        <f t="shared" si="80"/>
        <v>106.5395</v>
      </c>
      <c r="V208" s="348">
        <f t="shared" si="81"/>
        <v>39.644</v>
      </c>
      <c r="W208" s="348">
        <f t="shared" si="82"/>
        <v>19.822</v>
      </c>
      <c r="X208" s="348">
        <f t="shared" si="83"/>
        <v>14.869</v>
      </c>
      <c r="Y208" s="348">
        <f t="shared" si="84"/>
        <v>0.9886</v>
      </c>
      <c r="Z208" s="348">
        <f t="shared" si="85"/>
        <v>1.4879</v>
      </c>
      <c r="AA208" s="348">
        <f t="shared" si="86"/>
        <v>29.728</v>
      </c>
      <c r="AB208" s="348">
        <f t="shared" si="87"/>
        <v>0</v>
      </c>
      <c r="AC208" s="350"/>
    </row>
    <row r="209" ht="24" spans="1:29">
      <c r="A209" s="284" t="s">
        <v>195</v>
      </c>
      <c r="B209" s="284" t="s">
        <v>442</v>
      </c>
      <c r="C209" s="284" t="s">
        <v>455</v>
      </c>
      <c r="D209" s="284" t="s">
        <v>444</v>
      </c>
      <c r="E209" s="348">
        <f t="shared" si="78"/>
        <v>131.78</v>
      </c>
      <c r="F209" s="348">
        <v>49.03</v>
      </c>
      <c r="G209" s="348">
        <v>24.52</v>
      </c>
      <c r="H209" s="348">
        <v>18.39</v>
      </c>
      <c r="I209" s="348">
        <v>1.23</v>
      </c>
      <c r="J209" s="348">
        <v>1.84</v>
      </c>
      <c r="K209" s="348">
        <v>36.77</v>
      </c>
      <c r="L209" s="348"/>
      <c r="M209" s="348">
        <f t="shared" si="79"/>
        <v>-3.2637</v>
      </c>
      <c r="N209" s="348">
        <f>(SUM('工资福利（公务员、参公人员）'!R209:T209)+SUM('工资福利（事业）'!V209:X209,'工资福利（事业）'!AB209))*0.16</f>
        <v>-1.2144</v>
      </c>
      <c r="O209" s="348">
        <f>(SUM('工资福利（公务员、参公人员）'!R209:S209)+SUM('工资福利（事业）'!V209:X209,'工资福利（事业）'!AB209))*0.08</f>
        <v>-0.6072</v>
      </c>
      <c r="P209" s="348">
        <f>(SUM('工资福利（公务员、参公人员）'!R209:S209)+SUM('工资福利（事业）'!V209:X209,'工资福利（事业）'!AB209))*0.06</f>
        <v>-0.4554</v>
      </c>
      <c r="Q209" s="348">
        <f>(SUM('工资福利（公务员、参公人员）'!R209:S209)+SUM('工资福利（事业）'!V209:X209,'工资福利（事业）'!AB209))*0.004</f>
        <v>-0.03036</v>
      </c>
      <c r="R209" s="348">
        <f>(SUM('工资福利（公务员、参公人员）'!R209:S209)+SUM('工资福利（事业）'!V209:X209,'工资福利（事业）'!AB209))*0.006</f>
        <v>-0.04554</v>
      </c>
      <c r="S209" s="348">
        <f>(SUM('工资福利（公务员、参公人员）'!R209:S209)+SUM('工资福利（事业）'!V209:X209,'工资福利（事业）'!AB209))*0.12</f>
        <v>-0.9108</v>
      </c>
      <c r="T209" s="348"/>
      <c r="U209" s="348">
        <f t="shared" si="80"/>
        <v>128.5163</v>
      </c>
      <c r="V209" s="348">
        <f t="shared" si="81"/>
        <v>47.8156</v>
      </c>
      <c r="W209" s="348">
        <f t="shared" si="82"/>
        <v>23.9128</v>
      </c>
      <c r="X209" s="348">
        <f t="shared" si="83"/>
        <v>17.9346</v>
      </c>
      <c r="Y209" s="348">
        <f t="shared" si="84"/>
        <v>1.19964</v>
      </c>
      <c r="Z209" s="348">
        <f t="shared" si="85"/>
        <v>1.79446</v>
      </c>
      <c r="AA209" s="348">
        <f t="shared" si="86"/>
        <v>35.8592</v>
      </c>
      <c r="AB209" s="348">
        <f t="shared" si="87"/>
        <v>0</v>
      </c>
      <c r="AC209" s="350"/>
    </row>
    <row r="210" ht="36" spans="1:29">
      <c r="A210" s="284" t="s">
        <v>195</v>
      </c>
      <c r="B210" s="284" t="s">
        <v>199</v>
      </c>
      <c r="C210" s="284" t="s">
        <v>456</v>
      </c>
      <c r="D210" s="284" t="s">
        <v>457</v>
      </c>
      <c r="E210" s="348">
        <f t="shared" si="78"/>
        <v>31.23</v>
      </c>
      <c r="F210" s="348">
        <v>11.62</v>
      </c>
      <c r="G210" s="348">
        <v>5.81</v>
      </c>
      <c r="H210" s="348">
        <v>4.36</v>
      </c>
      <c r="I210" s="348">
        <v>0.29</v>
      </c>
      <c r="J210" s="348">
        <v>0.44</v>
      </c>
      <c r="K210" s="348">
        <v>8.71</v>
      </c>
      <c r="L210" s="348"/>
      <c r="M210" s="348">
        <f t="shared" si="79"/>
        <v>12.1346</v>
      </c>
      <c r="N210" s="348">
        <f>(SUM('工资福利（公务员、参公人员）'!R210:T210)+SUM('工资福利（事业）'!V210:X210,'工资福利（事业）'!AB210))*0.16</f>
        <v>4.5152</v>
      </c>
      <c r="O210" s="348">
        <f>(SUM('工资福利（公务员、参公人员）'!R210:S210)+SUM('工资福利（事业）'!V210:X210,'工资福利（事业）'!AB210))*0.08</f>
        <v>2.2576</v>
      </c>
      <c r="P210" s="348">
        <f>(SUM('工资福利（公务员、参公人员）'!R210:S210)+SUM('工资福利（事业）'!V210:X210,'工资福利（事业）'!AB210))*0.06</f>
        <v>1.6932</v>
      </c>
      <c r="Q210" s="348">
        <f>(SUM('工资福利（公务员、参公人员）'!R210:S210)+SUM('工资福利（事业）'!V210:X210,'工资福利（事业）'!AB210))*0.004</f>
        <v>0.11288</v>
      </c>
      <c r="R210" s="348">
        <f>(SUM('工资福利（公务员、参公人员）'!R210:S210)+SUM('工资福利（事业）'!V210:X210,'工资福利（事业）'!AB210))*0.006</f>
        <v>0.16932</v>
      </c>
      <c r="S210" s="348">
        <f>(SUM('工资福利（公务员、参公人员）'!R210:S210)+SUM('工资福利（事业）'!V210:X210,'工资福利（事业）'!AB210))*0.12</f>
        <v>3.3864</v>
      </c>
      <c r="T210" s="348"/>
      <c r="U210" s="348">
        <f t="shared" si="80"/>
        <v>43.3646</v>
      </c>
      <c r="V210" s="348">
        <f t="shared" si="81"/>
        <v>16.1352</v>
      </c>
      <c r="W210" s="348">
        <f t="shared" si="82"/>
        <v>8.0676</v>
      </c>
      <c r="X210" s="348">
        <f t="shared" si="83"/>
        <v>6.0532</v>
      </c>
      <c r="Y210" s="348">
        <f t="shared" si="84"/>
        <v>0.40288</v>
      </c>
      <c r="Z210" s="348">
        <f t="shared" si="85"/>
        <v>0.60932</v>
      </c>
      <c r="AA210" s="348">
        <f t="shared" si="86"/>
        <v>12.0964</v>
      </c>
      <c r="AB210" s="348">
        <f t="shared" si="87"/>
        <v>0</v>
      </c>
      <c r="AC210" s="350"/>
    </row>
    <row r="211" ht="24" spans="1:29">
      <c r="A211" s="284" t="s">
        <v>195</v>
      </c>
      <c r="B211" s="284" t="s">
        <v>442</v>
      </c>
      <c r="C211" s="284" t="s">
        <v>458</v>
      </c>
      <c r="D211" s="284" t="s">
        <v>454</v>
      </c>
      <c r="E211" s="348">
        <f t="shared" si="78"/>
        <v>104.44</v>
      </c>
      <c r="F211" s="348">
        <v>40.22</v>
      </c>
      <c r="G211" s="348">
        <v>19.03</v>
      </c>
      <c r="H211" s="348">
        <v>14.27</v>
      </c>
      <c r="I211" s="348">
        <v>0.95</v>
      </c>
      <c r="J211" s="348">
        <v>1.43</v>
      </c>
      <c r="K211" s="348">
        <v>28.54</v>
      </c>
      <c r="L211" s="348"/>
      <c r="M211" s="348">
        <f t="shared" si="79"/>
        <v>6.4758</v>
      </c>
      <c r="N211" s="348">
        <f>(SUM('工资福利（公务员、参公人员）'!R211:T211)+SUM('工资福利（事业）'!V211:X211,'工资福利（事业）'!AB211))*0.16</f>
        <v>2.4096</v>
      </c>
      <c r="O211" s="348">
        <f>(SUM('工资福利（公务员、参公人员）'!R211:S211)+SUM('工资福利（事业）'!V211:X211,'工资福利（事业）'!AB211))*0.08</f>
        <v>1.2048</v>
      </c>
      <c r="P211" s="348">
        <f>(SUM('工资福利（公务员、参公人员）'!R211:S211)+SUM('工资福利（事业）'!V211:X211,'工资福利（事业）'!AB211))*0.06</f>
        <v>0.9036</v>
      </c>
      <c r="Q211" s="348">
        <f>(SUM('工资福利（公务员、参公人员）'!R211:S211)+SUM('工资福利（事业）'!V211:X211,'工资福利（事业）'!AB211))*0.004</f>
        <v>0.06024</v>
      </c>
      <c r="R211" s="348">
        <f>(SUM('工资福利（公务员、参公人员）'!R211:S211)+SUM('工资福利（事业）'!V211:X211,'工资福利（事业）'!AB211))*0.006</f>
        <v>0.09036</v>
      </c>
      <c r="S211" s="348">
        <f>(SUM('工资福利（公务员、参公人员）'!R211:S211)+SUM('工资福利（事业）'!V211:X211,'工资福利（事业）'!AB211))*0.12</f>
        <v>1.8072</v>
      </c>
      <c r="T211" s="348"/>
      <c r="U211" s="348">
        <f t="shared" si="80"/>
        <v>110.9158</v>
      </c>
      <c r="V211" s="348">
        <f t="shared" si="81"/>
        <v>42.6296</v>
      </c>
      <c r="W211" s="348">
        <f t="shared" si="82"/>
        <v>20.2348</v>
      </c>
      <c r="X211" s="348">
        <f t="shared" si="83"/>
        <v>15.1736</v>
      </c>
      <c r="Y211" s="348">
        <f t="shared" si="84"/>
        <v>1.01024</v>
      </c>
      <c r="Z211" s="348">
        <f t="shared" si="85"/>
        <v>1.52036</v>
      </c>
      <c r="AA211" s="348">
        <f t="shared" si="86"/>
        <v>30.3472</v>
      </c>
      <c r="AB211" s="348">
        <f t="shared" si="87"/>
        <v>0</v>
      </c>
      <c r="AC211" s="350"/>
    </row>
    <row r="212" ht="24" spans="1:29">
      <c r="A212" s="284" t="s">
        <v>195</v>
      </c>
      <c r="B212" s="284" t="s">
        <v>442</v>
      </c>
      <c r="C212" s="284" t="s">
        <v>459</v>
      </c>
      <c r="D212" s="284" t="s">
        <v>444</v>
      </c>
      <c r="E212" s="348">
        <f t="shared" si="78"/>
        <v>86.83</v>
      </c>
      <c r="F212" s="348">
        <v>32.31</v>
      </c>
      <c r="G212" s="348">
        <v>16.15</v>
      </c>
      <c r="H212" s="348">
        <v>12.12</v>
      </c>
      <c r="I212" s="348">
        <v>0.81</v>
      </c>
      <c r="J212" s="348">
        <v>1.21</v>
      </c>
      <c r="K212" s="348">
        <v>24.23</v>
      </c>
      <c r="L212" s="348"/>
      <c r="M212" s="348">
        <f t="shared" si="79"/>
        <v>-3.4056</v>
      </c>
      <c r="N212" s="348">
        <f>(SUM('工资福利（公务员、参公人员）'!R212:T212)+SUM('工资福利（事业）'!V212:X212,'工资福利（事业）'!AB212))*0.16</f>
        <v>-1.2672</v>
      </c>
      <c r="O212" s="348">
        <f>(SUM('工资福利（公务员、参公人员）'!R212:S212)+SUM('工资福利（事业）'!V212:X212,'工资福利（事业）'!AB212))*0.08</f>
        <v>-0.6336</v>
      </c>
      <c r="P212" s="348">
        <f>(SUM('工资福利（公务员、参公人员）'!R212:S212)+SUM('工资福利（事业）'!V212:X212,'工资福利（事业）'!AB212))*0.06</f>
        <v>-0.4752</v>
      </c>
      <c r="Q212" s="348">
        <f>(SUM('工资福利（公务员、参公人员）'!R212:S212)+SUM('工资福利（事业）'!V212:X212,'工资福利（事业）'!AB212))*0.004</f>
        <v>-0.03168</v>
      </c>
      <c r="R212" s="348">
        <f>(SUM('工资福利（公务员、参公人员）'!R212:S212)+SUM('工资福利（事业）'!V212:X212,'工资福利（事业）'!AB212))*0.006</f>
        <v>-0.04752</v>
      </c>
      <c r="S212" s="348">
        <f>(SUM('工资福利（公务员、参公人员）'!R212:S212)+SUM('工资福利（事业）'!V212:X212,'工资福利（事业）'!AB212))*0.12</f>
        <v>-0.9504</v>
      </c>
      <c r="T212" s="348"/>
      <c r="U212" s="348">
        <f t="shared" si="80"/>
        <v>83.4244</v>
      </c>
      <c r="V212" s="348">
        <f t="shared" si="81"/>
        <v>31.0428</v>
      </c>
      <c r="W212" s="348">
        <f t="shared" si="82"/>
        <v>15.5164</v>
      </c>
      <c r="X212" s="348">
        <f t="shared" si="83"/>
        <v>11.6448</v>
      </c>
      <c r="Y212" s="348">
        <f t="shared" si="84"/>
        <v>0.77832</v>
      </c>
      <c r="Z212" s="348">
        <f t="shared" si="85"/>
        <v>1.16248</v>
      </c>
      <c r="AA212" s="348">
        <f t="shared" si="86"/>
        <v>23.2796</v>
      </c>
      <c r="AB212" s="348">
        <f t="shared" si="87"/>
        <v>0</v>
      </c>
      <c r="AC212" s="350"/>
    </row>
    <row r="213" ht="24" spans="1:29">
      <c r="A213" s="284" t="s">
        <v>195</v>
      </c>
      <c r="B213" s="284" t="s">
        <v>442</v>
      </c>
      <c r="C213" s="284" t="s">
        <v>460</v>
      </c>
      <c r="D213" s="284" t="s">
        <v>454</v>
      </c>
      <c r="E213" s="348">
        <f t="shared" si="78"/>
        <v>160.87</v>
      </c>
      <c r="F213" s="348">
        <v>59.86</v>
      </c>
      <c r="G213" s="348">
        <v>29.93</v>
      </c>
      <c r="H213" s="348">
        <v>22.45</v>
      </c>
      <c r="I213" s="348">
        <v>1.5</v>
      </c>
      <c r="J213" s="348">
        <v>2.24</v>
      </c>
      <c r="K213" s="348">
        <v>44.89</v>
      </c>
      <c r="L213" s="348"/>
      <c r="M213" s="348">
        <f t="shared" si="79"/>
        <v>-20.9195</v>
      </c>
      <c r="N213" s="348">
        <f>(SUM('工资福利（公务员、参公人员）'!R213:T213)+SUM('工资福利（事业）'!V213:X213,'工资福利（事业）'!AB213))*0.16</f>
        <v>-7.784</v>
      </c>
      <c r="O213" s="348">
        <f>(SUM('工资福利（公务员、参公人员）'!R213:S213)+SUM('工资福利（事业）'!V213:X213,'工资福利（事业）'!AB213))*0.08</f>
        <v>-3.892</v>
      </c>
      <c r="P213" s="348">
        <f>(SUM('工资福利（公务员、参公人员）'!R213:S213)+SUM('工资福利（事业）'!V213:X213,'工资福利（事业）'!AB213))*0.06</f>
        <v>-2.919</v>
      </c>
      <c r="Q213" s="348">
        <f>(SUM('工资福利（公务员、参公人员）'!R213:S213)+SUM('工资福利（事业）'!V213:X213,'工资福利（事业）'!AB213))*0.004</f>
        <v>-0.1946</v>
      </c>
      <c r="R213" s="348">
        <f>(SUM('工资福利（公务员、参公人员）'!R213:S213)+SUM('工资福利（事业）'!V213:X213,'工资福利（事业）'!AB213))*0.006</f>
        <v>-0.2919</v>
      </c>
      <c r="S213" s="348">
        <f>(SUM('工资福利（公务员、参公人员）'!R213:S213)+SUM('工资福利（事业）'!V213:X213,'工资福利（事业）'!AB213))*0.12</f>
        <v>-5.838</v>
      </c>
      <c r="T213" s="348"/>
      <c r="U213" s="348">
        <f t="shared" si="80"/>
        <v>139.9505</v>
      </c>
      <c r="V213" s="348">
        <f t="shared" si="81"/>
        <v>52.076</v>
      </c>
      <c r="W213" s="348">
        <f t="shared" si="82"/>
        <v>26.038</v>
      </c>
      <c r="X213" s="348">
        <f t="shared" si="83"/>
        <v>19.531</v>
      </c>
      <c r="Y213" s="348">
        <f t="shared" si="84"/>
        <v>1.3054</v>
      </c>
      <c r="Z213" s="348">
        <f t="shared" si="85"/>
        <v>1.9481</v>
      </c>
      <c r="AA213" s="348">
        <f t="shared" si="86"/>
        <v>39.052</v>
      </c>
      <c r="AB213" s="348">
        <f t="shared" si="87"/>
        <v>0</v>
      </c>
      <c r="AC213" s="350"/>
    </row>
    <row r="214" ht="24" spans="1:29">
      <c r="A214" s="284" t="s">
        <v>195</v>
      </c>
      <c r="B214" s="284" t="s">
        <v>442</v>
      </c>
      <c r="C214" s="284" t="s">
        <v>461</v>
      </c>
      <c r="D214" s="284" t="s">
        <v>454</v>
      </c>
      <c r="E214" s="348">
        <f t="shared" si="78"/>
        <v>70.69</v>
      </c>
      <c r="F214" s="348">
        <v>26.3</v>
      </c>
      <c r="G214" s="348">
        <v>13.15</v>
      </c>
      <c r="H214" s="348">
        <v>9.86</v>
      </c>
      <c r="I214" s="348">
        <v>0.66</v>
      </c>
      <c r="J214" s="348">
        <v>0.99</v>
      </c>
      <c r="K214" s="348">
        <v>19.73</v>
      </c>
      <c r="L214" s="348"/>
      <c r="M214" s="348">
        <f t="shared" si="79"/>
        <v>18.5115</v>
      </c>
      <c r="N214" s="348">
        <f>(SUM('工资福利（公务员、参公人员）'!R214:T214)+SUM('工资福利（事业）'!V214:X214,'工资福利（事业）'!AB214))*0.16</f>
        <v>6.888</v>
      </c>
      <c r="O214" s="348">
        <f>(SUM('工资福利（公务员、参公人员）'!R214:S214)+SUM('工资福利（事业）'!V214:X214,'工资福利（事业）'!AB214))*0.08</f>
        <v>3.444</v>
      </c>
      <c r="P214" s="348">
        <f>(SUM('工资福利（公务员、参公人员）'!R214:S214)+SUM('工资福利（事业）'!V214:X214,'工资福利（事业）'!AB214))*0.06</f>
        <v>2.583</v>
      </c>
      <c r="Q214" s="348">
        <f>(SUM('工资福利（公务员、参公人员）'!R214:S214)+SUM('工资福利（事业）'!V214:X214,'工资福利（事业）'!AB214))*0.004</f>
        <v>0.1722</v>
      </c>
      <c r="R214" s="348">
        <f>(SUM('工资福利（公务员、参公人员）'!R214:S214)+SUM('工资福利（事业）'!V214:X214,'工资福利（事业）'!AB214))*0.006</f>
        <v>0.2583</v>
      </c>
      <c r="S214" s="348">
        <f>(SUM('工资福利（公务员、参公人员）'!R214:S214)+SUM('工资福利（事业）'!V214:X214,'工资福利（事业）'!AB214))*0.12</f>
        <v>5.166</v>
      </c>
      <c r="T214" s="348"/>
      <c r="U214" s="348">
        <f t="shared" si="80"/>
        <v>89.2015</v>
      </c>
      <c r="V214" s="348">
        <f t="shared" si="81"/>
        <v>33.188</v>
      </c>
      <c r="W214" s="348">
        <f t="shared" si="82"/>
        <v>16.594</v>
      </c>
      <c r="X214" s="348">
        <f t="shared" si="83"/>
        <v>12.443</v>
      </c>
      <c r="Y214" s="348">
        <f t="shared" si="84"/>
        <v>0.8322</v>
      </c>
      <c r="Z214" s="348">
        <f t="shared" si="85"/>
        <v>1.2483</v>
      </c>
      <c r="AA214" s="348">
        <f t="shared" si="86"/>
        <v>24.896</v>
      </c>
      <c r="AB214" s="348">
        <f t="shared" si="87"/>
        <v>0</v>
      </c>
      <c r="AC214" s="350"/>
    </row>
    <row r="215" ht="24" spans="1:29">
      <c r="A215" s="284" t="s">
        <v>195</v>
      </c>
      <c r="B215" s="284" t="s">
        <v>442</v>
      </c>
      <c r="C215" s="284" t="s">
        <v>462</v>
      </c>
      <c r="D215" s="284" t="s">
        <v>444</v>
      </c>
      <c r="E215" s="348">
        <f t="shared" si="78"/>
        <v>77.81</v>
      </c>
      <c r="F215" s="348">
        <v>28.95</v>
      </c>
      <c r="G215" s="348">
        <v>14.48</v>
      </c>
      <c r="H215" s="348">
        <v>10.86</v>
      </c>
      <c r="I215" s="348">
        <v>0.72</v>
      </c>
      <c r="J215" s="348">
        <v>1.09</v>
      </c>
      <c r="K215" s="348">
        <v>21.71</v>
      </c>
      <c r="L215" s="348"/>
      <c r="M215" s="348">
        <f t="shared" si="79"/>
        <v>-2.0468</v>
      </c>
      <c r="N215" s="348">
        <f>(SUM('工资福利（公务员、参公人员）'!R215:T215)+SUM('工资福利（事业）'!V215:X215,'工资福利（事业）'!AB215))*0.16</f>
        <v>-0.7616</v>
      </c>
      <c r="O215" s="348">
        <f>(SUM('工资福利（公务员、参公人员）'!R215:S215)+SUM('工资福利（事业）'!V215:X215,'工资福利（事业）'!AB215))*0.08</f>
        <v>-0.3808</v>
      </c>
      <c r="P215" s="348">
        <f>(SUM('工资福利（公务员、参公人员）'!R215:S215)+SUM('工资福利（事业）'!V215:X215,'工资福利（事业）'!AB215))*0.06</f>
        <v>-0.2856</v>
      </c>
      <c r="Q215" s="348">
        <f>(SUM('工资福利（公务员、参公人员）'!R215:S215)+SUM('工资福利（事业）'!V215:X215,'工资福利（事业）'!AB215))*0.004</f>
        <v>-0.01904</v>
      </c>
      <c r="R215" s="348">
        <f>(SUM('工资福利（公务员、参公人员）'!R215:S215)+SUM('工资福利（事业）'!V215:X215,'工资福利（事业）'!AB215))*0.006</f>
        <v>-0.02856</v>
      </c>
      <c r="S215" s="348">
        <f>(SUM('工资福利（公务员、参公人员）'!R215:S215)+SUM('工资福利（事业）'!V215:X215,'工资福利（事业）'!AB215))*0.12</f>
        <v>-0.5712</v>
      </c>
      <c r="T215" s="348"/>
      <c r="U215" s="348">
        <f t="shared" si="80"/>
        <v>75.7632</v>
      </c>
      <c r="V215" s="348">
        <f t="shared" si="81"/>
        <v>28.1884</v>
      </c>
      <c r="W215" s="348">
        <f t="shared" si="82"/>
        <v>14.0992</v>
      </c>
      <c r="X215" s="348">
        <f t="shared" si="83"/>
        <v>10.5744</v>
      </c>
      <c r="Y215" s="348">
        <f t="shared" si="84"/>
        <v>0.70096</v>
      </c>
      <c r="Z215" s="348">
        <f t="shared" si="85"/>
        <v>1.06144</v>
      </c>
      <c r="AA215" s="348">
        <f t="shared" si="86"/>
        <v>21.1388</v>
      </c>
      <c r="AB215" s="348">
        <f t="shared" si="87"/>
        <v>0</v>
      </c>
      <c r="AC215" s="350"/>
    </row>
    <row r="216" ht="24" spans="1:29">
      <c r="A216" s="284" t="s">
        <v>195</v>
      </c>
      <c r="B216" s="284" t="s">
        <v>442</v>
      </c>
      <c r="C216" s="284" t="s">
        <v>463</v>
      </c>
      <c r="D216" s="284" t="s">
        <v>444</v>
      </c>
      <c r="E216" s="348">
        <f t="shared" si="78"/>
        <v>245.1</v>
      </c>
      <c r="F216" s="348">
        <v>91.2</v>
      </c>
      <c r="G216" s="348">
        <v>45.6</v>
      </c>
      <c r="H216" s="348">
        <v>34.2</v>
      </c>
      <c r="I216" s="348">
        <v>2.28</v>
      </c>
      <c r="J216" s="348">
        <v>3.42</v>
      </c>
      <c r="K216" s="348">
        <v>68.4</v>
      </c>
      <c r="L216" s="348"/>
      <c r="M216" s="348">
        <f t="shared" si="79"/>
        <v>18.8899</v>
      </c>
      <c r="N216" s="348">
        <f>(SUM('工资福利（公务员、参公人员）'!R216:T216)+SUM('工资福利（事业）'!V216:X216,'工资福利（事业）'!AB216))*0.16</f>
        <v>7.0288</v>
      </c>
      <c r="O216" s="348">
        <f>(SUM('工资福利（公务员、参公人员）'!R216:S216)+SUM('工资福利（事业）'!V216:X216,'工资福利（事业）'!AB216))*0.08</f>
        <v>3.5144</v>
      </c>
      <c r="P216" s="348">
        <f>(SUM('工资福利（公务员、参公人员）'!R216:S216)+SUM('工资福利（事业）'!V216:X216,'工资福利（事业）'!AB216))*0.06</f>
        <v>2.6358</v>
      </c>
      <c r="Q216" s="348">
        <f>(SUM('工资福利（公务员、参公人员）'!R216:S216)+SUM('工资福利（事业）'!V216:X216,'工资福利（事业）'!AB216))*0.004</f>
        <v>0.17572</v>
      </c>
      <c r="R216" s="348">
        <f>(SUM('工资福利（公务员、参公人员）'!R216:S216)+SUM('工资福利（事业）'!V216:X216,'工资福利（事业）'!AB216))*0.006</f>
        <v>0.26358</v>
      </c>
      <c r="S216" s="348">
        <f>(SUM('工资福利（公务员、参公人员）'!R216:S216)+SUM('工资福利（事业）'!V216:X216,'工资福利（事业）'!AB216))*0.12</f>
        <v>5.2716</v>
      </c>
      <c r="T216" s="348"/>
      <c r="U216" s="348">
        <f t="shared" si="80"/>
        <v>263.9899</v>
      </c>
      <c r="V216" s="348">
        <f t="shared" si="81"/>
        <v>98.2288</v>
      </c>
      <c r="W216" s="348">
        <f t="shared" si="82"/>
        <v>49.1144</v>
      </c>
      <c r="X216" s="348">
        <f t="shared" si="83"/>
        <v>36.8358</v>
      </c>
      <c r="Y216" s="348">
        <f t="shared" si="84"/>
        <v>2.45572</v>
      </c>
      <c r="Z216" s="348">
        <f t="shared" si="85"/>
        <v>3.68358</v>
      </c>
      <c r="AA216" s="348">
        <f t="shared" si="86"/>
        <v>73.6716</v>
      </c>
      <c r="AB216" s="348">
        <f t="shared" si="87"/>
        <v>0</v>
      </c>
      <c r="AC216" s="350"/>
    </row>
    <row r="217" ht="24" spans="1:29">
      <c r="A217" s="284" t="s">
        <v>195</v>
      </c>
      <c r="B217" s="284" t="s">
        <v>442</v>
      </c>
      <c r="C217" s="284" t="s">
        <v>464</v>
      </c>
      <c r="D217" s="284" t="s">
        <v>444</v>
      </c>
      <c r="E217" s="348">
        <f t="shared" si="78"/>
        <v>429.17</v>
      </c>
      <c r="F217" s="348">
        <v>159.69</v>
      </c>
      <c r="G217" s="348">
        <v>79.85</v>
      </c>
      <c r="H217" s="348">
        <v>59.88</v>
      </c>
      <c r="I217" s="348">
        <v>3.99</v>
      </c>
      <c r="J217" s="348">
        <v>5.99</v>
      </c>
      <c r="K217" s="348">
        <v>119.77</v>
      </c>
      <c r="L217" s="348"/>
      <c r="M217" s="348">
        <f t="shared" si="79"/>
        <v>40.162</v>
      </c>
      <c r="N217" s="348">
        <f>(SUM('工资福利（公务员、参公人员）'!R217:T217)+SUM('工资福利（事业）'!V217:X217,'工资福利（事业）'!AB217))*0.16</f>
        <v>14.944</v>
      </c>
      <c r="O217" s="348">
        <f>(SUM('工资福利（公务员、参公人员）'!R217:S217)+SUM('工资福利（事业）'!V217:X217,'工资福利（事业）'!AB217))*0.08</f>
        <v>7.472</v>
      </c>
      <c r="P217" s="348">
        <f>(SUM('工资福利（公务员、参公人员）'!R217:S217)+SUM('工资福利（事业）'!V217:X217,'工资福利（事业）'!AB217))*0.06</f>
        <v>5.604</v>
      </c>
      <c r="Q217" s="348">
        <f>(SUM('工资福利（公务员、参公人员）'!R217:S217)+SUM('工资福利（事业）'!V217:X217,'工资福利（事业）'!AB217))*0.004</f>
        <v>0.3736</v>
      </c>
      <c r="R217" s="348">
        <f>(SUM('工资福利（公务员、参公人员）'!R217:S217)+SUM('工资福利（事业）'!V217:X217,'工资福利（事业）'!AB217))*0.006</f>
        <v>0.5604</v>
      </c>
      <c r="S217" s="348">
        <f>(SUM('工资福利（公务员、参公人员）'!R217:S217)+SUM('工资福利（事业）'!V217:X217,'工资福利（事业）'!AB217))*0.12</f>
        <v>11.208</v>
      </c>
      <c r="T217" s="348"/>
      <c r="U217" s="348">
        <f t="shared" si="80"/>
        <v>469.332</v>
      </c>
      <c r="V217" s="348">
        <f t="shared" si="81"/>
        <v>174.634</v>
      </c>
      <c r="W217" s="348">
        <f t="shared" si="82"/>
        <v>87.322</v>
      </c>
      <c r="X217" s="348">
        <f t="shared" si="83"/>
        <v>65.484</v>
      </c>
      <c r="Y217" s="348">
        <f t="shared" si="84"/>
        <v>4.3636</v>
      </c>
      <c r="Z217" s="348">
        <f t="shared" si="85"/>
        <v>6.5504</v>
      </c>
      <c r="AA217" s="348">
        <f t="shared" si="86"/>
        <v>130.978</v>
      </c>
      <c r="AB217" s="348">
        <f t="shared" si="87"/>
        <v>0</v>
      </c>
      <c r="AC217" s="350"/>
    </row>
    <row r="218" ht="24" spans="1:29">
      <c r="A218" s="284" t="s">
        <v>195</v>
      </c>
      <c r="B218" s="284" t="s">
        <v>442</v>
      </c>
      <c r="C218" s="284" t="s">
        <v>465</v>
      </c>
      <c r="D218" s="284" t="s">
        <v>454</v>
      </c>
      <c r="E218" s="348">
        <f t="shared" si="78"/>
        <v>419.38</v>
      </c>
      <c r="F218" s="348">
        <v>156.05</v>
      </c>
      <c r="G218" s="348">
        <v>78.02</v>
      </c>
      <c r="H218" s="348">
        <v>58.52</v>
      </c>
      <c r="I218" s="348">
        <v>3.9</v>
      </c>
      <c r="J218" s="348">
        <v>5.85</v>
      </c>
      <c r="K218" s="348">
        <v>117.04</v>
      </c>
      <c r="L218" s="348"/>
      <c r="M218" s="348">
        <f t="shared" si="79"/>
        <v>36.0684</v>
      </c>
      <c r="N218" s="348">
        <f>(SUM('工资福利（公务员、参公人员）'!R218:T218)+SUM('工资福利（事业）'!V218:X218,'工资福利（事业）'!AB218))*0.16</f>
        <v>13.4208</v>
      </c>
      <c r="O218" s="348">
        <f>(SUM('工资福利（公务员、参公人员）'!R218:S218)+SUM('工资福利（事业）'!V218:X218,'工资福利（事业）'!AB218))*0.08</f>
        <v>6.7104</v>
      </c>
      <c r="P218" s="348">
        <f>(SUM('工资福利（公务员、参公人员）'!R218:S218)+SUM('工资福利（事业）'!V218:X218,'工资福利（事业）'!AB218))*0.06</f>
        <v>5.0328</v>
      </c>
      <c r="Q218" s="348">
        <f>(SUM('工资福利（公务员、参公人员）'!R218:S218)+SUM('工资福利（事业）'!V218:X218,'工资福利（事业）'!AB218))*0.004</f>
        <v>0.33552</v>
      </c>
      <c r="R218" s="348">
        <f>(SUM('工资福利（公务员、参公人员）'!R218:S218)+SUM('工资福利（事业）'!V218:X218,'工资福利（事业）'!AB218))*0.006</f>
        <v>0.50328</v>
      </c>
      <c r="S218" s="348">
        <f>(SUM('工资福利（公务员、参公人员）'!R218:S218)+SUM('工资福利（事业）'!V218:X218,'工资福利（事业）'!AB218))*0.12</f>
        <v>10.0656</v>
      </c>
      <c r="T218" s="348"/>
      <c r="U218" s="348">
        <f t="shared" si="80"/>
        <v>455.4484</v>
      </c>
      <c r="V218" s="348">
        <f t="shared" si="81"/>
        <v>169.4708</v>
      </c>
      <c r="W218" s="348">
        <f t="shared" si="82"/>
        <v>84.7304</v>
      </c>
      <c r="X218" s="348">
        <f t="shared" si="83"/>
        <v>63.5528</v>
      </c>
      <c r="Y218" s="348">
        <f t="shared" si="84"/>
        <v>4.23552</v>
      </c>
      <c r="Z218" s="348">
        <f t="shared" si="85"/>
        <v>6.35328</v>
      </c>
      <c r="AA218" s="348">
        <f t="shared" si="86"/>
        <v>127.1056</v>
      </c>
      <c r="AB218" s="348">
        <f t="shared" si="87"/>
        <v>0</v>
      </c>
      <c r="AC218" s="350"/>
    </row>
    <row r="219" ht="24" spans="1:29">
      <c r="A219" s="284" t="s">
        <v>195</v>
      </c>
      <c r="B219" s="284" t="s">
        <v>442</v>
      </c>
      <c r="C219" s="284" t="s">
        <v>466</v>
      </c>
      <c r="D219" s="284" t="s">
        <v>454</v>
      </c>
      <c r="E219" s="348">
        <f t="shared" si="78"/>
        <v>226.15</v>
      </c>
      <c r="F219" s="348">
        <v>84.15</v>
      </c>
      <c r="G219" s="348">
        <v>42.07</v>
      </c>
      <c r="H219" s="348">
        <v>31.56</v>
      </c>
      <c r="I219" s="348">
        <v>2.1</v>
      </c>
      <c r="J219" s="348">
        <v>3.16</v>
      </c>
      <c r="K219" s="348">
        <v>63.11</v>
      </c>
      <c r="L219" s="348"/>
      <c r="M219" s="348">
        <f t="shared" si="79"/>
        <v>25.9634</v>
      </c>
      <c r="N219" s="348">
        <f>(SUM('工资福利（公务员、参公人员）'!R219:T219)+SUM('工资福利（事业）'!V219:X219,'工资福利（事业）'!AB219))*0.16</f>
        <v>9.6608</v>
      </c>
      <c r="O219" s="348">
        <f>(SUM('工资福利（公务员、参公人员）'!R219:S219)+SUM('工资福利（事业）'!V219:X219,'工资福利（事业）'!AB219))*0.08</f>
        <v>4.8304</v>
      </c>
      <c r="P219" s="348">
        <f>(SUM('工资福利（公务员、参公人员）'!R219:S219)+SUM('工资福利（事业）'!V219:X219,'工资福利（事业）'!AB219))*0.06</f>
        <v>3.6228</v>
      </c>
      <c r="Q219" s="348">
        <f>(SUM('工资福利（公务员、参公人员）'!R219:S219)+SUM('工资福利（事业）'!V219:X219,'工资福利（事业）'!AB219))*0.004</f>
        <v>0.24152</v>
      </c>
      <c r="R219" s="348">
        <f>(SUM('工资福利（公务员、参公人员）'!R219:S219)+SUM('工资福利（事业）'!V219:X219,'工资福利（事业）'!AB219))*0.006</f>
        <v>0.36228</v>
      </c>
      <c r="S219" s="348">
        <f>(SUM('工资福利（公务员、参公人员）'!R219:S219)+SUM('工资福利（事业）'!V219:X219,'工资福利（事业）'!AB219))*0.12</f>
        <v>7.2456</v>
      </c>
      <c r="T219" s="348"/>
      <c r="U219" s="348">
        <f t="shared" si="80"/>
        <v>252.1134</v>
      </c>
      <c r="V219" s="348">
        <f t="shared" si="81"/>
        <v>93.8108</v>
      </c>
      <c r="W219" s="348">
        <f t="shared" si="82"/>
        <v>46.9004</v>
      </c>
      <c r="X219" s="348">
        <f t="shared" si="83"/>
        <v>35.1828</v>
      </c>
      <c r="Y219" s="348">
        <f t="shared" si="84"/>
        <v>2.34152</v>
      </c>
      <c r="Z219" s="348">
        <f t="shared" si="85"/>
        <v>3.52228</v>
      </c>
      <c r="AA219" s="348">
        <f t="shared" si="86"/>
        <v>70.3556</v>
      </c>
      <c r="AB219" s="348">
        <f t="shared" si="87"/>
        <v>0</v>
      </c>
      <c r="AC219" s="350"/>
    </row>
    <row r="220" ht="24" spans="1:29">
      <c r="A220" s="284" t="s">
        <v>195</v>
      </c>
      <c r="B220" s="284" t="s">
        <v>442</v>
      </c>
      <c r="C220" s="284" t="s">
        <v>467</v>
      </c>
      <c r="D220" s="284" t="s">
        <v>454</v>
      </c>
      <c r="E220" s="348">
        <f t="shared" si="78"/>
        <v>255.16</v>
      </c>
      <c r="F220" s="348">
        <v>94.95</v>
      </c>
      <c r="G220" s="348">
        <v>47.47</v>
      </c>
      <c r="H220" s="348">
        <v>35.6</v>
      </c>
      <c r="I220" s="348">
        <v>2.37</v>
      </c>
      <c r="J220" s="348">
        <v>3.56</v>
      </c>
      <c r="K220" s="348">
        <v>71.21</v>
      </c>
      <c r="L220" s="348"/>
      <c r="M220" s="348">
        <f t="shared" si="79"/>
        <v>51.7376</v>
      </c>
      <c r="N220" s="348">
        <f>(SUM('工资福利（公务员、参公人员）'!R220:T220)+SUM('工资福利（事业）'!V220:X220,'工资福利（事业）'!AB220))*0.16</f>
        <v>19.2512</v>
      </c>
      <c r="O220" s="348">
        <f>(SUM('工资福利（公务员、参公人员）'!R220:S220)+SUM('工资福利（事业）'!V220:X220,'工资福利（事业）'!AB220))*0.08</f>
        <v>9.6256</v>
      </c>
      <c r="P220" s="348">
        <f>(SUM('工资福利（公务员、参公人员）'!R220:S220)+SUM('工资福利（事业）'!V220:X220,'工资福利（事业）'!AB220))*0.06</f>
        <v>7.2192</v>
      </c>
      <c r="Q220" s="348">
        <f>(SUM('工资福利（公务员、参公人员）'!R220:S220)+SUM('工资福利（事业）'!V220:X220,'工资福利（事业）'!AB220))*0.004</f>
        <v>0.48128</v>
      </c>
      <c r="R220" s="348">
        <f>(SUM('工资福利（公务员、参公人员）'!R220:S220)+SUM('工资福利（事业）'!V220:X220,'工资福利（事业）'!AB220))*0.006</f>
        <v>0.72192</v>
      </c>
      <c r="S220" s="348">
        <f>(SUM('工资福利（公务员、参公人员）'!R220:S220)+SUM('工资福利（事业）'!V220:X220,'工资福利（事业）'!AB220))*0.12</f>
        <v>14.4384</v>
      </c>
      <c r="T220" s="348"/>
      <c r="U220" s="348">
        <f t="shared" si="80"/>
        <v>306.8976</v>
      </c>
      <c r="V220" s="348">
        <f t="shared" si="81"/>
        <v>114.2012</v>
      </c>
      <c r="W220" s="348">
        <f t="shared" si="82"/>
        <v>57.0956</v>
      </c>
      <c r="X220" s="348">
        <f t="shared" si="83"/>
        <v>42.8192</v>
      </c>
      <c r="Y220" s="348">
        <f t="shared" si="84"/>
        <v>2.85128</v>
      </c>
      <c r="Z220" s="348">
        <f t="shared" si="85"/>
        <v>4.28192</v>
      </c>
      <c r="AA220" s="348">
        <f t="shared" si="86"/>
        <v>85.6484</v>
      </c>
      <c r="AB220" s="348">
        <f t="shared" si="87"/>
        <v>0</v>
      </c>
      <c r="AC220" s="350"/>
    </row>
    <row r="221" ht="24" spans="1:29">
      <c r="A221" s="284" t="s">
        <v>195</v>
      </c>
      <c r="B221" s="284" t="s">
        <v>442</v>
      </c>
      <c r="C221" s="284" t="s">
        <v>468</v>
      </c>
      <c r="D221" s="284" t="s">
        <v>444</v>
      </c>
      <c r="E221" s="348">
        <f t="shared" si="78"/>
        <v>272.96</v>
      </c>
      <c r="F221" s="348">
        <v>101.57</v>
      </c>
      <c r="G221" s="348">
        <v>50.78</v>
      </c>
      <c r="H221" s="348">
        <v>38.09</v>
      </c>
      <c r="I221" s="348">
        <v>2.54</v>
      </c>
      <c r="J221" s="348">
        <v>3.81</v>
      </c>
      <c r="K221" s="348">
        <v>76.17</v>
      </c>
      <c r="L221" s="348"/>
      <c r="M221" s="348">
        <f t="shared" si="79"/>
        <v>0.2537</v>
      </c>
      <c r="N221" s="348">
        <f>(SUM('工资福利（公务员、参公人员）'!R221:T221)+SUM('工资福利（事业）'!V221:X221,'工资福利（事业）'!AB221))*0.16</f>
        <v>0.0944000000000001</v>
      </c>
      <c r="O221" s="348">
        <f>(SUM('工资福利（公务员、参公人员）'!R221:S221)+SUM('工资福利（事业）'!V221:X221,'工资福利（事业）'!AB221))*0.08</f>
        <v>0.0472</v>
      </c>
      <c r="P221" s="348">
        <f>(SUM('工资福利（公务员、参公人员）'!R221:S221)+SUM('工资福利（事业）'!V221:X221,'工资福利（事业）'!AB221))*0.06</f>
        <v>0.0354</v>
      </c>
      <c r="Q221" s="348">
        <f>(SUM('工资福利（公务员、参公人员）'!R221:S221)+SUM('工资福利（事业）'!V221:X221,'工资福利（事业）'!AB221))*0.004</f>
        <v>0.00236</v>
      </c>
      <c r="R221" s="348">
        <f>(SUM('工资福利（公务员、参公人员）'!R221:S221)+SUM('工资福利（事业）'!V221:X221,'工资福利（事业）'!AB221))*0.006</f>
        <v>0.00354</v>
      </c>
      <c r="S221" s="348">
        <f>(SUM('工资福利（公务员、参公人员）'!R221:S221)+SUM('工资福利（事业）'!V221:X221,'工资福利（事业）'!AB221))*0.12</f>
        <v>0.0708</v>
      </c>
      <c r="T221" s="348"/>
      <c r="U221" s="348">
        <f t="shared" si="80"/>
        <v>273.2137</v>
      </c>
      <c r="V221" s="348">
        <f t="shared" si="81"/>
        <v>101.6644</v>
      </c>
      <c r="W221" s="348">
        <f t="shared" si="82"/>
        <v>50.8272</v>
      </c>
      <c r="X221" s="348">
        <f t="shared" si="83"/>
        <v>38.1254</v>
      </c>
      <c r="Y221" s="348">
        <f t="shared" si="84"/>
        <v>2.54236</v>
      </c>
      <c r="Z221" s="348">
        <f t="shared" si="85"/>
        <v>3.81354</v>
      </c>
      <c r="AA221" s="348">
        <f t="shared" si="86"/>
        <v>76.2408</v>
      </c>
      <c r="AB221" s="348">
        <f t="shared" si="87"/>
        <v>0</v>
      </c>
      <c r="AC221" s="350"/>
    </row>
    <row r="222" ht="24" spans="1:29">
      <c r="A222" s="284" t="s">
        <v>195</v>
      </c>
      <c r="B222" s="284" t="s">
        <v>442</v>
      </c>
      <c r="C222" s="284" t="s">
        <v>469</v>
      </c>
      <c r="D222" s="284" t="s">
        <v>454</v>
      </c>
      <c r="E222" s="348">
        <f t="shared" si="78"/>
        <v>188.05</v>
      </c>
      <c r="F222" s="348">
        <v>69.97</v>
      </c>
      <c r="G222" s="348">
        <v>34.99</v>
      </c>
      <c r="H222" s="348">
        <v>26.24</v>
      </c>
      <c r="I222" s="348">
        <v>1.75</v>
      </c>
      <c r="J222" s="348">
        <v>2.62</v>
      </c>
      <c r="K222" s="348">
        <v>52.48</v>
      </c>
      <c r="L222" s="348"/>
      <c r="M222" s="348">
        <f t="shared" si="79"/>
        <v>31.6007</v>
      </c>
      <c r="N222" s="348">
        <f>(SUM('工资福利（公务员、参公人员）'!R222:T222)+SUM('工资福利（事业）'!V222:X222,'工资福利（事业）'!AB222))*0.16</f>
        <v>11.7584</v>
      </c>
      <c r="O222" s="348">
        <f>(SUM('工资福利（公务员、参公人员）'!R222:S222)+SUM('工资福利（事业）'!V222:X222,'工资福利（事业）'!AB222))*0.08</f>
        <v>5.8792</v>
      </c>
      <c r="P222" s="348">
        <f>(SUM('工资福利（公务员、参公人员）'!R222:S222)+SUM('工资福利（事业）'!V222:X222,'工资福利（事业）'!AB222))*0.06</f>
        <v>4.4094</v>
      </c>
      <c r="Q222" s="348">
        <f>(SUM('工资福利（公务员、参公人员）'!R222:S222)+SUM('工资福利（事业）'!V222:X222,'工资福利（事业）'!AB222))*0.004</f>
        <v>0.29396</v>
      </c>
      <c r="R222" s="348">
        <f>(SUM('工资福利（公务员、参公人员）'!R222:S222)+SUM('工资福利（事业）'!V222:X222,'工资福利（事业）'!AB222))*0.006</f>
        <v>0.44094</v>
      </c>
      <c r="S222" s="348">
        <f>(SUM('工资福利（公务员、参公人员）'!R222:S222)+SUM('工资福利（事业）'!V222:X222,'工资福利（事业）'!AB222))*0.12</f>
        <v>8.8188</v>
      </c>
      <c r="T222" s="348"/>
      <c r="U222" s="348">
        <f t="shared" si="80"/>
        <v>219.6507</v>
      </c>
      <c r="V222" s="348">
        <f t="shared" si="81"/>
        <v>81.7284</v>
      </c>
      <c r="W222" s="348">
        <f t="shared" si="82"/>
        <v>40.8692</v>
      </c>
      <c r="X222" s="348">
        <f t="shared" si="83"/>
        <v>30.6494</v>
      </c>
      <c r="Y222" s="348">
        <f t="shared" si="84"/>
        <v>2.04396</v>
      </c>
      <c r="Z222" s="348">
        <f t="shared" si="85"/>
        <v>3.06094</v>
      </c>
      <c r="AA222" s="348">
        <f t="shared" si="86"/>
        <v>61.2988</v>
      </c>
      <c r="AB222" s="348">
        <f t="shared" si="87"/>
        <v>0</v>
      </c>
      <c r="AC222" s="350"/>
    </row>
    <row r="223" ht="24" spans="1:29">
      <c r="A223" s="284" t="s">
        <v>195</v>
      </c>
      <c r="B223" s="284" t="s">
        <v>442</v>
      </c>
      <c r="C223" s="284" t="s">
        <v>470</v>
      </c>
      <c r="D223" s="284" t="s">
        <v>454</v>
      </c>
      <c r="E223" s="348">
        <f t="shared" si="78"/>
        <v>216.6</v>
      </c>
      <c r="F223" s="348">
        <v>80.6</v>
      </c>
      <c r="G223" s="348">
        <v>40.3</v>
      </c>
      <c r="H223" s="348">
        <v>30.22</v>
      </c>
      <c r="I223" s="348">
        <v>2.01</v>
      </c>
      <c r="J223" s="348">
        <v>3.02</v>
      </c>
      <c r="K223" s="348">
        <v>60.45</v>
      </c>
      <c r="L223" s="348"/>
      <c r="M223" s="348">
        <f t="shared" si="79"/>
        <v>-43.1204</v>
      </c>
      <c r="N223" s="348">
        <f>(SUM('工资福利（公务员、参公人员）'!R223:T223)+SUM('工资福利（事业）'!V223:X223,'工资福利（事业）'!AB223))*0.16</f>
        <v>-16.0448</v>
      </c>
      <c r="O223" s="348">
        <f>(SUM('工资福利（公务员、参公人员）'!R223:S223)+SUM('工资福利（事业）'!V223:X223,'工资福利（事业）'!AB223))*0.08</f>
        <v>-8.0224</v>
      </c>
      <c r="P223" s="348">
        <f>(SUM('工资福利（公务员、参公人员）'!R223:S223)+SUM('工资福利（事业）'!V223:X223,'工资福利（事业）'!AB223))*0.06</f>
        <v>-6.0168</v>
      </c>
      <c r="Q223" s="348">
        <f>(SUM('工资福利（公务员、参公人员）'!R223:S223)+SUM('工资福利（事业）'!V223:X223,'工资福利（事业）'!AB223))*0.004</f>
        <v>-0.40112</v>
      </c>
      <c r="R223" s="348">
        <f>(SUM('工资福利（公务员、参公人员）'!R223:S223)+SUM('工资福利（事业）'!V223:X223,'工资福利（事业）'!AB223))*0.006</f>
        <v>-0.60168</v>
      </c>
      <c r="S223" s="348">
        <f>(SUM('工资福利（公务员、参公人员）'!R223:S223)+SUM('工资福利（事业）'!V223:X223,'工资福利（事业）'!AB223))*0.12</f>
        <v>-12.0336</v>
      </c>
      <c r="T223" s="348"/>
      <c r="U223" s="348">
        <f t="shared" si="80"/>
        <v>173.4796</v>
      </c>
      <c r="V223" s="348">
        <f t="shared" si="81"/>
        <v>64.5552</v>
      </c>
      <c r="W223" s="348">
        <f t="shared" si="82"/>
        <v>32.2776</v>
      </c>
      <c r="X223" s="348">
        <f t="shared" si="83"/>
        <v>24.2032</v>
      </c>
      <c r="Y223" s="348">
        <f t="shared" si="84"/>
        <v>1.60888</v>
      </c>
      <c r="Z223" s="348">
        <f t="shared" si="85"/>
        <v>2.41832</v>
      </c>
      <c r="AA223" s="348">
        <f t="shared" si="86"/>
        <v>48.4164</v>
      </c>
      <c r="AB223" s="348">
        <f t="shared" si="87"/>
        <v>0</v>
      </c>
      <c r="AC223" s="350"/>
    </row>
    <row r="224" ht="24" spans="1:29">
      <c r="A224" s="284" t="s">
        <v>195</v>
      </c>
      <c r="B224" s="284" t="s">
        <v>442</v>
      </c>
      <c r="C224" s="284" t="s">
        <v>471</v>
      </c>
      <c r="D224" s="284" t="s">
        <v>444</v>
      </c>
      <c r="E224" s="348">
        <f t="shared" si="78"/>
        <v>221</v>
      </c>
      <c r="F224" s="348">
        <v>82.23</v>
      </c>
      <c r="G224" s="348">
        <v>41.12</v>
      </c>
      <c r="H224" s="348">
        <v>30.84</v>
      </c>
      <c r="I224" s="348">
        <v>2.06</v>
      </c>
      <c r="J224" s="348">
        <v>3.08</v>
      </c>
      <c r="K224" s="348">
        <v>61.67</v>
      </c>
      <c r="L224" s="348"/>
      <c r="M224" s="348">
        <f t="shared" si="79"/>
        <v>12.0615</v>
      </c>
      <c r="N224" s="348">
        <f>(SUM('工资福利（公务员、参公人员）'!R224:T224)+SUM('工资福利（事业）'!V224:X224,'工资福利（事业）'!AB224))*0.16</f>
        <v>4.488</v>
      </c>
      <c r="O224" s="348">
        <f>(SUM('工资福利（公务员、参公人员）'!R224:S224)+SUM('工资福利（事业）'!V224:X224,'工资福利（事业）'!AB224))*0.08</f>
        <v>2.244</v>
      </c>
      <c r="P224" s="348">
        <f>(SUM('工资福利（公务员、参公人员）'!R224:S224)+SUM('工资福利（事业）'!V224:X224,'工资福利（事业）'!AB224))*0.06</f>
        <v>1.683</v>
      </c>
      <c r="Q224" s="348">
        <f>(SUM('工资福利（公务员、参公人员）'!R224:S224)+SUM('工资福利（事业）'!V224:X224,'工资福利（事业）'!AB224))*0.004</f>
        <v>0.1122</v>
      </c>
      <c r="R224" s="348">
        <f>(SUM('工资福利（公务员、参公人员）'!R224:S224)+SUM('工资福利（事业）'!V224:X224,'工资福利（事业）'!AB224))*0.006</f>
        <v>0.1683</v>
      </c>
      <c r="S224" s="348">
        <f>(SUM('工资福利（公务员、参公人员）'!R224:S224)+SUM('工资福利（事业）'!V224:X224,'工资福利（事业）'!AB224))*0.12</f>
        <v>3.366</v>
      </c>
      <c r="T224" s="348"/>
      <c r="U224" s="348">
        <f t="shared" si="80"/>
        <v>233.0615</v>
      </c>
      <c r="V224" s="348">
        <f t="shared" si="81"/>
        <v>86.718</v>
      </c>
      <c r="W224" s="348">
        <f t="shared" si="82"/>
        <v>43.364</v>
      </c>
      <c r="X224" s="348">
        <f t="shared" si="83"/>
        <v>32.523</v>
      </c>
      <c r="Y224" s="348">
        <f t="shared" si="84"/>
        <v>2.1722</v>
      </c>
      <c r="Z224" s="348">
        <f t="shared" si="85"/>
        <v>3.2483</v>
      </c>
      <c r="AA224" s="348">
        <f t="shared" si="86"/>
        <v>65.036</v>
      </c>
      <c r="AB224" s="348">
        <f t="shared" si="87"/>
        <v>0</v>
      </c>
      <c r="AC224" s="350"/>
    </row>
    <row r="225" ht="24" spans="1:29">
      <c r="A225" s="284" t="s">
        <v>195</v>
      </c>
      <c r="B225" s="284" t="s">
        <v>442</v>
      </c>
      <c r="C225" s="284" t="s">
        <v>472</v>
      </c>
      <c r="D225" s="284" t="s">
        <v>444</v>
      </c>
      <c r="E225" s="348">
        <f t="shared" si="78"/>
        <v>367.83</v>
      </c>
      <c r="F225" s="348">
        <v>136.87</v>
      </c>
      <c r="G225" s="348">
        <v>68.43</v>
      </c>
      <c r="H225" s="348">
        <v>51.33</v>
      </c>
      <c r="I225" s="348">
        <v>3.42</v>
      </c>
      <c r="J225" s="348">
        <v>5.13</v>
      </c>
      <c r="K225" s="348">
        <v>102.65</v>
      </c>
      <c r="L225" s="348"/>
      <c r="M225" s="348">
        <f t="shared" si="79"/>
        <v>42.5313</v>
      </c>
      <c r="N225" s="348">
        <f>(SUM('工资福利（公务员、参公人员）'!R225:T225)+SUM('工资福利（事业）'!V225:X225,'工资福利（事业）'!AB225))*0.16</f>
        <v>15.8256</v>
      </c>
      <c r="O225" s="348">
        <f>(SUM('工资福利（公务员、参公人员）'!R225:S225)+SUM('工资福利（事业）'!V225:X225,'工资福利（事业）'!AB225))*0.08</f>
        <v>7.9128</v>
      </c>
      <c r="P225" s="348">
        <f>(SUM('工资福利（公务员、参公人员）'!R225:S225)+SUM('工资福利（事业）'!V225:X225,'工资福利（事业）'!AB225))*0.06</f>
        <v>5.9346</v>
      </c>
      <c r="Q225" s="348">
        <f>(SUM('工资福利（公务员、参公人员）'!R225:S225)+SUM('工资福利（事业）'!V225:X225,'工资福利（事业）'!AB225))*0.004</f>
        <v>0.39564</v>
      </c>
      <c r="R225" s="348">
        <f>(SUM('工资福利（公务员、参公人员）'!R225:S225)+SUM('工资福利（事业）'!V225:X225,'工资福利（事业）'!AB225))*0.006</f>
        <v>0.59346</v>
      </c>
      <c r="S225" s="348">
        <f>(SUM('工资福利（公务员、参公人员）'!R225:S225)+SUM('工资福利（事业）'!V225:X225,'工资福利（事业）'!AB225))*0.12</f>
        <v>11.8692</v>
      </c>
      <c r="T225" s="348"/>
      <c r="U225" s="348">
        <f t="shared" si="80"/>
        <v>410.3613</v>
      </c>
      <c r="V225" s="348">
        <f t="shared" si="81"/>
        <v>152.6956</v>
      </c>
      <c r="W225" s="348">
        <f t="shared" si="82"/>
        <v>76.3428</v>
      </c>
      <c r="X225" s="348">
        <f t="shared" si="83"/>
        <v>57.2646</v>
      </c>
      <c r="Y225" s="348">
        <f t="shared" si="84"/>
        <v>3.81564</v>
      </c>
      <c r="Z225" s="348">
        <f t="shared" si="85"/>
        <v>5.72346</v>
      </c>
      <c r="AA225" s="348">
        <f t="shared" si="86"/>
        <v>114.5192</v>
      </c>
      <c r="AB225" s="348">
        <f t="shared" si="87"/>
        <v>0</v>
      </c>
      <c r="AC225" s="350"/>
    </row>
    <row r="226" ht="24" spans="1:29">
      <c r="A226" s="284" t="s">
        <v>195</v>
      </c>
      <c r="B226" s="284" t="s">
        <v>442</v>
      </c>
      <c r="C226" s="284" t="s">
        <v>473</v>
      </c>
      <c r="D226" s="284" t="s">
        <v>444</v>
      </c>
      <c r="E226" s="348">
        <f t="shared" si="78"/>
        <v>354.52</v>
      </c>
      <c r="F226" s="348">
        <v>131.91</v>
      </c>
      <c r="G226" s="348">
        <v>65.96</v>
      </c>
      <c r="H226" s="348">
        <v>49.47</v>
      </c>
      <c r="I226" s="348">
        <v>3.3</v>
      </c>
      <c r="J226" s="348">
        <v>4.95</v>
      </c>
      <c r="K226" s="348">
        <v>98.93</v>
      </c>
      <c r="L226" s="348"/>
      <c r="M226" s="348">
        <f t="shared" si="79"/>
        <v>19.0834</v>
      </c>
      <c r="N226" s="348">
        <f>(SUM('工资福利（公务员、参公人员）'!R226:T226)+SUM('工资福利（事业）'!V226:X226,'工资福利（事业）'!AB226))*0.16</f>
        <v>7.1008</v>
      </c>
      <c r="O226" s="348">
        <f>(SUM('工资福利（公务员、参公人员）'!R226:S226)+SUM('工资福利（事业）'!V226:X226,'工资福利（事业）'!AB226))*0.08</f>
        <v>3.5504</v>
      </c>
      <c r="P226" s="348">
        <f>(SUM('工资福利（公务员、参公人员）'!R226:S226)+SUM('工资福利（事业）'!V226:X226,'工资福利（事业）'!AB226))*0.06</f>
        <v>2.6628</v>
      </c>
      <c r="Q226" s="348">
        <f>(SUM('工资福利（公务员、参公人员）'!R226:S226)+SUM('工资福利（事业）'!V226:X226,'工资福利（事业）'!AB226))*0.004</f>
        <v>0.17752</v>
      </c>
      <c r="R226" s="348">
        <f>(SUM('工资福利（公务员、参公人员）'!R226:S226)+SUM('工资福利（事业）'!V226:X226,'工资福利（事业）'!AB226))*0.006</f>
        <v>0.26628</v>
      </c>
      <c r="S226" s="348">
        <f>(SUM('工资福利（公务员、参公人员）'!R226:S226)+SUM('工资福利（事业）'!V226:X226,'工资福利（事业）'!AB226))*0.12</f>
        <v>5.3256</v>
      </c>
      <c r="T226" s="348"/>
      <c r="U226" s="348">
        <f t="shared" si="80"/>
        <v>373.6034</v>
      </c>
      <c r="V226" s="348">
        <f t="shared" si="81"/>
        <v>139.0108</v>
      </c>
      <c r="W226" s="348">
        <f t="shared" si="82"/>
        <v>69.5104</v>
      </c>
      <c r="X226" s="348">
        <f t="shared" si="83"/>
        <v>52.1328</v>
      </c>
      <c r="Y226" s="348">
        <f t="shared" si="84"/>
        <v>3.47752</v>
      </c>
      <c r="Z226" s="348">
        <f t="shared" si="85"/>
        <v>5.21628</v>
      </c>
      <c r="AA226" s="348">
        <f t="shared" si="86"/>
        <v>104.2556</v>
      </c>
      <c r="AB226" s="348">
        <f t="shared" si="87"/>
        <v>0</v>
      </c>
      <c r="AC226" s="350"/>
    </row>
    <row r="227" ht="24" spans="1:29">
      <c r="A227" s="284" t="s">
        <v>195</v>
      </c>
      <c r="B227" s="284" t="s">
        <v>442</v>
      </c>
      <c r="C227" s="284" t="s">
        <v>474</v>
      </c>
      <c r="D227" s="284" t="s">
        <v>454</v>
      </c>
      <c r="E227" s="348">
        <f t="shared" si="78"/>
        <v>133.09</v>
      </c>
      <c r="F227" s="348">
        <v>51.38</v>
      </c>
      <c r="G227" s="348">
        <v>24.21</v>
      </c>
      <c r="H227" s="348">
        <v>18.16</v>
      </c>
      <c r="I227" s="348">
        <v>1.21</v>
      </c>
      <c r="J227" s="348">
        <v>1.82</v>
      </c>
      <c r="K227" s="348">
        <v>36.31</v>
      </c>
      <c r="L227" s="348"/>
      <c r="M227" s="348">
        <f t="shared" si="79"/>
        <v>6.3812</v>
      </c>
      <c r="N227" s="348">
        <f>(SUM('工资福利（公务员、参公人员）'!R227:T227)+SUM('工资福利（事业）'!V227:X227,'工资福利（事业）'!AB227))*0.16</f>
        <v>2.3744</v>
      </c>
      <c r="O227" s="348">
        <f>(SUM('工资福利（公务员、参公人员）'!R227:S227)+SUM('工资福利（事业）'!V227:X227,'工资福利（事业）'!AB227))*0.08</f>
        <v>1.1872</v>
      </c>
      <c r="P227" s="348">
        <f>(SUM('工资福利（公务员、参公人员）'!R227:S227)+SUM('工资福利（事业）'!V227:X227,'工资福利（事业）'!AB227))*0.06</f>
        <v>0.8904</v>
      </c>
      <c r="Q227" s="348">
        <f>(SUM('工资福利（公务员、参公人员）'!R227:S227)+SUM('工资福利（事业）'!V227:X227,'工资福利（事业）'!AB227))*0.004</f>
        <v>0.05936</v>
      </c>
      <c r="R227" s="348">
        <f>(SUM('工资福利（公务员、参公人员）'!R227:S227)+SUM('工资福利（事业）'!V227:X227,'工资福利（事业）'!AB227))*0.006</f>
        <v>0.08904</v>
      </c>
      <c r="S227" s="348">
        <f>(SUM('工资福利（公务员、参公人员）'!R227:S227)+SUM('工资福利（事业）'!V227:X227,'工资福利（事业）'!AB227))*0.12</f>
        <v>1.7808</v>
      </c>
      <c r="T227" s="348"/>
      <c r="U227" s="348">
        <f t="shared" si="80"/>
        <v>139.4712</v>
      </c>
      <c r="V227" s="348">
        <f t="shared" si="81"/>
        <v>53.7544</v>
      </c>
      <c r="W227" s="348">
        <f t="shared" si="82"/>
        <v>25.3972</v>
      </c>
      <c r="X227" s="348">
        <f t="shared" si="83"/>
        <v>19.0504</v>
      </c>
      <c r="Y227" s="348">
        <f t="shared" si="84"/>
        <v>1.26936</v>
      </c>
      <c r="Z227" s="348">
        <f t="shared" si="85"/>
        <v>1.90904</v>
      </c>
      <c r="AA227" s="348">
        <f t="shared" si="86"/>
        <v>38.0908</v>
      </c>
      <c r="AB227" s="348">
        <f t="shared" si="87"/>
        <v>0</v>
      </c>
      <c r="AC227" s="350"/>
    </row>
    <row r="228" ht="24" spans="1:29">
      <c r="A228" s="284" t="s">
        <v>195</v>
      </c>
      <c r="B228" s="284" t="s">
        <v>442</v>
      </c>
      <c r="C228" s="284" t="s">
        <v>475</v>
      </c>
      <c r="D228" s="284" t="s">
        <v>444</v>
      </c>
      <c r="E228" s="348">
        <f t="shared" si="78"/>
        <v>184.2</v>
      </c>
      <c r="F228" s="348">
        <v>68.54</v>
      </c>
      <c r="G228" s="348">
        <v>34.27</v>
      </c>
      <c r="H228" s="348">
        <v>25.7</v>
      </c>
      <c r="I228" s="348">
        <v>1.71</v>
      </c>
      <c r="J228" s="348">
        <v>2.57</v>
      </c>
      <c r="K228" s="348">
        <v>51.41</v>
      </c>
      <c r="L228" s="348"/>
      <c r="M228" s="348">
        <f t="shared" si="79"/>
        <v>7.4003</v>
      </c>
      <c r="N228" s="348">
        <f>(SUM('工资福利（公务员、参公人员）'!R228:T228)+SUM('工资福利（事业）'!V228:X228,'工资福利（事业）'!AB228))*0.16</f>
        <v>2.7536</v>
      </c>
      <c r="O228" s="348">
        <f>(SUM('工资福利（公务员、参公人员）'!R228:S228)+SUM('工资福利（事业）'!V228:X228,'工资福利（事业）'!AB228))*0.08</f>
        <v>1.3768</v>
      </c>
      <c r="P228" s="348">
        <f>(SUM('工资福利（公务员、参公人员）'!R228:S228)+SUM('工资福利（事业）'!V228:X228,'工资福利（事业）'!AB228))*0.06</f>
        <v>1.0326</v>
      </c>
      <c r="Q228" s="348">
        <f>(SUM('工资福利（公务员、参公人员）'!R228:S228)+SUM('工资福利（事业）'!V228:X228,'工资福利（事业）'!AB228))*0.004</f>
        <v>0.06884</v>
      </c>
      <c r="R228" s="348">
        <f>(SUM('工资福利（公务员、参公人员）'!R228:S228)+SUM('工资福利（事业）'!V228:X228,'工资福利（事业）'!AB228))*0.006</f>
        <v>0.10326</v>
      </c>
      <c r="S228" s="348">
        <f>(SUM('工资福利（公务员、参公人员）'!R228:S228)+SUM('工资福利（事业）'!V228:X228,'工资福利（事业）'!AB228))*0.12</f>
        <v>2.0652</v>
      </c>
      <c r="T228" s="348"/>
      <c r="U228" s="348">
        <f t="shared" si="80"/>
        <v>191.6003</v>
      </c>
      <c r="V228" s="348">
        <f t="shared" si="81"/>
        <v>71.2936</v>
      </c>
      <c r="W228" s="348">
        <f t="shared" si="82"/>
        <v>35.6468</v>
      </c>
      <c r="X228" s="348">
        <f t="shared" si="83"/>
        <v>26.7326</v>
      </c>
      <c r="Y228" s="348">
        <f t="shared" si="84"/>
        <v>1.77884</v>
      </c>
      <c r="Z228" s="348">
        <f t="shared" si="85"/>
        <v>2.67326</v>
      </c>
      <c r="AA228" s="348">
        <f t="shared" si="86"/>
        <v>53.4752</v>
      </c>
      <c r="AB228" s="348">
        <f t="shared" si="87"/>
        <v>0</v>
      </c>
      <c r="AC228" s="350"/>
    </row>
    <row r="229" ht="24" spans="1:29">
      <c r="A229" s="284" t="s">
        <v>195</v>
      </c>
      <c r="B229" s="284" t="s">
        <v>442</v>
      </c>
      <c r="C229" s="284" t="s">
        <v>476</v>
      </c>
      <c r="D229" s="284" t="s">
        <v>454</v>
      </c>
      <c r="E229" s="348">
        <f t="shared" si="78"/>
        <v>160.74</v>
      </c>
      <c r="F229" s="348">
        <v>59.81</v>
      </c>
      <c r="G229" s="348">
        <v>29.9</v>
      </c>
      <c r="H229" s="348">
        <v>22.43</v>
      </c>
      <c r="I229" s="348">
        <v>1.5</v>
      </c>
      <c r="J229" s="348">
        <v>2.24</v>
      </c>
      <c r="K229" s="348">
        <v>44.86</v>
      </c>
      <c r="L229" s="348"/>
      <c r="M229" s="348">
        <f t="shared" si="79"/>
        <v>29.756</v>
      </c>
      <c r="N229" s="348">
        <f>(SUM('工资福利（公务员、参公人员）'!R229:T229)+SUM('工资福利（事业）'!V229:X229,'工资福利（事业）'!AB229))*0.16</f>
        <v>11.072</v>
      </c>
      <c r="O229" s="348">
        <f>(SUM('工资福利（公务员、参公人员）'!R229:S229)+SUM('工资福利（事业）'!V229:X229,'工资福利（事业）'!AB229))*0.08</f>
        <v>5.536</v>
      </c>
      <c r="P229" s="348">
        <f>(SUM('工资福利（公务员、参公人员）'!R229:S229)+SUM('工资福利（事业）'!V229:X229,'工资福利（事业）'!AB229))*0.06</f>
        <v>4.152</v>
      </c>
      <c r="Q229" s="348">
        <f>(SUM('工资福利（公务员、参公人员）'!R229:S229)+SUM('工资福利（事业）'!V229:X229,'工资福利（事业）'!AB229))*0.004</f>
        <v>0.2768</v>
      </c>
      <c r="R229" s="348">
        <f>(SUM('工资福利（公务员、参公人员）'!R229:S229)+SUM('工资福利（事业）'!V229:X229,'工资福利（事业）'!AB229))*0.006</f>
        <v>0.4152</v>
      </c>
      <c r="S229" s="348">
        <f>(SUM('工资福利（公务员、参公人员）'!R229:S229)+SUM('工资福利（事业）'!V229:X229,'工资福利（事业）'!AB229))*0.12</f>
        <v>8.304</v>
      </c>
      <c r="T229" s="348"/>
      <c r="U229" s="348">
        <f t="shared" si="80"/>
        <v>190.496</v>
      </c>
      <c r="V229" s="348">
        <f t="shared" si="81"/>
        <v>70.882</v>
      </c>
      <c r="W229" s="348">
        <f t="shared" si="82"/>
        <v>35.436</v>
      </c>
      <c r="X229" s="348">
        <f t="shared" si="83"/>
        <v>26.582</v>
      </c>
      <c r="Y229" s="348">
        <f t="shared" si="84"/>
        <v>1.7768</v>
      </c>
      <c r="Z229" s="348">
        <f t="shared" si="85"/>
        <v>2.6552</v>
      </c>
      <c r="AA229" s="348">
        <f t="shared" si="86"/>
        <v>53.164</v>
      </c>
      <c r="AB229" s="348">
        <f t="shared" si="87"/>
        <v>0</v>
      </c>
      <c r="AC229" s="350"/>
    </row>
    <row r="230" ht="24" spans="1:29">
      <c r="A230" s="284" t="s">
        <v>195</v>
      </c>
      <c r="B230" s="284" t="s">
        <v>442</v>
      </c>
      <c r="C230" s="284" t="s">
        <v>477</v>
      </c>
      <c r="D230" s="284" t="s">
        <v>444</v>
      </c>
      <c r="E230" s="348">
        <f t="shared" si="78"/>
        <v>242.03</v>
      </c>
      <c r="F230" s="348">
        <v>90.06</v>
      </c>
      <c r="G230" s="348">
        <v>45.03</v>
      </c>
      <c r="H230" s="348">
        <v>33.77</v>
      </c>
      <c r="I230" s="348">
        <v>2.25</v>
      </c>
      <c r="J230" s="348">
        <v>3.38</v>
      </c>
      <c r="K230" s="348">
        <v>67.54</v>
      </c>
      <c r="L230" s="348"/>
      <c r="M230" s="348">
        <f t="shared" si="79"/>
        <v>45.2016</v>
      </c>
      <c r="N230" s="348">
        <f>(SUM('工资福利（公务员、参公人员）'!R230:T230)+SUM('工资福利（事业）'!V230:X230,'工资福利（事业）'!AB230))*0.16</f>
        <v>16.8192</v>
      </c>
      <c r="O230" s="348">
        <f>(SUM('工资福利（公务员、参公人员）'!R230:S230)+SUM('工资福利（事业）'!V230:X230,'工资福利（事业）'!AB230))*0.08</f>
        <v>8.4096</v>
      </c>
      <c r="P230" s="348">
        <f>(SUM('工资福利（公务员、参公人员）'!R230:S230)+SUM('工资福利（事业）'!V230:X230,'工资福利（事业）'!AB230))*0.06</f>
        <v>6.3072</v>
      </c>
      <c r="Q230" s="348">
        <f>(SUM('工资福利（公务员、参公人员）'!R230:S230)+SUM('工资福利（事业）'!V230:X230,'工资福利（事业）'!AB230))*0.004</f>
        <v>0.42048</v>
      </c>
      <c r="R230" s="348">
        <f>(SUM('工资福利（公务员、参公人员）'!R230:S230)+SUM('工资福利（事业）'!V230:X230,'工资福利（事业）'!AB230))*0.006</f>
        <v>0.63072</v>
      </c>
      <c r="S230" s="348">
        <f>(SUM('工资福利（公务员、参公人员）'!R230:S230)+SUM('工资福利（事业）'!V230:X230,'工资福利（事业）'!AB230))*0.12</f>
        <v>12.6144</v>
      </c>
      <c r="T230" s="348"/>
      <c r="U230" s="348">
        <f t="shared" si="80"/>
        <v>287.2316</v>
      </c>
      <c r="V230" s="348">
        <f t="shared" si="81"/>
        <v>106.8792</v>
      </c>
      <c r="W230" s="348">
        <f t="shared" si="82"/>
        <v>53.4396</v>
      </c>
      <c r="X230" s="348">
        <f t="shared" si="83"/>
        <v>40.0772</v>
      </c>
      <c r="Y230" s="348">
        <f t="shared" si="84"/>
        <v>2.67048</v>
      </c>
      <c r="Z230" s="348">
        <f t="shared" si="85"/>
        <v>4.01072</v>
      </c>
      <c r="AA230" s="348">
        <f t="shared" si="86"/>
        <v>80.1544</v>
      </c>
      <c r="AB230" s="348">
        <f t="shared" si="87"/>
        <v>0</v>
      </c>
      <c r="AC230" s="350"/>
    </row>
    <row r="231" ht="24" spans="1:29">
      <c r="A231" s="284" t="s">
        <v>195</v>
      </c>
      <c r="B231" s="284" t="s">
        <v>438</v>
      </c>
      <c r="C231" s="284" t="s">
        <v>478</v>
      </c>
      <c r="D231" s="284" t="s">
        <v>479</v>
      </c>
      <c r="E231" s="348">
        <f t="shared" si="78"/>
        <v>178.56</v>
      </c>
      <c r="F231" s="348">
        <v>66.44</v>
      </c>
      <c r="G231" s="348">
        <v>33.22</v>
      </c>
      <c r="H231" s="348">
        <v>24.92</v>
      </c>
      <c r="I231" s="348">
        <v>1.66</v>
      </c>
      <c r="J231" s="348">
        <v>2.49</v>
      </c>
      <c r="K231" s="348">
        <v>49.83</v>
      </c>
      <c r="L231" s="348"/>
      <c r="M231" s="348">
        <f t="shared" si="79"/>
        <v>13.5364</v>
      </c>
      <c r="N231" s="348">
        <f>(SUM('工资福利（公务员、参公人员）'!R231:T231)+SUM('工资福利（事业）'!V231:X231,'工资福利（事业）'!AB231))*0.16</f>
        <v>5.0368</v>
      </c>
      <c r="O231" s="348">
        <f>(SUM('工资福利（公务员、参公人员）'!R231:S231)+SUM('工资福利（事业）'!V231:X231,'工资福利（事业）'!AB231))*0.08</f>
        <v>2.5184</v>
      </c>
      <c r="P231" s="348">
        <f>(SUM('工资福利（公务员、参公人员）'!R231:S231)+SUM('工资福利（事业）'!V231:X231,'工资福利（事业）'!AB231))*0.06</f>
        <v>1.8888</v>
      </c>
      <c r="Q231" s="348">
        <f>(SUM('工资福利（公务员、参公人员）'!R231:S231)+SUM('工资福利（事业）'!V231:X231,'工资福利（事业）'!AB231))*0.004</f>
        <v>0.12592</v>
      </c>
      <c r="R231" s="348">
        <f>(SUM('工资福利（公务员、参公人员）'!R231:S231)+SUM('工资福利（事业）'!V231:X231,'工资福利（事业）'!AB231))*0.006</f>
        <v>0.18888</v>
      </c>
      <c r="S231" s="348">
        <f>(SUM('工资福利（公务员、参公人员）'!R231:S231)+SUM('工资福利（事业）'!V231:X231,'工资福利（事业）'!AB231))*0.12</f>
        <v>3.7776</v>
      </c>
      <c r="T231" s="348"/>
      <c r="U231" s="348">
        <f t="shared" si="80"/>
        <v>192.0964</v>
      </c>
      <c r="V231" s="348">
        <f t="shared" si="81"/>
        <v>71.4768</v>
      </c>
      <c r="W231" s="348">
        <f t="shared" si="82"/>
        <v>35.7384</v>
      </c>
      <c r="X231" s="348">
        <f t="shared" si="83"/>
        <v>26.8088</v>
      </c>
      <c r="Y231" s="348">
        <f t="shared" si="84"/>
        <v>1.78592</v>
      </c>
      <c r="Z231" s="348">
        <f t="shared" si="85"/>
        <v>2.67888</v>
      </c>
      <c r="AA231" s="348">
        <f t="shared" si="86"/>
        <v>53.6076</v>
      </c>
      <c r="AB231" s="348">
        <f t="shared" si="87"/>
        <v>0</v>
      </c>
      <c r="AC231" s="350"/>
    </row>
    <row r="232" ht="24" spans="1:29">
      <c r="A232" s="284" t="s">
        <v>195</v>
      </c>
      <c r="B232" s="284" t="s">
        <v>442</v>
      </c>
      <c r="C232" s="284" t="s">
        <v>480</v>
      </c>
      <c r="D232" s="284" t="s">
        <v>454</v>
      </c>
      <c r="E232" s="348">
        <f t="shared" si="78"/>
        <v>615.86</v>
      </c>
      <c r="F232" s="348">
        <v>229.16</v>
      </c>
      <c r="G232" s="348">
        <v>114.58</v>
      </c>
      <c r="H232" s="348">
        <v>85.93</v>
      </c>
      <c r="I232" s="348">
        <v>5.73</v>
      </c>
      <c r="J232" s="348">
        <v>8.59</v>
      </c>
      <c r="K232" s="348">
        <v>171.87</v>
      </c>
      <c r="L232" s="348"/>
      <c r="M232" s="348">
        <f t="shared" si="79"/>
        <v>52.1461</v>
      </c>
      <c r="N232" s="348">
        <f>(SUM('工资福利（公务员、参公人员）'!R232:T232)+SUM('工资福利（事业）'!V232:X232,'工资福利（事业）'!AB232))*0.16</f>
        <v>19.4032</v>
      </c>
      <c r="O232" s="348">
        <f>(SUM('工资福利（公务员、参公人员）'!R232:S232)+SUM('工资福利（事业）'!V232:X232,'工资福利（事业）'!AB232))*0.08</f>
        <v>9.7016</v>
      </c>
      <c r="P232" s="348">
        <f>(SUM('工资福利（公务员、参公人员）'!R232:S232)+SUM('工资福利（事业）'!V232:X232,'工资福利（事业）'!AB232))*0.06</f>
        <v>7.2762</v>
      </c>
      <c r="Q232" s="348">
        <f>(SUM('工资福利（公务员、参公人员）'!R232:S232)+SUM('工资福利（事业）'!V232:X232,'工资福利（事业）'!AB232))*0.004</f>
        <v>0.48508</v>
      </c>
      <c r="R232" s="348">
        <f>(SUM('工资福利（公务员、参公人员）'!R232:S232)+SUM('工资福利（事业）'!V232:X232,'工资福利（事业）'!AB232))*0.006</f>
        <v>0.72762</v>
      </c>
      <c r="S232" s="348">
        <f>(SUM('工资福利（公务员、参公人员）'!R232:S232)+SUM('工资福利（事业）'!V232:X232,'工资福利（事业）'!AB232))*0.12</f>
        <v>14.5524</v>
      </c>
      <c r="T232" s="348"/>
      <c r="U232" s="348">
        <f t="shared" si="80"/>
        <v>668.0061</v>
      </c>
      <c r="V232" s="348">
        <f t="shared" si="81"/>
        <v>248.5632</v>
      </c>
      <c r="W232" s="348">
        <f t="shared" si="82"/>
        <v>124.2816</v>
      </c>
      <c r="X232" s="348">
        <f t="shared" si="83"/>
        <v>93.2062</v>
      </c>
      <c r="Y232" s="348">
        <f t="shared" si="84"/>
        <v>6.21508</v>
      </c>
      <c r="Z232" s="348">
        <f t="shared" si="85"/>
        <v>9.31762</v>
      </c>
      <c r="AA232" s="348">
        <f t="shared" si="86"/>
        <v>186.4224</v>
      </c>
      <c r="AB232" s="348">
        <f t="shared" si="87"/>
        <v>0</v>
      </c>
      <c r="AC232" s="350"/>
    </row>
    <row r="233" ht="24" spans="1:29">
      <c r="A233" s="284" t="s">
        <v>195</v>
      </c>
      <c r="B233" s="284" t="s">
        <v>442</v>
      </c>
      <c r="C233" s="284" t="s">
        <v>481</v>
      </c>
      <c r="D233" s="284" t="s">
        <v>444</v>
      </c>
      <c r="E233" s="348">
        <f t="shared" si="78"/>
        <v>150.43</v>
      </c>
      <c r="F233" s="348">
        <v>55.97</v>
      </c>
      <c r="G233" s="348">
        <v>27.99</v>
      </c>
      <c r="H233" s="348">
        <v>20.99</v>
      </c>
      <c r="I233" s="348">
        <v>1.4</v>
      </c>
      <c r="J233" s="348">
        <v>2.1</v>
      </c>
      <c r="K233" s="348">
        <v>41.98</v>
      </c>
      <c r="L233" s="348"/>
      <c r="M233" s="348">
        <f t="shared" si="79"/>
        <v>9.4557</v>
      </c>
      <c r="N233" s="348">
        <f>(SUM('工资福利（公务员、参公人员）'!R233:T233)+SUM('工资福利（事业）'!V233:X233,'工资福利（事业）'!AB233))*0.16</f>
        <v>3.5184</v>
      </c>
      <c r="O233" s="348">
        <f>(SUM('工资福利（公务员、参公人员）'!R233:S233)+SUM('工资福利（事业）'!V233:X233,'工资福利（事业）'!AB233))*0.08</f>
        <v>1.7592</v>
      </c>
      <c r="P233" s="348">
        <f>(SUM('工资福利（公务员、参公人员）'!R233:S233)+SUM('工资福利（事业）'!V233:X233,'工资福利（事业）'!AB233))*0.06</f>
        <v>1.3194</v>
      </c>
      <c r="Q233" s="348">
        <f>(SUM('工资福利（公务员、参公人员）'!R233:S233)+SUM('工资福利（事业）'!V233:X233,'工资福利（事业）'!AB233))*0.004</f>
        <v>0.08796</v>
      </c>
      <c r="R233" s="348">
        <f>(SUM('工资福利（公务员、参公人员）'!R233:S233)+SUM('工资福利（事业）'!V233:X233,'工资福利（事业）'!AB233))*0.006</f>
        <v>0.13194</v>
      </c>
      <c r="S233" s="348">
        <f>(SUM('工资福利（公务员、参公人员）'!R233:S233)+SUM('工资福利（事业）'!V233:X233,'工资福利（事业）'!AB233))*0.12</f>
        <v>2.6388</v>
      </c>
      <c r="T233" s="348"/>
      <c r="U233" s="348">
        <f t="shared" si="80"/>
        <v>159.8857</v>
      </c>
      <c r="V233" s="348">
        <f t="shared" si="81"/>
        <v>59.4884</v>
      </c>
      <c r="W233" s="348">
        <f t="shared" si="82"/>
        <v>29.7492</v>
      </c>
      <c r="X233" s="348">
        <f t="shared" si="83"/>
        <v>22.3094</v>
      </c>
      <c r="Y233" s="348">
        <f t="shared" si="84"/>
        <v>1.48796</v>
      </c>
      <c r="Z233" s="348">
        <f t="shared" si="85"/>
        <v>2.23194</v>
      </c>
      <c r="AA233" s="348">
        <f t="shared" si="86"/>
        <v>44.6188</v>
      </c>
      <c r="AB233" s="348">
        <f t="shared" si="87"/>
        <v>0</v>
      </c>
      <c r="AC233" s="350"/>
    </row>
    <row r="234" ht="24" spans="1:29">
      <c r="A234" s="284" t="s">
        <v>195</v>
      </c>
      <c r="B234" s="284" t="s">
        <v>442</v>
      </c>
      <c r="C234" s="284" t="s">
        <v>482</v>
      </c>
      <c r="D234" s="284" t="s">
        <v>444</v>
      </c>
      <c r="E234" s="348">
        <f t="shared" si="78"/>
        <v>234.32</v>
      </c>
      <c r="F234" s="348">
        <v>87.19</v>
      </c>
      <c r="G234" s="348">
        <v>43.59</v>
      </c>
      <c r="H234" s="348">
        <v>32.7</v>
      </c>
      <c r="I234" s="348">
        <v>2.18</v>
      </c>
      <c r="J234" s="348">
        <v>3.27</v>
      </c>
      <c r="K234" s="348">
        <v>65.39</v>
      </c>
      <c r="L234" s="348"/>
      <c r="M234" s="348">
        <f t="shared" si="79"/>
        <v>-22.618</v>
      </c>
      <c r="N234" s="348">
        <f>(SUM('工资福利（公务员、参公人员）'!R234:T234)+SUM('工资福利（事业）'!V234:X234,'工资福利（事业）'!AB234))*0.16</f>
        <v>-8.416</v>
      </c>
      <c r="O234" s="348">
        <f>(SUM('工资福利（公务员、参公人员）'!R234:S234)+SUM('工资福利（事业）'!V234:X234,'工资福利（事业）'!AB234))*0.08</f>
        <v>-4.208</v>
      </c>
      <c r="P234" s="348">
        <f>(SUM('工资福利（公务员、参公人员）'!R234:S234)+SUM('工资福利（事业）'!V234:X234,'工资福利（事业）'!AB234))*0.06</f>
        <v>-3.156</v>
      </c>
      <c r="Q234" s="348">
        <f>(SUM('工资福利（公务员、参公人员）'!R234:S234)+SUM('工资福利（事业）'!V234:X234,'工资福利（事业）'!AB234))*0.004</f>
        <v>-0.2104</v>
      </c>
      <c r="R234" s="348">
        <f>(SUM('工资福利（公务员、参公人员）'!R234:S234)+SUM('工资福利（事业）'!V234:X234,'工资福利（事业）'!AB234))*0.006</f>
        <v>-0.3156</v>
      </c>
      <c r="S234" s="348">
        <f>(SUM('工资福利（公务员、参公人员）'!R234:S234)+SUM('工资福利（事业）'!V234:X234,'工资福利（事业）'!AB234))*0.12</f>
        <v>-6.312</v>
      </c>
      <c r="T234" s="348"/>
      <c r="U234" s="348">
        <f t="shared" si="80"/>
        <v>211.702</v>
      </c>
      <c r="V234" s="348">
        <f t="shared" si="81"/>
        <v>78.774</v>
      </c>
      <c r="W234" s="348">
        <f t="shared" si="82"/>
        <v>39.382</v>
      </c>
      <c r="X234" s="348">
        <f t="shared" si="83"/>
        <v>29.544</v>
      </c>
      <c r="Y234" s="348">
        <f t="shared" si="84"/>
        <v>1.9696</v>
      </c>
      <c r="Z234" s="348">
        <f t="shared" si="85"/>
        <v>2.9544</v>
      </c>
      <c r="AA234" s="348">
        <f t="shared" si="86"/>
        <v>59.078</v>
      </c>
      <c r="AB234" s="348">
        <f t="shared" si="87"/>
        <v>0</v>
      </c>
      <c r="AC234" s="350"/>
    </row>
    <row r="235" ht="24" spans="1:29">
      <c r="A235" s="284" t="s">
        <v>195</v>
      </c>
      <c r="B235" s="284" t="s">
        <v>442</v>
      </c>
      <c r="C235" s="284" t="s">
        <v>483</v>
      </c>
      <c r="D235" s="284" t="s">
        <v>454</v>
      </c>
      <c r="E235" s="348">
        <f t="shared" si="78"/>
        <v>158.97</v>
      </c>
      <c r="F235" s="348">
        <v>59.15</v>
      </c>
      <c r="G235" s="348">
        <v>29.58</v>
      </c>
      <c r="H235" s="348">
        <v>22.18</v>
      </c>
      <c r="I235" s="348">
        <v>1.48</v>
      </c>
      <c r="J235" s="348">
        <v>2.22</v>
      </c>
      <c r="K235" s="348">
        <v>44.36</v>
      </c>
      <c r="L235" s="348"/>
      <c r="M235" s="348">
        <f t="shared" si="79"/>
        <v>-51.0023</v>
      </c>
      <c r="N235" s="348">
        <f>(SUM('工资福利（公务员、参公人员）'!R235:T235)+SUM('工资福利（事业）'!V235:X235,'工资福利（事业）'!AB235))*0.16</f>
        <v>-18.9776</v>
      </c>
      <c r="O235" s="348">
        <f>(SUM('工资福利（公务员、参公人员）'!R235:S235)+SUM('工资福利（事业）'!V235:X235,'工资福利（事业）'!AB235))*0.08</f>
        <v>-9.4888</v>
      </c>
      <c r="P235" s="348">
        <f>(SUM('工资福利（公务员、参公人员）'!R235:S235)+SUM('工资福利（事业）'!V235:X235,'工资福利（事业）'!AB235))*0.06</f>
        <v>-7.1166</v>
      </c>
      <c r="Q235" s="348">
        <f>(SUM('工资福利（公务员、参公人员）'!R235:S235)+SUM('工资福利（事业）'!V235:X235,'工资福利（事业）'!AB235))*0.004</f>
        <v>-0.47444</v>
      </c>
      <c r="R235" s="348">
        <f>(SUM('工资福利（公务员、参公人员）'!R235:S235)+SUM('工资福利（事业）'!V235:X235,'工资福利（事业）'!AB235))*0.006</f>
        <v>-0.71166</v>
      </c>
      <c r="S235" s="348">
        <f>(SUM('工资福利（公务员、参公人员）'!R235:S235)+SUM('工资福利（事业）'!V235:X235,'工资福利（事业）'!AB235))*0.12</f>
        <v>-14.2332</v>
      </c>
      <c r="T235" s="348"/>
      <c r="U235" s="348">
        <f t="shared" si="80"/>
        <v>107.9677</v>
      </c>
      <c r="V235" s="348">
        <f t="shared" si="81"/>
        <v>40.1724</v>
      </c>
      <c r="W235" s="348">
        <f t="shared" si="82"/>
        <v>20.0912</v>
      </c>
      <c r="X235" s="348">
        <f t="shared" si="83"/>
        <v>15.0634</v>
      </c>
      <c r="Y235" s="348">
        <f t="shared" si="84"/>
        <v>1.00556</v>
      </c>
      <c r="Z235" s="348">
        <f t="shared" si="85"/>
        <v>1.50834</v>
      </c>
      <c r="AA235" s="348">
        <f t="shared" si="86"/>
        <v>30.1268</v>
      </c>
      <c r="AB235" s="348">
        <f t="shared" si="87"/>
        <v>0</v>
      </c>
      <c r="AC235" s="350"/>
    </row>
    <row r="236" ht="24" spans="1:29">
      <c r="A236" s="284" t="s">
        <v>195</v>
      </c>
      <c r="B236" s="284" t="s">
        <v>442</v>
      </c>
      <c r="C236" s="284" t="s">
        <v>790</v>
      </c>
      <c r="D236" s="284" t="s">
        <v>454</v>
      </c>
      <c r="E236" s="348">
        <f t="shared" si="78"/>
        <v>254.44</v>
      </c>
      <c r="F236" s="348">
        <v>94.67</v>
      </c>
      <c r="G236" s="348">
        <v>47.34</v>
      </c>
      <c r="H236" s="348">
        <v>35.5</v>
      </c>
      <c r="I236" s="348">
        <v>2.37</v>
      </c>
      <c r="J236" s="348">
        <v>3.55</v>
      </c>
      <c r="K236" s="348">
        <v>71.01</v>
      </c>
      <c r="L236" s="348"/>
      <c r="M236" s="348">
        <f t="shared" si="79"/>
        <v>-50.7443</v>
      </c>
      <c r="N236" s="348">
        <f>(SUM('工资福利（公务员、参公人员）'!R236:T236)+SUM('工资福利（事业）'!V236:X236,'工资福利（事业）'!AB236))*0.16</f>
        <v>-18.8816</v>
      </c>
      <c r="O236" s="348">
        <f>(SUM('工资福利（公务员、参公人员）'!R236:S236)+SUM('工资福利（事业）'!V236:X236,'工资福利（事业）'!AB236))*0.08</f>
        <v>-9.4408</v>
      </c>
      <c r="P236" s="348">
        <f>(SUM('工资福利（公务员、参公人员）'!R236:S236)+SUM('工资福利（事业）'!V236:X236,'工资福利（事业）'!AB236))*0.06</f>
        <v>-7.0806</v>
      </c>
      <c r="Q236" s="348">
        <f>(SUM('工资福利（公务员、参公人员）'!R236:S236)+SUM('工资福利（事业）'!V236:X236,'工资福利（事业）'!AB236))*0.004</f>
        <v>-0.47204</v>
      </c>
      <c r="R236" s="348">
        <f>(SUM('工资福利（公务员、参公人员）'!R236:S236)+SUM('工资福利（事业）'!V236:X236,'工资福利（事业）'!AB236))*0.006</f>
        <v>-0.70806</v>
      </c>
      <c r="S236" s="348">
        <f>(SUM('工资福利（公务员、参公人员）'!R236:S236)+SUM('工资福利（事业）'!V236:X236,'工资福利（事业）'!AB236))*0.12</f>
        <v>-14.1612</v>
      </c>
      <c r="T236" s="348"/>
      <c r="U236" s="348">
        <f t="shared" si="80"/>
        <v>203.6957</v>
      </c>
      <c r="V236" s="348">
        <f t="shared" si="81"/>
        <v>75.7884</v>
      </c>
      <c r="W236" s="348">
        <f t="shared" si="82"/>
        <v>37.8992</v>
      </c>
      <c r="X236" s="348">
        <f t="shared" si="83"/>
        <v>28.4194</v>
      </c>
      <c r="Y236" s="348">
        <f t="shared" si="84"/>
        <v>1.89796</v>
      </c>
      <c r="Z236" s="348">
        <f t="shared" si="85"/>
        <v>2.84194</v>
      </c>
      <c r="AA236" s="348">
        <f t="shared" si="86"/>
        <v>56.8488</v>
      </c>
      <c r="AB236" s="348">
        <f t="shared" si="87"/>
        <v>0</v>
      </c>
      <c r="AC236" s="350"/>
    </row>
    <row r="237" ht="24" spans="1:29">
      <c r="A237" s="284" t="s">
        <v>195</v>
      </c>
      <c r="B237" s="284" t="s">
        <v>442</v>
      </c>
      <c r="C237" s="284" t="s">
        <v>485</v>
      </c>
      <c r="D237" s="284" t="s">
        <v>444</v>
      </c>
      <c r="E237" s="348">
        <f t="shared" si="78"/>
        <v>216.56</v>
      </c>
      <c r="F237" s="348">
        <v>80.58</v>
      </c>
      <c r="G237" s="348">
        <v>40.29</v>
      </c>
      <c r="H237" s="348">
        <v>30.22</v>
      </c>
      <c r="I237" s="348">
        <v>2.01</v>
      </c>
      <c r="J237" s="348">
        <v>3.02</v>
      </c>
      <c r="K237" s="348">
        <v>60.44</v>
      </c>
      <c r="L237" s="348"/>
      <c r="M237" s="348">
        <f t="shared" si="79"/>
        <v>11.1456</v>
      </c>
      <c r="N237" s="348">
        <f>(SUM('工资福利（公务员、参公人员）'!R237:T237)+SUM('工资福利（事业）'!V237:X237,'工资福利（事业）'!AB237))*0.16</f>
        <v>4.1472</v>
      </c>
      <c r="O237" s="348">
        <f>(SUM('工资福利（公务员、参公人员）'!R237:S237)+SUM('工资福利（事业）'!V237:X237,'工资福利（事业）'!AB237))*0.08</f>
        <v>2.0736</v>
      </c>
      <c r="P237" s="348">
        <f>(SUM('工资福利（公务员、参公人员）'!R237:S237)+SUM('工资福利（事业）'!V237:X237,'工资福利（事业）'!AB237))*0.06</f>
        <v>1.5552</v>
      </c>
      <c r="Q237" s="348">
        <f>(SUM('工资福利（公务员、参公人员）'!R237:S237)+SUM('工资福利（事业）'!V237:X237,'工资福利（事业）'!AB237))*0.004</f>
        <v>0.10368</v>
      </c>
      <c r="R237" s="348">
        <f>(SUM('工资福利（公务员、参公人员）'!R237:S237)+SUM('工资福利（事业）'!V237:X237,'工资福利（事业）'!AB237))*0.006</f>
        <v>0.15552</v>
      </c>
      <c r="S237" s="348">
        <f>(SUM('工资福利（公务员、参公人员）'!R237:S237)+SUM('工资福利（事业）'!V237:X237,'工资福利（事业）'!AB237))*0.12</f>
        <v>3.1104</v>
      </c>
      <c r="T237" s="348"/>
      <c r="U237" s="348">
        <f t="shared" si="80"/>
        <v>227.7056</v>
      </c>
      <c r="V237" s="348">
        <f t="shared" si="81"/>
        <v>84.7272</v>
      </c>
      <c r="W237" s="348">
        <f t="shared" si="82"/>
        <v>42.3636</v>
      </c>
      <c r="X237" s="348">
        <f t="shared" si="83"/>
        <v>31.7752</v>
      </c>
      <c r="Y237" s="348">
        <f t="shared" si="84"/>
        <v>2.11368</v>
      </c>
      <c r="Z237" s="348">
        <f t="shared" si="85"/>
        <v>3.17552</v>
      </c>
      <c r="AA237" s="348">
        <f t="shared" si="86"/>
        <v>63.5504</v>
      </c>
      <c r="AB237" s="348">
        <f t="shared" si="87"/>
        <v>0</v>
      </c>
      <c r="AC237" s="350"/>
    </row>
    <row r="238" ht="24" spans="1:29">
      <c r="A238" s="284" t="s">
        <v>195</v>
      </c>
      <c r="B238" s="284" t="s">
        <v>442</v>
      </c>
      <c r="C238" s="284" t="s">
        <v>486</v>
      </c>
      <c r="D238" s="284" t="s">
        <v>454</v>
      </c>
      <c r="E238" s="348">
        <f t="shared" si="78"/>
        <v>121.55</v>
      </c>
      <c r="F238" s="348">
        <v>45.23</v>
      </c>
      <c r="G238" s="348">
        <v>22.61</v>
      </c>
      <c r="H238" s="348">
        <v>16.96</v>
      </c>
      <c r="I238" s="348">
        <v>1.13</v>
      </c>
      <c r="J238" s="348">
        <v>1.7</v>
      </c>
      <c r="K238" s="348">
        <v>33.92</v>
      </c>
      <c r="L238" s="348"/>
      <c r="M238" s="348">
        <f t="shared" si="79"/>
        <v>5.5212</v>
      </c>
      <c r="N238" s="348">
        <f>(SUM('工资福利（公务员、参公人员）'!R238:T238)+SUM('工资福利（事业）'!V238:X238,'工资福利（事业）'!AB238))*0.16</f>
        <v>2.0544</v>
      </c>
      <c r="O238" s="348">
        <f>(SUM('工资福利（公务员、参公人员）'!R238:S238)+SUM('工资福利（事业）'!V238:X238,'工资福利（事业）'!AB238))*0.08</f>
        <v>1.0272</v>
      </c>
      <c r="P238" s="348">
        <f>(SUM('工资福利（公务员、参公人员）'!R238:S238)+SUM('工资福利（事业）'!V238:X238,'工资福利（事业）'!AB238))*0.06</f>
        <v>0.7704</v>
      </c>
      <c r="Q238" s="348">
        <f>(SUM('工资福利（公务员、参公人员）'!R238:S238)+SUM('工资福利（事业）'!V238:X238,'工资福利（事业）'!AB238))*0.004</f>
        <v>0.05136</v>
      </c>
      <c r="R238" s="348">
        <f>(SUM('工资福利（公务员、参公人员）'!R238:S238)+SUM('工资福利（事业）'!V238:X238,'工资福利（事业）'!AB238))*0.006</f>
        <v>0.07704</v>
      </c>
      <c r="S238" s="348">
        <f>(SUM('工资福利（公务员、参公人员）'!R238:S238)+SUM('工资福利（事业）'!V238:X238,'工资福利（事业）'!AB238))*0.12</f>
        <v>1.5408</v>
      </c>
      <c r="T238" s="348"/>
      <c r="U238" s="348">
        <f t="shared" si="80"/>
        <v>127.0712</v>
      </c>
      <c r="V238" s="348">
        <f t="shared" si="81"/>
        <v>47.2844</v>
      </c>
      <c r="W238" s="348">
        <f t="shared" si="82"/>
        <v>23.6372</v>
      </c>
      <c r="X238" s="348">
        <f t="shared" si="83"/>
        <v>17.7304</v>
      </c>
      <c r="Y238" s="348">
        <f t="shared" si="84"/>
        <v>1.18136</v>
      </c>
      <c r="Z238" s="348">
        <f t="shared" si="85"/>
        <v>1.77704</v>
      </c>
      <c r="AA238" s="348">
        <f t="shared" si="86"/>
        <v>35.4608</v>
      </c>
      <c r="AB238" s="348">
        <f t="shared" si="87"/>
        <v>0</v>
      </c>
      <c r="AC238" s="350"/>
    </row>
    <row r="239" ht="24" spans="1:29">
      <c r="A239" s="284" t="s">
        <v>195</v>
      </c>
      <c r="B239" s="284" t="s">
        <v>442</v>
      </c>
      <c r="C239" s="284" t="s">
        <v>487</v>
      </c>
      <c r="D239" s="284" t="s">
        <v>444</v>
      </c>
      <c r="E239" s="348">
        <f t="shared" si="78"/>
        <v>201.93</v>
      </c>
      <c r="F239" s="348">
        <v>75.13</v>
      </c>
      <c r="G239" s="348">
        <v>37.57</v>
      </c>
      <c r="H239" s="348">
        <v>28.18</v>
      </c>
      <c r="I239" s="348">
        <v>1.88</v>
      </c>
      <c r="J239" s="348">
        <v>2.82</v>
      </c>
      <c r="K239" s="348">
        <v>56.35</v>
      </c>
      <c r="L239" s="348"/>
      <c r="M239" s="348">
        <f t="shared" si="79"/>
        <v>9.6578</v>
      </c>
      <c r="N239" s="348">
        <f>(SUM('工资福利（公务员、参公人员）'!R239:T239)+SUM('工资福利（事业）'!V239:X239,'工资福利（事业）'!AB239))*0.16</f>
        <v>3.5936</v>
      </c>
      <c r="O239" s="348">
        <f>(SUM('工资福利（公务员、参公人员）'!R239:S239)+SUM('工资福利（事业）'!V239:X239,'工资福利（事业）'!AB239))*0.08</f>
        <v>1.7968</v>
      </c>
      <c r="P239" s="348">
        <f>(SUM('工资福利（公务员、参公人员）'!R239:S239)+SUM('工资福利（事业）'!V239:X239,'工资福利（事业）'!AB239))*0.06</f>
        <v>1.3476</v>
      </c>
      <c r="Q239" s="348">
        <f>(SUM('工资福利（公务员、参公人员）'!R239:S239)+SUM('工资福利（事业）'!V239:X239,'工资福利（事业）'!AB239))*0.004</f>
        <v>0.08984</v>
      </c>
      <c r="R239" s="348">
        <f>(SUM('工资福利（公务员、参公人员）'!R239:S239)+SUM('工资福利（事业）'!V239:X239,'工资福利（事业）'!AB239))*0.006</f>
        <v>0.13476</v>
      </c>
      <c r="S239" s="348">
        <f>(SUM('工资福利（公务员、参公人员）'!R239:S239)+SUM('工资福利（事业）'!V239:X239,'工资福利（事业）'!AB239))*0.12</f>
        <v>2.6952</v>
      </c>
      <c r="T239" s="348"/>
      <c r="U239" s="348">
        <f t="shared" si="80"/>
        <v>211.5878</v>
      </c>
      <c r="V239" s="348">
        <f t="shared" si="81"/>
        <v>78.7236</v>
      </c>
      <c r="W239" s="348">
        <f t="shared" si="82"/>
        <v>39.3668</v>
      </c>
      <c r="X239" s="348">
        <f t="shared" si="83"/>
        <v>29.5276</v>
      </c>
      <c r="Y239" s="348">
        <f t="shared" si="84"/>
        <v>1.96984</v>
      </c>
      <c r="Z239" s="348">
        <f t="shared" si="85"/>
        <v>2.95476</v>
      </c>
      <c r="AA239" s="348">
        <f t="shared" si="86"/>
        <v>59.0452</v>
      </c>
      <c r="AB239" s="348">
        <f t="shared" si="87"/>
        <v>0</v>
      </c>
      <c r="AC239" s="350"/>
    </row>
    <row r="240" ht="24" spans="1:29">
      <c r="A240" s="284" t="s">
        <v>195</v>
      </c>
      <c r="B240" s="284" t="s">
        <v>442</v>
      </c>
      <c r="C240" s="284" t="s">
        <v>488</v>
      </c>
      <c r="D240" s="284" t="s">
        <v>454</v>
      </c>
      <c r="E240" s="348">
        <f t="shared" si="78"/>
        <v>289.21</v>
      </c>
      <c r="F240" s="348">
        <v>107.61</v>
      </c>
      <c r="G240" s="348">
        <v>53.81</v>
      </c>
      <c r="H240" s="348">
        <v>40.35</v>
      </c>
      <c r="I240" s="348">
        <v>2.69</v>
      </c>
      <c r="J240" s="348">
        <v>4.04</v>
      </c>
      <c r="K240" s="348">
        <v>80.71</v>
      </c>
      <c r="L240" s="348"/>
      <c r="M240" s="348">
        <f t="shared" si="79"/>
        <v>66.1598</v>
      </c>
      <c r="N240" s="348">
        <f>(SUM('工资福利（公务员、参公人员）'!R240:T240)+SUM('工资福利（事业）'!V240:X240,'工资福利（事业）'!AB240))*0.16</f>
        <v>24.6176</v>
      </c>
      <c r="O240" s="348">
        <f>(SUM('工资福利（公务员、参公人员）'!R240:S240)+SUM('工资福利（事业）'!V240:X240,'工资福利（事业）'!AB240))*0.08</f>
        <v>12.3088</v>
      </c>
      <c r="P240" s="348">
        <f>(SUM('工资福利（公务员、参公人员）'!R240:S240)+SUM('工资福利（事业）'!V240:X240,'工资福利（事业）'!AB240))*0.06</f>
        <v>9.2316</v>
      </c>
      <c r="Q240" s="348">
        <f>(SUM('工资福利（公务员、参公人员）'!R240:S240)+SUM('工资福利（事业）'!V240:X240,'工资福利（事业）'!AB240))*0.004</f>
        <v>0.61544</v>
      </c>
      <c r="R240" s="348">
        <f>(SUM('工资福利（公务员、参公人员）'!R240:S240)+SUM('工资福利（事业）'!V240:X240,'工资福利（事业）'!AB240))*0.006</f>
        <v>0.92316</v>
      </c>
      <c r="S240" s="348">
        <f>(SUM('工资福利（公务员、参公人员）'!R240:S240)+SUM('工资福利（事业）'!V240:X240,'工资福利（事业）'!AB240))*0.12</f>
        <v>18.4632</v>
      </c>
      <c r="T240" s="348"/>
      <c r="U240" s="348">
        <f t="shared" si="80"/>
        <v>355.3698</v>
      </c>
      <c r="V240" s="348">
        <f t="shared" si="81"/>
        <v>132.2276</v>
      </c>
      <c r="W240" s="348">
        <f t="shared" si="82"/>
        <v>66.1188</v>
      </c>
      <c r="X240" s="348">
        <f t="shared" si="83"/>
        <v>49.5816</v>
      </c>
      <c r="Y240" s="348">
        <f t="shared" si="84"/>
        <v>3.30544</v>
      </c>
      <c r="Z240" s="348">
        <f t="shared" si="85"/>
        <v>4.96316</v>
      </c>
      <c r="AA240" s="348">
        <f t="shared" si="86"/>
        <v>99.1732</v>
      </c>
      <c r="AB240" s="348">
        <f t="shared" si="87"/>
        <v>0</v>
      </c>
      <c r="AC240" s="350"/>
    </row>
    <row r="241" ht="24" spans="1:29">
      <c r="A241" s="284" t="s">
        <v>195</v>
      </c>
      <c r="B241" s="284" t="s">
        <v>442</v>
      </c>
      <c r="C241" s="284" t="s">
        <v>489</v>
      </c>
      <c r="D241" s="284" t="s">
        <v>444</v>
      </c>
      <c r="E241" s="348">
        <f t="shared" si="78"/>
        <v>479.62</v>
      </c>
      <c r="F241" s="348">
        <v>178.47</v>
      </c>
      <c r="G241" s="348">
        <v>89.23</v>
      </c>
      <c r="H241" s="348">
        <v>66.92</v>
      </c>
      <c r="I241" s="348">
        <v>4.46</v>
      </c>
      <c r="J241" s="348">
        <v>6.69</v>
      </c>
      <c r="K241" s="348">
        <v>133.85</v>
      </c>
      <c r="L241" s="348"/>
      <c r="M241" s="348">
        <f t="shared" si="79"/>
        <v>74.906</v>
      </c>
      <c r="N241" s="348">
        <f>(SUM('工资福利（公务员、参公人员）'!R241:T241)+SUM('工资福利（事业）'!V241:X241,'工资福利（事业）'!AB241))*0.16</f>
        <v>27.872</v>
      </c>
      <c r="O241" s="348">
        <f>(SUM('工资福利（公务员、参公人员）'!R241:S241)+SUM('工资福利（事业）'!V241:X241,'工资福利（事业）'!AB241))*0.08</f>
        <v>13.936</v>
      </c>
      <c r="P241" s="348">
        <f>(SUM('工资福利（公务员、参公人员）'!R241:S241)+SUM('工资福利（事业）'!V241:X241,'工资福利（事业）'!AB241))*0.06</f>
        <v>10.452</v>
      </c>
      <c r="Q241" s="348">
        <f>(SUM('工资福利（公务员、参公人员）'!R241:S241)+SUM('工资福利（事业）'!V241:X241,'工资福利（事业）'!AB241))*0.004</f>
        <v>0.6968</v>
      </c>
      <c r="R241" s="348">
        <f>(SUM('工资福利（公务员、参公人员）'!R241:S241)+SUM('工资福利（事业）'!V241:X241,'工资福利（事业）'!AB241))*0.006</f>
        <v>1.0452</v>
      </c>
      <c r="S241" s="348">
        <f>(SUM('工资福利（公务员、参公人员）'!R241:S241)+SUM('工资福利（事业）'!V241:X241,'工资福利（事业）'!AB241))*0.12</f>
        <v>20.904</v>
      </c>
      <c r="T241" s="348"/>
      <c r="U241" s="348">
        <f t="shared" si="80"/>
        <v>554.526</v>
      </c>
      <c r="V241" s="348">
        <f t="shared" si="81"/>
        <v>206.342</v>
      </c>
      <c r="W241" s="348">
        <f t="shared" si="82"/>
        <v>103.166</v>
      </c>
      <c r="X241" s="348">
        <f t="shared" si="83"/>
        <v>77.372</v>
      </c>
      <c r="Y241" s="348">
        <f t="shared" si="84"/>
        <v>5.1568</v>
      </c>
      <c r="Z241" s="348">
        <f t="shared" si="85"/>
        <v>7.7352</v>
      </c>
      <c r="AA241" s="348">
        <f t="shared" si="86"/>
        <v>154.754</v>
      </c>
      <c r="AB241" s="348">
        <f t="shared" si="87"/>
        <v>0</v>
      </c>
      <c r="AC241" s="350"/>
    </row>
    <row r="242" ht="36" spans="1:29">
      <c r="A242" s="284" t="s">
        <v>195</v>
      </c>
      <c r="B242" s="284" t="s">
        <v>199</v>
      </c>
      <c r="C242" s="284" t="s">
        <v>490</v>
      </c>
      <c r="D242" s="284" t="s">
        <v>491</v>
      </c>
      <c r="E242" s="348">
        <f t="shared" si="78"/>
        <v>68.2</v>
      </c>
      <c r="F242" s="348">
        <v>25.38</v>
      </c>
      <c r="G242" s="348">
        <v>12.69</v>
      </c>
      <c r="H242" s="348">
        <v>9.52</v>
      </c>
      <c r="I242" s="348">
        <v>0.63</v>
      </c>
      <c r="J242" s="348">
        <v>0.95</v>
      </c>
      <c r="K242" s="348">
        <v>19.03</v>
      </c>
      <c r="L242" s="348"/>
      <c r="M242" s="348">
        <f t="shared" si="79"/>
        <v>8.2302</v>
      </c>
      <c r="N242" s="348">
        <f>(SUM('工资福利（公务员、参公人员）'!R242:T242)+SUM('工资福利（事业）'!V242:X242,'工资福利（事业）'!AB242))*0.16</f>
        <v>3.0624</v>
      </c>
      <c r="O242" s="348">
        <f>(SUM('工资福利（公务员、参公人员）'!R242:S242)+SUM('工资福利（事业）'!V242:X242,'工资福利（事业）'!AB242))*0.08</f>
        <v>1.5312</v>
      </c>
      <c r="P242" s="348">
        <f>(SUM('工资福利（公务员、参公人员）'!R242:S242)+SUM('工资福利（事业）'!V242:X242,'工资福利（事业）'!AB242))*0.06</f>
        <v>1.1484</v>
      </c>
      <c r="Q242" s="348">
        <f>(SUM('工资福利（公务员、参公人员）'!R242:S242)+SUM('工资福利（事业）'!V242:X242,'工资福利（事业）'!AB242))*0.004</f>
        <v>0.07656</v>
      </c>
      <c r="R242" s="348">
        <f>(SUM('工资福利（公务员、参公人员）'!R242:S242)+SUM('工资福利（事业）'!V242:X242,'工资福利（事业）'!AB242))*0.006</f>
        <v>0.11484</v>
      </c>
      <c r="S242" s="348">
        <f>(SUM('工资福利（公务员、参公人员）'!R242:S242)+SUM('工资福利（事业）'!V242:X242,'工资福利（事业）'!AB242))*0.12</f>
        <v>2.2968</v>
      </c>
      <c r="T242" s="348"/>
      <c r="U242" s="348">
        <f t="shared" si="80"/>
        <v>76.4302</v>
      </c>
      <c r="V242" s="348">
        <f t="shared" si="81"/>
        <v>28.4424</v>
      </c>
      <c r="W242" s="348">
        <f t="shared" si="82"/>
        <v>14.2212</v>
      </c>
      <c r="X242" s="348">
        <f t="shared" si="83"/>
        <v>10.6684</v>
      </c>
      <c r="Y242" s="348">
        <f t="shared" si="84"/>
        <v>0.70656</v>
      </c>
      <c r="Z242" s="348">
        <f t="shared" si="85"/>
        <v>1.06484</v>
      </c>
      <c r="AA242" s="348">
        <f t="shared" si="86"/>
        <v>21.3268</v>
      </c>
      <c r="AB242" s="348">
        <f t="shared" si="87"/>
        <v>0</v>
      </c>
      <c r="AC242" s="350"/>
    </row>
    <row r="243" ht="24" spans="1:29">
      <c r="A243" s="284" t="s">
        <v>195</v>
      </c>
      <c r="B243" s="284" t="s">
        <v>442</v>
      </c>
      <c r="C243" s="284" t="s">
        <v>492</v>
      </c>
      <c r="D243" s="284" t="s">
        <v>454</v>
      </c>
      <c r="E243" s="348">
        <f t="shared" si="78"/>
        <v>469.15</v>
      </c>
      <c r="F243" s="348">
        <v>174.57</v>
      </c>
      <c r="G243" s="348">
        <v>87.28</v>
      </c>
      <c r="H243" s="348">
        <v>65.46</v>
      </c>
      <c r="I243" s="348">
        <v>4.36</v>
      </c>
      <c r="J243" s="348">
        <v>6.55</v>
      </c>
      <c r="K243" s="348">
        <v>130.93</v>
      </c>
      <c r="L243" s="348"/>
      <c r="M243" s="348">
        <f t="shared" si="79"/>
        <v>61.1503</v>
      </c>
      <c r="N243" s="348">
        <f>(SUM('工资福利（公务员、参公人员）'!R243:T243)+SUM('工资福利（事业）'!V243:X243,'工资福利（事业）'!AB243))*0.16</f>
        <v>22.7536</v>
      </c>
      <c r="O243" s="348">
        <f>(SUM('工资福利（公务员、参公人员）'!R243:S243)+SUM('工资福利（事业）'!V243:X243,'工资福利（事业）'!AB243))*0.08</f>
        <v>11.3768</v>
      </c>
      <c r="P243" s="348">
        <f>(SUM('工资福利（公务员、参公人员）'!R243:S243)+SUM('工资福利（事业）'!V243:X243,'工资福利（事业）'!AB243))*0.06</f>
        <v>8.5326</v>
      </c>
      <c r="Q243" s="348">
        <f>(SUM('工资福利（公务员、参公人员）'!R243:S243)+SUM('工资福利（事业）'!V243:X243,'工资福利（事业）'!AB243))*0.004</f>
        <v>0.56884</v>
      </c>
      <c r="R243" s="348">
        <f>(SUM('工资福利（公务员、参公人员）'!R243:S243)+SUM('工资福利（事业）'!V243:X243,'工资福利（事业）'!AB243))*0.006</f>
        <v>0.85326</v>
      </c>
      <c r="S243" s="348">
        <f>(SUM('工资福利（公务员、参公人员）'!R243:S243)+SUM('工资福利（事业）'!V243:X243,'工资福利（事业）'!AB243))*0.12</f>
        <v>17.0652</v>
      </c>
      <c r="T243" s="348"/>
      <c r="U243" s="348">
        <f t="shared" si="80"/>
        <v>530.3003</v>
      </c>
      <c r="V243" s="348">
        <f t="shared" si="81"/>
        <v>197.3236</v>
      </c>
      <c r="W243" s="348">
        <f t="shared" si="82"/>
        <v>98.6568</v>
      </c>
      <c r="X243" s="348">
        <f t="shared" si="83"/>
        <v>73.9926</v>
      </c>
      <c r="Y243" s="348">
        <f t="shared" si="84"/>
        <v>4.92884</v>
      </c>
      <c r="Z243" s="348">
        <f t="shared" si="85"/>
        <v>7.40326</v>
      </c>
      <c r="AA243" s="348">
        <f t="shared" si="86"/>
        <v>147.9952</v>
      </c>
      <c r="AB243" s="348">
        <f t="shared" si="87"/>
        <v>0</v>
      </c>
      <c r="AC243" s="350"/>
    </row>
    <row r="244" ht="24" spans="1:29">
      <c r="A244" s="284" t="s">
        <v>195</v>
      </c>
      <c r="B244" s="284" t="s">
        <v>438</v>
      </c>
      <c r="C244" s="284" t="s">
        <v>493</v>
      </c>
      <c r="D244" s="284" t="s">
        <v>479</v>
      </c>
      <c r="E244" s="348">
        <f t="shared" si="78"/>
        <v>68.11</v>
      </c>
      <c r="F244" s="348">
        <v>25.35</v>
      </c>
      <c r="G244" s="348">
        <v>12.67</v>
      </c>
      <c r="H244" s="348">
        <v>9.5</v>
      </c>
      <c r="I244" s="348">
        <v>0.63</v>
      </c>
      <c r="J244" s="348">
        <v>0.95</v>
      </c>
      <c r="K244" s="348">
        <v>19.01</v>
      </c>
      <c r="L244" s="348"/>
      <c r="M244" s="348">
        <f t="shared" si="79"/>
        <v>11.8078</v>
      </c>
      <c r="N244" s="348">
        <f>(SUM('工资福利（公务员、参公人员）'!R244:T244)+SUM('工资福利（事业）'!V244:X244,'工资福利（事业）'!AB244))*0.16</f>
        <v>4.3936</v>
      </c>
      <c r="O244" s="348">
        <f>(SUM('工资福利（公务员、参公人员）'!R244:S244)+SUM('工资福利（事业）'!V244:X244,'工资福利（事业）'!AB244))*0.08</f>
        <v>2.1968</v>
      </c>
      <c r="P244" s="348">
        <f>(SUM('工资福利（公务员、参公人员）'!R244:S244)+SUM('工资福利（事业）'!V244:X244,'工资福利（事业）'!AB244))*0.06</f>
        <v>1.6476</v>
      </c>
      <c r="Q244" s="348">
        <f>(SUM('工资福利（公务员、参公人员）'!R244:S244)+SUM('工资福利（事业）'!V244:X244,'工资福利（事业）'!AB244))*0.004</f>
        <v>0.10984</v>
      </c>
      <c r="R244" s="348">
        <f>(SUM('工资福利（公务员、参公人员）'!R244:S244)+SUM('工资福利（事业）'!V244:X244,'工资福利（事业）'!AB244))*0.006</f>
        <v>0.16476</v>
      </c>
      <c r="S244" s="348">
        <f>(SUM('工资福利（公务员、参公人员）'!R244:S244)+SUM('工资福利（事业）'!V244:X244,'工资福利（事业）'!AB244))*0.12</f>
        <v>3.2952</v>
      </c>
      <c r="T244" s="348"/>
      <c r="U244" s="348">
        <f t="shared" si="80"/>
        <v>79.9178</v>
      </c>
      <c r="V244" s="348">
        <f t="shared" si="81"/>
        <v>29.7436</v>
      </c>
      <c r="W244" s="348">
        <f t="shared" si="82"/>
        <v>14.8668</v>
      </c>
      <c r="X244" s="348">
        <f t="shared" si="83"/>
        <v>11.1476</v>
      </c>
      <c r="Y244" s="348">
        <f t="shared" si="84"/>
        <v>0.73984</v>
      </c>
      <c r="Z244" s="348">
        <f t="shared" si="85"/>
        <v>1.11476</v>
      </c>
      <c r="AA244" s="348">
        <f t="shared" si="86"/>
        <v>22.3052</v>
      </c>
      <c r="AB244" s="348">
        <f t="shared" si="87"/>
        <v>0</v>
      </c>
      <c r="AC244" s="350"/>
    </row>
    <row r="245" ht="24" customHeight="1" spans="1:29">
      <c r="A245" s="284" t="s">
        <v>195</v>
      </c>
      <c r="B245" s="284" t="s">
        <v>438</v>
      </c>
      <c r="C245" s="284" t="s">
        <v>494</v>
      </c>
      <c r="D245" s="284" t="s">
        <v>479</v>
      </c>
      <c r="E245" s="348">
        <f t="shared" si="78"/>
        <v>89.01</v>
      </c>
      <c r="F245" s="348">
        <v>33.12</v>
      </c>
      <c r="G245" s="348">
        <v>16.56</v>
      </c>
      <c r="H245" s="348">
        <v>12.42</v>
      </c>
      <c r="I245" s="348">
        <v>0.83</v>
      </c>
      <c r="J245" s="348">
        <v>1.24</v>
      </c>
      <c r="K245" s="348">
        <v>24.84</v>
      </c>
      <c r="L245" s="348"/>
      <c r="M245" s="348">
        <f t="shared" si="79"/>
        <v>4.9149</v>
      </c>
      <c r="N245" s="348">
        <f>(SUM('工资福利（公务员、参公人员）'!R245:T245)+SUM('工资福利（事业）'!V245:X245,'工资福利（事业）'!AB245))*0.16</f>
        <v>1.8288</v>
      </c>
      <c r="O245" s="348">
        <f>(SUM('工资福利（公务员、参公人员）'!R245:S245)+SUM('工资福利（事业）'!V245:X245,'工资福利（事业）'!AB245))*0.08</f>
        <v>0.9144</v>
      </c>
      <c r="P245" s="348">
        <f>(SUM('工资福利（公务员、参公人员）'!R245:S245)+SUM('工资福利（事业）'!V245:X245,'工资福利（事业）'!AB245))*0.06</f>
        <v>0.6858</v>
      </c>
      <c r="Q245" s="348">
        <f>(SUM('工资福利（公务员、参公人员）'!R245:S245)+SUM('工资福利（事业）'!V245:X245,'工资福利（事业）'!AB245))*0.004</f>
        <v>0.04572</v>
      </c>
      <c r="R245" s="348">
        <f>(SUM('工资福利（公务员、参公人员）'!R245:S245)+SUM('工资福利（事业）'!V245:X245,'工资福利（事业）'!AB245))*0.006</f>
        <v>0.06858</v>
      </c>
      <c r="S245" s="348">
        <f>(SUM('工资福利（公务员、参公人员）'!R245:S245)+SUM('工资福利（事业）'!V245:X245,'工资福利（事业）'!AB245))*0.12</f>
        <v>1.3716</v>
      </c>
      <c r="T245" s="348"/>
      <c r="U245" s="348">
        <f t="shared" si="80"/>
        <v>93.9249</v>
      </c>
      <c r="V245" s="348">
        <f t="shared" si="81"/>
        <v>34.9488</v>
      </c>
      <c r="W245" s="348">
        <f t="shared" si="82"/>
        <v>17.4744</v>
      </c>
      <c r="X245" s="348">
        <f t="shared" si="83"/>
        <v>13.1058</v>
      </c>
      <c r="Y245" s="348">
        <f t="shared" si="84"/>
        <v>0.87572</v>
      </c>
      <c r="Z245" s="348">
        <f t="shared" si="85"/>
        <v>1.30858</v>
      </c>
      <c r="AA245" s="348">
        <f t="shared" si="86"/>
        <v>26.2116</v>
      </c>
      <c r="AB245" s="348">
        <f t="shared" si="87"/>
        <v>0</v>
      </c>
      <c r="AC245" s="350"/>
    </row>
    <row r="246" ht="24" spans="1:29">
      <c r="A246" s="284" t="s">
        <v>195</v>
      </c>
      <c r="B246" s="284" t="s">
        <v>442</v>
      </c>
      <c r="C246" s="284" t="s">
        <v>495</v>
      </c>
      <c r="D246" s="284" t="s">
        <v>444</v>
      </c>
      <c r="E246" s="348">
        <f t="shared" si="78"/>
        <v>237.95</v>
      </c>
      <c r="F246" s="348">
        <v>88.54</v>
      </c>
      <c r="G246" s="348">
        <v>44.27</v>
      </c>
      <c r="H246" s="348">
        <v>33.2</v>
      </c>
      <c r="I246" s="348">
        <v>2.21</v>
      </c>
      <c r="J246" s="348">
        <v>3.32</v>
      </c>
      <c r="K246" s="348">
        <v>66.41</v>
      </c>
      <c r="L246" s="348"/>
      <c r="M246" s="348">
        <f t="shared" si="79"/>
        <v>50.3444</v>
      </c>
      <c r="N246" s="348">
        <f>(SUM('工资福利（公务员、参公人员）'!R246:T246)+SUM('工资福利（事业）'!V246:X246,'工资福利（事业）'!AB246))*0.16</f>
        <v>18.7328</v>
      </c>
      <c r="O246" s="348">
        <f>(SUM('工资福利（公务员、参公人员）'!R246:S246)+SUM('工资福利（事业）'!V246:X246,'工资福利（事业）'!AB246))*0.08</f>
        <v>9.3664</v>
      </c>
      <c r="P246" s="348">
        <f>(SUM('工资福利（公务员、参公人员）'!R246:S246)+SUM('工资福利（事业）'!V246:X246,'工资福利（事业）'!AB246))*0.06</f>
        <v>7.0248</v>
      </c>
      <c r="Q246" s="348">
        <f>(SUM('工资福利（公务员、参公人员）'!R246:S246)+SUM('工资福利（事业）'!V246:X246,'工资福利（事业）'!AB246))*0.004</f>
        <v>0.46832</v>
      </c>
      <c r="R246" s="348">
        <f>(SUM('工资福利（公务员、参公人员）'!R246:S246)+SUM('工资福利（事业）'!V246:X246,'工资福利（事业）'!AB246))*0.006</f>
        <v>0.70248</v>
      </c>
      <c r="S246" s="348">
        <f>(SUM('工资福利（公务员、参公人员）'!R246:S246)+SUM('工资福利（事业）'!V246:X246,'工资福利（事业）'!AB246))*0.12</f>
        <v>14.0496</v>
      </c>
      <c r="T246" s="348"/>
      <c r="U246" s="348">
        <f t="shared" si="80"/>
        <v>288.2944</v>
      </c>
      <c r="V246" s="348">
        <f t="shared" si="81"/>
        <v>107.2728</v>
      </c>
      <c r="W246" s="348">
        <f t="shared" si="82"/>
        <v>53.6364</v>
      </c>
      <c r="X246" s="348">
        <f t="shared" si="83"/>
        <v>40.2248</v>
      </c>
      <c r="Y246" s="348">
        <f t="shared" si="84"/>
        <v>2.67832</v>
      </c>
      <c r="Z246" s="348">
        <f t="shared" si="85"/>
        <v>4.02248</v>
      </c>
      <c r="AA246" s="348">
        <f t="shared" si="86"/>
        <v>80.4596</v>
      </c>
      <c r="AB246" s="348">
        <f t="shared" si="87"/>
        <v>0</v>
      </c>
      <c r="AC246" s="350"/>
    </row>
    <row r="247" ht="24" spans="1:29">
      <c r="A247" s="284" t="s">
        <v>195</v>
      </c>
      <c r="B247" s="284" t="s">
        <v>438</v>
      </c>
      <c r="C247" s="284" t="s">
        <v>496</v>
      </c>
      <c r="D247" s="284" t="s">
        <v>479</v>
      </c>
      <c r="E247" s="348">
        <f t="shared" si="78"/>
        <v>65.82</v>
      </c>
      <c r="F247" s="348">
        <v>24.49</v>
      </c>
      <c r="G247" s="348">
        <v>12.25</v>
      </c>
      <c r="H247" s="348">
        <v>9.18</v>
      </c>
      <c r="I247" s="348">
        <v>0.61</v>
      </c>
      <c r="J247" s="348">
        <v>0.92</v>
      </c>
      <c r="K247" s="348">
        <v>18.37</v>
      </c>
      <c r="L247" s="348"/>
      <c r="M247" s="348">
        <f t="shared" si="79"/>
        <v>3.3583</v>
      </c>
      <c r="N247" s="348">
        <f>(SUM('工资福利（公务员、参公人员）'!R247:T247)+SUM('工资福利（事业）'!V247:X247,'工资福利（事业）'!AB247))*0.16</f>
        <v>1.2496</v>
      </c>
      <c r="O247" s="348">
        <f>(SUM('工资福利（公务员、参公人员）'!R247:S247)+SUM('工资福利（事业）'!V247:X247,'工资福利（事业）'!AB247))*0.08</f>
        <v>0.6248</v>
      </c>
      <c r="P247" s="348">
        <f>(SUM('工资福利（公务员、参公人员）'!R247:S247)+SUM('工资福利（事业）'!V247:X247,'工资福利（事业）'!AB247))*0.06</f>
        <v>0.4686</v>
      </c>
      <c r="Q247" s="348">
        <f>(SUM('工资福利（公务员、参公人员）'!R247:S247)+SUM('工资福利（事业）'!V247:X247,'工资福利（事业）'!AB247))*0.004</f>
        <v>0.03124</v>
      </c>
      <c r="R247" s="348">
        <f>(SUM('工资福利（公务员、参公人员）'!R247:S247)+SUM('工资福利（事业）'!V247:X247,'工资福利（事业）'!AB247))*0.006</f>
        <v>0.04686</v>
      </c>
      <c r="S247" s="348">
        <f>(SUM('工资福利（公务员、参公人员）'!R247:S247)+SUM('工资福利（事业）'!V247:X247,'工资福利（事业）'!AB247))*0.12</f>
        <v>0.9372</v>
      </c>
      <c r="T247" s="348"/>
      <c r="U247" s="348">
        <f t="shared" si="80"/>
        <v>69.1783</v>
      </c>
      <c r="V247" s="348">
        <f t="shared" si="81"/>
        <v>25.7396</v>
      </c>
      <c r="W247" s="348">
        <f t="shared" si="82"/>
        <v>12.8748</v>
      </c>
      <c r="X247" s="348">
        <f t="shared" si="83"/>
        <v>9.6486</v>
      </c>
      <c r="Y247" s="348">
        <f t="shared" si="84"/>
        <v>0.64124</v>
      </c>
      <c r="Z247" s="348">
        <f t="shared" si="85"/>
        <v>0.96686</v>
      </c>
      <c r="AA247" s="348">
        <f t="shared" si="86"/>
        <v>19.3072</v>
      </c>
      <c r="AB247" s="348">
        <f t="shared" si="87"/>
        <v>0</v>
      </c>
      <c r="AC247" s="350"/>
    </row>
    <row r="248" ht="24" spans="1:29">
      <c r="A248" s="284" t="s">
        <v>195</v>
      </c>
      <c r="B248" s="284" t="s">
        <v>438</v>
      </c>
      <c r="C248" s="284" t="s">
        <v>497</v>
      </c>
      <c r="D248" s="284" t="s">
        <v>479</v>
      </c>
      <c r="E248" s="348">
        <f t="shared" si="78"/>
        <v>53.89</v>
      </c>
      <c r="F248" s="348">
        <v>20.05</v>
      </c>
      <c r="G248" s="348">
        <v>10.03</v>
      </c>
      <c r="H248" s="348">
        <v>7.52</v>
      </c>
      <c r="I248" s="348">
        <v>0.5</v>
      </c>
      <c r="J248" s="348">
        <v>0.75</v>
      </c>
      <c r="K248" s="348">
        <v>15.04</v>
      </c>
      <c r="L248" s="348"/>
      <c r="M248" s="348">
        <f t="shared" si="79"/>
        <v>16.813</v>
      </c>
      <c r="N248" s="348">
        <f>(SUM('工资福利（公务员、参公人员）'!R248:T248)+SUM('工资福利（事业）'!V248:X248,'工资福利（事业）'!AB248))*0.16</f>
        <v>6.256</v>
      </c>
      <c r="O248" s="348">
        <f>(SUM('工资福利（公务员、参公人员）'!R248:S248)+SUM('工资福利（事业）'!V248:X248,'工资福利（事业）'!AB248))*0.08</f>
        <v>3.128</v>
      </c>
      <c r="P248" s="348">
        <f>(SUM('工资福利（公务员、参公人员）'!R248:S248)+SUM('工资福利（事业）'!V248:X248,'工资福利（事业）'!AB248))*0.06</f>
        <v>2.346</v>
      </c>
      <c r="Q248" s="348">
        <f>(SUM('工资福利（公务员、参公人员）'!R248:S248)+SUM('工资福利（事业）'!V248:X248,'工资福利（事业）'!AB248))*0.004</f>
        <v>0.1564</v>
      </c>
      <c r="R248" s="348">
        <f>(SUM('工资福利（公务员、参公人员）'!R248:S248)+SUM('工资福利（事业）'!V248:X248,'工资福利（事业）'!AB248))*0.006</f>
        <v>0.2346</v>
      </c>
      <c r="S248" s="348">
        <f>(SUM('工资福利（公务员、参公人员）'!R248:S248)+SUM('工资福利（事业）'!V248:X248,'工资福利（事业）'!AB248))*0.12</f>
        <v>4.692</v>
      </c>
      <c r="T248" s="348"/>
      <c r="U248" s="348">
        <f t="shared" si="80"/>
        <v>70.703</v>
      </c>
      <c r="V248" s="348">
        <f t="shared" si="81"/>
        <v>26.306</v>
      </c>
      <c r="W248" s="348">
        <f t="shared" si="82"/>
        <v>13.158</v>
      </c>
      <c r="X248" s="348">
        <f t="shared" si="83"/>
        <v>9.866</v>
      </c>
      <c r="Y248" s="348">
        <f t="shared" si="84"/>
        <v>0.6564</v>
      </c>
      <c r="Z248" s="348">
        <f t="shared" si="85"/>
        <v>0.9846</v>
      </c>
      <c r="AA248" s="348">
        <f t="shared" si="86"/>
        <v>19.732</v>
      </c>
      <c r="AB248" s="348">
        <f t="shared" si="87"/>
        <v>0</v>
      </c>
      <c r="AC248" s="350"/>
    </row>
    <row r="249" ht="24" spans="1:29">
      <c r="A249" s="284" t="s">
        <v>195</v>
      </c>
      <c r="B249" s="284" t="s">
        <v>442</v>
      </c>
      <c r="C249" s="284" t="s">
        <v>498</v>
      </c>
      <c r="D249" s="284" t="s">
        <v>444</v>
      </c>
      <c r="E249" s="348">
        <f t="shared" si="78"/>
        <v>96.78</v>
      </c>
      <c r="F249" s="348">
        <v>36.01</v>
      </c>
      <c r="G249" s="348">
        <v>18.01</v>
      </c>
      <c r="H249" s="348">
        <v>13.5</v>
      </c>
      <c r="I249" s="348">
        <v>0.9</v>
      </c>
      <c r="J249" s="348">
        <v>1.35</v>
      </c>
      <c r="K249" s="348">
        <v>27.01</v>
      </c>
      <c r="L249" s="348"/>
      <c r="M249" s="348">
        <f t="shared" si="79"/>
        <v>17.3118</v>
      </c>
      <c r="N249" s="348">
        <f>(SUM('工资福利（公务员、参公人员）'!R249:T249)+SUM('工资福利（事业）'!V249:X249,'工资福利（事业）'!AB249))*0.16</f>
        <v>6.4416</v>
      </c>
      <c r="O249" s="348">
        <f>(SUM('工资福利（公务员、参公人员）'!R249:S249)+SUM('工资福利（事业）'!V249:X249,'工资福利（事业）'!AB249))*0.08</f>
        <v>3.2208</v>
      </c>
      <c r="P249" s="348">
        <f>(SUM('工资福利（公务员、参公人员）'!R249:S249)+SUM('工资福利（事业）'!V249:X249,'工资福利（事业）'!AB249))*0.06</f>
        <v>2.4156</v>
      </c>
      <c r="Q249" s="348">
        <f>(SUM('工资福利（公务员、参公人员）'!R249:S249)+SUM('工资福利（事业）'!V249:X249,'工资福利（事业）'!AB249))*0.004</f>
        <v>0.16104</v>
      </c>
      <c r="R249" s="348">
        <f>(SUM('工资福利（公务员、参公人员）'!R249:S249)+SUM('工资福利（事业）'!V249:X249,'工资福利（事业）'!AB249))*0.006</f>
        <v>0.24156</v>
      </c>
      <c r="S249" s="348">
        <f>(SUM('工资福利（公务员、参公人员）'!R249:S249)+SUM('工资福利（事业）'!V249:X249,'工资福利（事业）'!AB249))*0.12</f>
        <v>4.8312</v>
      </c>
      <c r="T249" s="348"/>
      <c r="U249" s="348">
        <f t="shared" si="80"/>
        <v>114.0918</v>
      </c>
      <c r="V249" s="348">
        <f t="shared" si="81"/>
        <v>42.4516</v>
      </c>
      <c r="W249" s="348">
        <f t="shared" si="82"/>
        <v>21.2308</v>
      </c>
      <c r="X249" s="348">
        <f t="shared" si="83"/>
        <v>15.9156</v>
      </c>
      <c r="Y249" s="348">
        <f t="shared" si="84"/>
        <v>1.06104</v>
      </c>
      <c r="Z249" s="348">
        <f t="shared" si="85"/>
        <v>1.59156</v>
      </c>
      <c r="AA249" s="348">
        <f t="shared" si="86"/>
        <v>31.8412</v>
      </c>
      <c r="AB249" s="348">
        <f t="shared" si="87"/>
        <v>0</v>
      </c>
      <c r="AC249" s="350"/>
    </row>
    <row r="250" ht="24" spans="1:29">
      <c r="A250" s="284" t="s">
        <v>195</v>
      </c>
      <c r="B250" s="284" t="s">
        <v>438</v>
      </c>
      <c r="C250" s="284" t="s">
        <v>499</v>
      </c>
      <c r="D250" s="284" t="s">
        <v>479</v>
      </c>
      <c r="E250" s="348">
        <f t="shared" si="78"/>
        <v>30.49</v>
      </c>
      <c r="F250" s="348">
        <v>11.35</v>
      </c>
      <c r="G250" s="348">
        <v>5.67</v>
      </c>
      <c r="H250" s="348">
        <v>4.25</v>
      </c>
      <c r="I250" s="348">
        <v>0.28</v>
      </c>
      <c r="J250" s="348">
        <v>0.43</v>
      </c>
      <c r="K250" s="348">
        <v>8.51</v>
      </c>
      <c r="L250" s="348"/>
      <c r="M250" s="348">
        <f t="shared" si="79"/>
        <v>4.5279</v>
      </c>
      <c r="N250" s="348">
        <f>(SUM('工资福利（公务员、参公人员）'!R250:T250)+SUM('工资福利（事业）'!V250:X250,'工资福利（事业）'!AB250))*0.16</f>
        <v>1.6848</v>
      </c>
      <c r="O250" s="348">
        <f>(SUM('工资福利（公务员、参公人员）'!R250:S250)+SUM('工资福利（事业）'!V250:X250,'工资福利（事业）'!AB250))*0.08</f>
        <v>0.8424</v>
      </c>
      <c r="P250" s="348">
        <f>(SUM('工资福利（公务员、参公人员）'!R250:S250)+SUM('工资福利（事业）'!V250:X250,'工资福利（事业）'!AB250))*0.06</f>
        <v>0.6318</v>
      </c>
      <c r="Q250" s="348">
        <f>(SUM('工资福利（公务员、参公人员）'!R250:S250)+SUM('工资福利（事业）'!V250:X250,'工资福利（事业）'!AB250))*0.004</f>
        <v>0.04212</v>
      </c>
      <c r="R250" s="348">
        <f>(SUM('工资福利（公务员、参公人员）'!R250:S250)+SUM('工资福利（事业）'!V250:X250,'工资福利（事业）'!AB250))*0.006</f>
        <v>0.06318</v>
      </c>
      <c r="S250" s="348">
        <f>(SUM('工资福利（公务员、参公人员）'!R250:S250)+SUM('工资福利（事业）'!V250:X250,'工资福利（事业）'!AB250))*0.12</f>
        <v>1.2636</v>
      </c>
      <c r="T250" s="348"/>
      <c r="U250" s="348">
        <f t="shared" si="80"/>
        <v>35.0179</v>
      </c>
      <c r="V250" s="348">
        <f t="shared" si="81"/>
        <v>13.0348</v>
      </c>
      <c r="W250" s="348">
        <f t="shared" si="82"/>
        <v>6.5124</v>
      </c>
      <c r="X250" s="348">
        <f t="shared" si="83"/>
        <v>4.8818</v>
      </c>
      <c r="Y250" s="348">
        <f t="shared" si="84"/>
        <v>0.32212</v>
      </c>
      <c r="Z250" s="348">
        <f t="shared" si="85"/>
        <v>0.49318</v>
      </c>
      <c r="AA250" s="348">
        <f t="shared" si="86"/>
        <v>9.7736</v>
      </c>
      <c r="AB250" s="348">
        <f t="shared" si="87"/>
        <v>0</v>
      </c>
      <c r="AC250" s="350"/>
    </row>
    <row r="251" ht="24" spans="1:29">
      <c r="A251" s="284" t="s">
        <v>195</v>
      </c>
      <c r="B251" s="284" t="s">
        <v>438</v>
      </c>
      <c r="C251" s="284" t="s">
        <v>500</v>
      </c>
      <c r="D251" s="284" t="s">
        <v>479</v>
      </c>
      <c r="E251" s="348">
        <f t="shared" si="78"/>
        <v>12.19</v>
      </c>
      <c r="F251" s="348">
        <v>4.54</v>
      </c>
      <c r="G251" s="348">
        <v>2.27</v>
      </c>
      <c r="H251" s="348">
        <v>1.7</v>
      </c>
      <c r="I251" s="348">
        <v>0.11</v>
      </c>
      <c r="J251" s="348">
        <v>0.17</v>
      </c>
      <c r="K251" s="348">
        <v>3.4</v>
      </c>
      <c r="L251" s="348"/>
      <c r="M251" s="348">
        <f t="shared" si="79"/>
        <v>10.3802</v>
      </c>
      <c r="N251" s="348">
        <f>(SUM('工资福利（公务员、参公人员）'!R251:T251)+SUM('工资福利（事业）'!V251:X251,'工资福利（事业）'!AB251))*0.16</f>
        <v>3.8624</v>
      </c>
      <c r="O251" s="348">
        <f>(SUM('工资福利（公务员、参公人员）'!R251:S251)+SUM('工资福利（事业）'!V251:X251,'工资福利（事业）'!AB251))*0.08</f>
        <v>1.9312</v>
      </c>
      <c r="P251" s="348">
        <f>(SUM('工资福利（公务员、参公人员）'!R251:S251)+SUM('工资福利（事业）'!V251:X251,'工资福利（事业）'!AB251))*0.06</f>
        <v>1.4484</v>
      </c>
      <c r="Q251" s="348">
        <f>(SUM('工资福利（公务员、参公人员）'!R251:S251)+SUM('工资福利（事业）'!V251:X251,'工资福利（事业）'!AB251))*0.004</f>
        <v>0.09656</v>
      </c>
      <c r="R251" s="348">
        <f>(SUM('工资福利（公务员、参公人员）'!R251:S251)+SUM('工资福利（事业）'!V251:X251,'工资福利（事业）'!AB251))*0.006</f>
        <v>0.14484</v>
      </c>
      <c r="S251" s="348">
        <f>(SUM('工资福利（公务员、参公人员）'!R251:S251)+SUM('工资福利（事业）'!V251:X251,'工资福利（事业）'!AB251))*0.12</f>
        <v>2.8968</v>
      </c>
      <c r="T251" s="348"/>
      <c r="U251" s="348">
        <f t="shared" si="80"/>
        <v>22.5702</v>
      </c>
      <c r="V251" s="348">
        <f t="shared" si="81"/>
        <v>8.4024</v>
      </c>
      <c r="W251" s="348">
        <f t="shared" si="82"/>
        <v>4.2012</v>
      </c>
      <c r="X251" s="348">
        <f t="shared" si="83"/>
        <v>3.1484</v>
      </c>
      <c r="Y251" s="348">
        <f t="shared" si="84"/>
        <v>0.20656</v>
      </c>
      <c r="Z251" s="348">
        <f t="shared" si="85"/>
        <v>0.31484</v>
      </c>
      <c r="AA251" s="348">
        <f t="shared" si="86"/>
        <v>6.2968</v>
      </c>
      <c r="AB251" s="348">
        <f t="shared" si="87"/>
        <v>0</v>
      </c>
      <c r="AC251" s="350"/>
    </row>
    <row r="252" ht="24" spans="1:29">
      <c r="A252" s="284" t="s">
        <v>195</v>
      </c>
      <c r="B252" s="284" t="s">
        <v>438</v>
      </c>
      <c r="C252" s="284" t="s">
        <v>501</v>
      </c>
      <c r="D252" s="284" t="s">
        <v>479</v>
      </c>
      <c r="E252" s="348">
        <f t="shared" si="78"/>
        <v>20.29</v>
      </c>
      <c r="F252" s="348">
        <v>7.55</v>
      </c>
      <c r="G252" s="348">
        <v>3.78</v>
      </c>
      <c r="H252" s="348">
        <v>2.83</v>
      </c>
      <c r="I252" s="348">
        <v>0.19</v>
      </c>
      <c r="J252" s="348">
        <v>0.28</v>
      </c>
      <c r="K252" s="348">
        <v>5.66</v>
      </c>
      <c r="L252" s="348"/>
      <c r="M252" s="348">
        <f t="shared" si="79"/>
        <v>2.3091</v>
      </c>
      <c r="N252" s="348">
        <f>(SUM('工资福利（公务员、参公人员）'!R252:T252)+SUM('工资福利（事业）'!V252:X252,'工资福利（事业）'!AB252))*0.16</f>
        <v>0.8592</v>
      </c>
      <c r="O252" s="348">
        <f>(SUM('工资福利（公务员、参公人员）'!R252:S252)+SUM('工资福利（事业）'!V252:X252,'工资福利（事业）'!AB252))*0.08</f>
        <v>0.4296</v>
      </c>
      <c r="P252" s="348">
        <f>(SUM('工资福利（公务员、参公人员）'!R252:S252)+SUM('工资福利（事业）'!V252:X252,'工资福利（事业）'!AB252))*0.06</f>
        <v>0.3222</v>
      </c>
      <c r="Q252" s="348">
        <f>(SUM('工资福利（公务员、参公人员）'!R252:S252)+SUM('工资福利（事业）'!V252:X252,'工资福利（事业）'!AB252))*0.004</f>
        <v>0.02148</v>
      </c>
      <c r="R252" s="348">
        <f>(SUM('工资福利（公务员、参公人员）'!R252:S252)+SUM('工资福利（事业）'!V252:X252,'工资福利（事业）'!AB252))*0.006</f>
        <v>0.03222</v>
      </c>
      <c r="S252" s="348">
        <f>(SUM('工资福利（公务员、参公人员）'!R252:S252)+SUM('工资福利（事业）'!V252:X252,'工资福利（事业）'!AB252))*0.12</f>
        <v>0.6444</v>
      </c>
      <c r="T252" s="348"/>
      <c r="U252" s="348">
        <f t="shared" si="80"/>
        <v>22.5991</v>
      </c>
      <c r="V252" s="348">
        <f t="shared" si="81"/>
        <v>8.4092</v>
      </c>
      <c r="W252" s="348">
        <f t="shared" si="82"/>
        <v>4.2096</v>
      </c>
      <c r="X252" s="348">
        <f t="shared" si="83"/>
        <v>3.1522</v>
      </c>
      <c r="Y252" s="348">
        <f t="shared" si="84"/>
        <v>0.21148</v>
      </c>
      <c r="Z252" s="348">
        <f t="shared" si="85"/>
        <v>0.31222</v>
      </c>
      <c r="AA252" s="348">
        <f t="shared" si="86"/>
        <v>6.3044</v>
      </c>
      <c r="AB252" s="348">
        <f t="shared" si="87"/>
        <v>0</v>
      </c>
      <c r="AC252" s="350"/>
    </row>
    <row r="253" ht="24" spans="1:29">
      <c r="A253" s="284" t="s">
        <v>195</v>
      </c>
      <c r="B253" s="284" t="s">
        <v>442</v>
      </c>
      <c r="C253" s="284" t="s">
        <v>502</v>
      </c>
      <c r="D253" s="284" t="s">
        <v>444</v>
      </c>
      <c r="E253" s="348">
        <f t="shared" si="78"/>
        <v>49.42</v>
      </c>
      <c r="F253" s="348">
        <v>18.39</v>
      </c>
      <c r="G253" s="348">
        <v>9.19</v>
      </c>
      <c r="H253" s="348">
        <v>6.9</v>
      </c>
      <c r="I253" s="348">
        <v>0.46</v>
      </c>
      <c r="J253" s="348">
        <v>0.69</v>
      </c>
      <c r="K253" s="348">
        <v>13.79</v>
      </c>
      <c r="L253" s="348"/>
      <c r="M253" s="348">
        <f t="shared" si="79"/>
        <v>17.8837</v>
      </c>
      <c r="N253" s="348">
        <f>(SUM('工资福利（公务员、参公人员）'!R253:T253)+SUM('工资福利（事业）'!V253:X253,'工资福利（事业）'!AB253))*0.16</f>
        <v>6.6544</v>
      </c>
      <c r="O253" s="348">
        <f>(SUM('工资福利（公务员、参公人员）'!R253:S253)+SUM('工资福利（事业）'!V253:X253,'工资福利（事业）'!AB253))*0.08</f>
        <v>3.3272</v>
      </c>
      <c r="P253" s="348">
        <f>(SUM('工资福利（公务员、参公人员）'!R253:S253)+SUM('工资福利（事业）'!V253:X253,'工资福利（事业）'!AB253))*0.06</f>
        <v>2.4954</v>
      </c>
      <c r="Q253" s="348">
        <f>(SUM('工资福利（公务员、参公人员）'!R253:S253)+SUM('工资福利（事业）'!V253:X253,'工资福利（事业）'!AB253))*0.004</f>
        <v>0.16636</v>
      </c>
      <c r="R253" s="348">
        <f>(SUM('工资福利（公务员、参公人员）'!R253:S253)+SUM('工资福利（事业）'!V253:X253,'工资福利（事业）'!AB253))*0.006</f>
        <v>0.24954</v>
      </c>
      <c r="S253" s="348">
        <f>(SUM('工资福利（公务员、参公人员）'!R253:S253)+SUM('工资福利（事业）'!V253:X253,'工资福利（事业）'!AB253))*0.12</f>
        <v>4.9908</v>
      </c>
      <c r="T253" s="348"/>
      <c r="U253" s="348">
        <f t="shared" si="80"/>
        <v>67.3037</v>
      </c>
      <c r="V253" s="348">
        <f t="shared" si="81"/>
        <v>25.0444</v>
      </c>
      <c r="W253" s="348">
        <f t="shared" si="82"/>
        <v>12.5172</v>
      </c>
      <c r="X253" s="348">
        <f t="shared" si="83"/>
        <v>9.3954</v>
      </c>
      <c r="Y253" s="348">
        <f t="shared" si="84"/>
        <v>0.62636</v>
      </c>
      <c r="Z253" s="348">
        <f t="shared" si="85"/>
        <v>0.93954</v>
      </c>
      <c r="AA253" s="348">
        <f t="shared" si="86"/>
        <v>18.7808</v>
      </c>
      <c r="AB253" s="348">
        <f t="shared" si="87"/>
        <v>0</v>
      </c>
      <c r="AC253" s="350"/>
    </row>
    <row r="254" ht="24" spans="1:29">
      <c r="A254" s="284" t="s">
        <v>195</v>
      </c>
      <c r="B254" s="284" t="s">
        <v>438</v>
      </c>
      <c r="C254" s="284" t="s">
        <v>503</v>
      </c>
      <c r="D254" s="284" t="s">
        <v>479</v>
      </c>
      <c r="E254" s="348">
        <f t="shared" si="78"/>
        <v>18.42</v>
      </c>
      <c r="F254" s="348">
        <v>6.85</v>
      </c>
      <c r="G254" s="348">
        <v>3.43</v>
      </c>
      <c r="H254" s="348">
        <v>2.57</v>
      </c>
      <c r="I254" s="348">
        <v>0.17</v>
      </c>
      <c r="J254" s="348">
        <v>0.26</v>
      </c>
      <c r="K254" s="348">
        <v>5.14</v>
      </c>
      <c r="L254" s="348"/>
      <c r="M254" s="348">
        <f t="shared" si="79"/>
        <v>2.1457</v>
      </c>
      <c r="N254" s="348">
        <f>(SUM('工资福利（公务员、参公人员）'!R254:T254)+SUM('工资福利（事业）'!V254:X254,'工资福利（事业）'!AB254))*0.16</f>
        <v>0.7984</v>
      </c>
      <c r="O254" s="348">
        <f>(SUM('工资福利（公务员、参公人员）'!R254:S254)+SUM('工资福利（事业）'!V254:X254,'工资福利（事业）'!AB254))*0.08</f>
        <v>0.3992</v>
      </c>
      <c r="P254" s="348">
        <f>(SUM('工资福利（公务员、参公人员）'!R254:S254)+SUM('工资福利（事业）'!V254:X254,'工资福利（事业）'!AB254))*0.06</f>
        <v>0.2994</v>
      </c>
      <c r="Q254" s="348">
        <f>(SUM('工资福利（公务员、参公人员）'!R254:S254)+SUM('工资福利（事业）'!V254:X254,'工资福利（事业）'!AB254))*0.004</f>
        <v>0.01996</v>
      </c>
      <c r="R254" s="348">
        <f>(SUM('工资福利（公务员、参公人员）'!R254:S254)+SUM('工资福利（事业）'!V254:X254,'工资福利（事业）'!AB254))*0.006</f>
        <v>0.02994</v>
      </c>
      <c r="S254" s="348">
        <f>(SUM('工资福利（公务员、参公人员）'!R254:S254)+SUM('工资福利（事业）'!V254:X254,'工资福利（事业）'!AB254))*0.12</f>
        <v>0.5988</v>
      </c>
      <c r="T254" s="348"/>
      <c r="U254" s="348">
        <f t="shared" si="80"/>
        <v>20.5657</v>
      </c>
      <c r="V254" s="348">
        <f t="shared" si="81"/>
        <v>7.6484</v>
      </c>
      <c r="W254" s="348">
        <f t="shared" si="82"/>
        <v>3.8292</v>
      </c>
      <c r="X254" s="348">
        <f t="shared" si="83"/>
        <v>2.8694</v>
      </c>
      <c r="Y254" s="348">
        <f t="shared" si="84"/>
        <v>0.18996</v>
      </c>
      <c r="Z254" s="348">
        <f t="shared" si="85"/>
        <v>0.28994</v>
      </c>
      <c r="AA254" s="348">
        <f t="shared" si="86"/>
        <v>5.7388</v>
      </c>
      <c r="AB254" s="348">
        <f t="shared" si="87"/>
        <v>0</v>
      </c>
      <c r="AC254" s="350"/>
    </row>
    <row r="255" ht="36" spans="1:29">
      <c r="A255" s="284" t="s">
        <v>195</v>
      </c>
      <c r="B255" s="284" t="s">
        <v>199</v>
      </c>
      <c r="C255" s="284" t="s">
        <v>504</v>
      </c>
      <c r="D255" s="284" t="s">
        <v>505</v>
      </c>
      <c r="E255" s="348">
        <f t="shared" si="78"/>
        <v>97.84</v>
      </c>
      <c r="F255" s="348">
        <v>36.57</v>
      </c>
      <c r="G255" s="348">
        <v>18.29</v>
      </c>
      <c r="H255" s="348">
        <v>13.72</v>
      </c>
      <c r="I255" s="348">
        <v>0.46</v>
      </c>
      <c r="J255" s="348">
        <v>1.37</v>
      </c>
      <c r="K255" s="348">
        <v>27.43</v>
      </c>
      <c r="L255" s="348"/>
      <c r="M255" s="348">
        <f t="shared" si="79"/>
        <v>25.14072</v>
      </c>
      <c r="N255" s="348">
        <f>(SUM('工资福利（公务员、参公人员）'!R255:T255)+SUM('工资福利（事业）'!V255:X255,'工资福利（事业）'!AB255))*0.16</f>
        <v>9.3984</v>
      </c>
      <c r="O255" s="348">
        <f>(SUM('工资福利（公务员、参公人员）'!R255:S255)+SUM('工资福利（事业）'!V255:X255,'工资福利（事业）'!AB255))*0.08</f>
        <v>4.6992</v>
      </c>
      <c r="P255" s="348">
        <f>(SUM('工资福利（公务员、参公人员）'!R255:S255)+SUM('工资福利（事业）'!V255:X255,'工资福利（事业）'!AB255))*0.06</f>
        <v>3.5244</v>
      </c>
      <c r="Q255" s="348">
        <f>(SUM('工资福利（公务员、参公人员）'!R255:S255)+SUM('工资福利（事业）'!V255:X255,'工资福利（事业）'!AB255))*0.002</f>
        <v>0.11748</v>
      </c>
      <c r="R255" s="348">
        <f>(SUM('工资福利（公务员、参公人员）'!R255:S255)+SUM('工资福利（事业）'!V255:X255,'工资福利（事业）'!AB255))*0.006</f>
        <v>0.35244</v>
      </c>
      <c r="S255" s="348">
        <f>(SUM('工资福利（公务员、参公人员）'!R255:S255)+SUM('工资福利（事业）'!V255:X255,'工资福利（事业）'!AB255))*0.12</f>
        <v>7.0488</v>
      </c>
      <c r="T255" s="348"/>
      <c r="U255" s="348">
        <f t="shared" si="80"/>
        <v>122.98072</v>
      </c>
      <c r="V255" s="348">
        <f t="shared" si="81"/>
        <v>45.9684</v>
      </c>
      <c r="W255" s="348">
        <f t="shared" si="82"/>
        <v>22.9892</v>
      </c>
      <c r="X255" s="348">
        <f t="shared" si="83"/>
        <v>17.2444</v>
      </c>
      <c r="Y255" s="348">
        <f t="shared" si="84"/>
        <v>0.57748</v>
      </c>
      <c r="Z255" s="348">
        <f t="shared" si="85"/>
        <v>1.72244</v>
      </c>
      <c r="AA255" s="348">
        <f t="shared" si="86"/>
        <v>34.4788</v>
      </c>
      <c r="AB255" s="348">
        <f t="shared" si="87"/>
        <v>0</v>
      </c>
      <c r="AC255" s="350"/>
    </row>
    <row r="256" ht="36" spans="1:29">
      <c r="A256" s="284" t="s">
        <v>195</v>
      </c>
      <c r="B256" s="284" t="s">
        <v>199</v>
      </c>
      <c r="C256" s="284" t="s">
        <v>506</v>
      </c>
      <c r="D256" s="284" t="s">
        <v>505</v>
      </c>
      <c r="E256" s="348">
        <f t="shared" si="78"/>
        <v>104.63</v>
      </c>
      <c r="F256" s="348">
        <v>39.11</v>
      </c>
      <c r="G256" s="348">
        <v>19.56</v>
      </c>
      <c r="H256" s="348">
        <v>14.67</v>
      </c>
      <c r="I256" s="348">
        <v>0.49</v>
      </c>
      <c r="J256" s="348">
        <v>1.47</v>
      </c>
      <c r="K256" s="348">
        <v>29.33</v>
      </c>
      <c r="L256" s="348"/>
      <c r="M256" s="348">
        <f t="shared" si="79"/>
        <v>8.38452</v>
      </c>
      <c r="N256" s="348">
        <f>(SUM('工资福利（公务员、参公人员）'!R256:T256)+SUM('工资福利（事业）'!V256:X256,'工资福利（事业）'!AB256))*0.16</f>
        <v>3.1344</v>
      </c>
      <c r="O256" s="348">
        <f>(SUM('工资福利（公务员、参公人员）'!R256:S256)+SUM('工资福利（事业）'!V256:X256,'工资福利（事业）'!AB256))*0.08</f>
        <v>1.5672</v>
      </c>
      <c r="P256" s="348">
        <f>(SUM('工资福利（公务员、参公人员）'!R256:S256)+SUM('工资福利（事业）'!V256:X256,'工资福利（事业）'!AB256))*0.06</f>
        <v>1.1754</v>
      </c>
      <c r="Q256" s="348">
        <f>(SUM('工资福利（公务员、参公人员）'!R256:S256)+SUM('工资福利（事业）'!V256:X256,'工资福利（事业）'!AB256))*0.002</f>
        <v>0.03918</v>
      </c>
      <c r="R256" s="348">
        <f>(SUM('工资福利（公务员、参公人员）'!R256:S256)+SUM('工资福利（事业）'!V256:X256,'工资福利（事业）'!AB256))*0.006</f>
        <v>0.11754</v>
      </c>
      <c r="S256" s="348">
        <f>(SUM('工资福利（公务员、参公人员）'!R256:S256)+SUM('工资福利（事业）'!V256:X256,'工资福利（事业）'!AB256))*0.12</f>
        <v>2.3508</v>
      </c>
      <c r="T256" s="348"/>
      <c r="U256" s="348">
        <f t="shared" si="80"/>
        <v>113.01452</v>
      </c>
      <c r="V256" s="348">
        <f t="shared" si="81"/>
        <v>42.2444</v>
      </c>
      <c r="W256" s="348">
        <f t="shared" si="82"/>
        <v>21.1272</v>
      </c>
      <c r="X256" s="348">
        <f t="shared" si="83"/>
        <v>15.8454</v>
      </c>
      <c r="Y256" s="348">
        <f t="shared" si="84"/>
        <v>0.52918</v>
      </c>
      <c r="Z256" s="348">
        <f t="shared" si="85"/>
        <v>1.58754</v>
      </c>
      <c r="AA256" s="348">
        <f t="shared" si="86"/>
        <v>31.6808</v>
      </c>
      <c r="AB256" s="348">
        <f t="shared" si="87"/>
        <v>0</v>
      </c>
      <c r="AC256" s="350"/>
    </row>
    <row r="257" ht="24" spans="1:29">
      <c r="A257" s="284" t="s">
        <v>195</v>
      </c>
      <c r="B257" s="284" t="s">
        <v>196</v>
      </c>
      <c r="C257" s="284" t="s">
        <v>507</v>
      </c>
      <c r="D257" s="284" t="s">
        <v>508</v>
      </c>
      <c r="E257" s="348">
        <f t="shared" si="78"/>
        <v>52.23</v>
      </c>
      <c r="F257" s="348">
        <v>19.56</v>
      </c>
      <c r="G257" s="348">
        <v>9.68</v>
      </c>
      <c r="H257" s="348">
        <v>7.26</v>
      </c>
      <c r="I257" s="348">
        <v>0.48</v>
      </c>
      <c r="J257" s="348">
        <v>0.73</v>
      </c>
      <c r="K257" s="348">
        <v>14.52</v>
      </c>
      <c r="L257" s="348"/>
      <c r="M257" s="348">
        <f t="shared" si="79"/>
        <v>6.60292</v>
      </c>
      <c r="N257" s="348">
        <f>(SUM('工资福利（公务员、参公人员）'!R257:T257)+SUM('工资福利（事业）'!V257:X257,'工资福利（事业）'!AB257))*0.16</f>
        <v>2.4784</v>
      </c>
      <c r="O257" s="348">
        <f>(SUM('工资福利（公务员、参公人员）'!R257:S257)+SUM('工资福利（事业）'!V257:X257,'工资福利（事业）'!AB257))*0.08</f>
        <v>1.2312</v>
      </c>
      <c r="P257" s="348">
        <f>(SUM('工资福利（公务员、参公人员）'!R257:S257)+SUM('工资福利（事业）'!V257:X257,'工资福利（事业）'!AB257))*0.06</f>
        <v>0.9234</v>
      </c>
      <c r="Q257" s="348">
        <f>(SUM('工资福利（公务员、参公人员）'!R257:S257)+SUM('工资福利（事业）'!V257:X257,'工资福利（事业）'!AB257))*0.002</f>
        <v>0.03078</v>
      </c>
      <c r="R257" s="348">
        <f>(SUM('工资福利（公务员、参公人员）'!R257:S257)+SUM('工资福利（事业）'!V257:X257,'工资福利（事业）'!AB257))*0.006</f>
        <v>0.09234</v>
      </c>
      <c r="S257" s="348">
        <f>(SUM('工资福利（公务员、参公人员）'!R257:S257)+SUM('工资福利（事业）'!V257:X257,'工资福利（事业）'!AB257))*0.12</f>
        <v>1.8468</v>
      </c>
      <c r="T257" s="348"/>
      <c r="U257" s="348">
        <f t="shared" si="80"/>
        <v>58.83292</v>
      </c>
      <c r="V257" s="348">
        <f t="shared" si="81"/>
        <v>22.0384</v>
      </c>
      <c r="W257" s="348">
        <f t="shared" si="82"/>
        <v>10.9112</v>
      </c>
      <c r="X257" s="348">
        <f t="shared" si="83"/>
        <v>8.1834</v>
      </c>
      <c r="Y257" s="348">
        <f t="shared" si="84"/>
        <v>0.51078</v>
      </c>
      <c r="Z257" s="348">
        <f t="shared" si="85"/>
        <v>0.82234</v>
      </c>
      <c r="AA257" s="348">
        <f t="shared" si="86"/>
        <v>16.3668</v>
      </c>
      <c r="AB257" s="348">
        <f t="shared" si="87"/>
        <v>0</v>
      </c>
      <c r="AC257" s="350"/>
    </row>
    <row r="258" ht="36" spans="1:29">
      <c r="A258" s="284" t="s">
        <v>195</v>
      </c>
      <c r="B258" s="284" t="s">
        <v>199</v>
      </c>
      <c r="C258" s="284" t="s">
        <v>509</v>
      </c>
      <c r="D258" s="284" t="s">
        <v>510</v>
      </c>
      <c r="E258" s="348">
        <f t="shared" si="78"/>
        <v>23.33</v>
      </c>
      <c r="F258" s="348">
        <v>8.72</v>
      </c>
      <c r="G258" s="348">
        <v>4.36</v>
      </c>
      <c r="H258" s="348">
        <v>3.27</v>
      </c>
      <c r="I258" s="348">
        <v>0.11</v>
      </c>
      <c r="J258" s="348">
        <v>0.33</v>
      </c>
      <c r="K258" s="348">
        <v>6.54</v>
      </c>
      <c r="L258" s="348"/>
      <c r="M258" s="348">
        <f t="shared" si="79"/>
        <v>0.63772</v>
      </c>
      <c r="N258" s="348">
        <f>(SUM('工资福利（公务员、参公人员）'!R258:T258)+SUM('工资福利（事业）'!V258:X258,'工资福利（事业）'!AB258))*0.16</f>
        <v>0.2384</v>
      </c>
      <c r="O258" s="348">
        <f>(SUM('工资福利（公务员、参公人员）'!R258:S258)+SUM('工资福利（事业）'!V258:X258,'工资福利（事业）'!AB258))*0.08</f>
        <v>0.1192</v>
      </c>
      <c r="P258" s="348">
        <f>(SUM('工资福利（公务员、参公人员）'!R258:S258)+SUM('工资福利（事业）'!V258:X258,'工资福利（事业）'!AB258))*0.06</f>
        <v>0.0894</v>
      </c>
      <c r="Q258" s="348">
        <f>(SUM('工资福利（公务员、参公人员）'!R258:S258)+SUM('工资福利（事业）'!V258:X258,'工资福利（事业）'!AB258))*0.002</f>
        <v>0.00298</v>
      </c>
      <c r="R258" s="348">
        <f>(SUM('工资福利（公务员、参公人员）'!R258:S258)+SUM('工资福利（事业）'!V258:X258,'工资福利（事业）'!AB258))*0.006</f>
        <v>0.00894</v>
      </c>
      <c r="S258" s="348">
        <f>(SUM('工资福利（公务员、参公人员）'!R258:S258)+SUM('工资福利（事业）'!V258:X258,'工资福利（事业）'!AB258))*0.12</f>
        <v>0.1788</v>
      </c>
      <c r="T258" s="348"/>
      <c r="U258" s="348">
        <f t="shared" si="80"/>
        <v>23.96772</v>
      </c>
      <c r="V258" s="348">
        <f t="shared" si="81"/>
        <v>8.9584</v>
      </c>
      <c r="W258" s="348">
        <f t="shared" si="82"/>
        <v>4.4792</v>
      </c>
      <c r="X258" s="348">
        <f t="shared" si="83"/>
        <v>3.3594</v>
      </c>
      <c r="Y258" s="348">
        <f t="shared" si="84"/>
        <v>0.11298</v>
      </c>
      <c r="Z258" s="348">
        <f t="shared" si="85"/>
        <v>0.33894</v>
      </c>
      <c r="AA258" s="348">
        <f t="shared" si="86"/>
        <v>6.7188</v>
      </c>
      <c r="AB258" s="348">
        <f t="shared" si="87"/>
        <v>0</v>
      </c>
      <c r="AC258" s="350"/>
    </row>
    <row r="259" s="311" customFormat="1" ht="21" customHeight="1" spans="1:29">
      <c r="A259" s="328"/>
      <c r="B259" s="329" t="s">
        <v>747</v>
      </c>
      <c r="C259" s="329" t="s">
        <v>135</v>
      </c>
      <c r="D259" s="329">
        <v>206</v>
      </c>
      <c r="E259" s="358">
        <f t="shared" ref="E259:L259" si="88">SUM(E260:E261)</f>
        <v>24.08</v>
      </c>
      <c r="F259" s="358">
        <f t="shared" si="88"/>
        <v>9.25</v>
      </c>
      <c r="G259" s="358">
        <f t="shared" si="88"/>
        <v>4.43</v>
      </c>
      <c r="H259" s="358">
        <f t="shared" si="88"/>
        <v>3.32</v>
      </c>
      <c r="I259" s="358">
        <f t="shared" si="88"/>
        <v>0.11</v>
      </c>
      <c r="J259" s="358">
        <f t="shared" si="88"/>
        <v>0.33</v>
      </c>
      <c r="K259" s="358">
        <f t="shared" si="88"/>
        <v>6.64</v>
      </c>
      <c r="L259" s="358">
        <f t="shared" si="88"/>
        <v>0</v>
      </c>
      <c r="M259" s="358">
        <f t="shared" ref="M259:AB259" si="89">SUM(M260:M261)</f>
        <v>2.51544</v>
      </c>
      <c r="N259" s="358">
        <f t="shared" si="89"/>
        <v>0.9664</v>
      </c>
      <c r="O259" s="358">
        <f t="shared" si="89"/>
        <v>0.4624</v>
      </c>
      <c r="P259" s="358">
        <f t="shared" si="89"/>
        <v>0.3468</v>
      </c>
      <c r="Q259" s="358">
        <f t="shared" si="89"/>
        <v>0.01156</v>
      </c>
      <c r="R259" s="358">
        <f t="shared" si="89"/>
        <v>0.03468</v>
      </c>
      <c r="S259" s="358">
        <f t="shared" si="89"/>
        <v>0.6936</v>
      </c>
      <c r="T259" s="358">
        <f t="shared" si="89"/>
        <v>0</v>
      </c>
      <c r="U259" s="358">
        <f t="shared" si="89"/>
        <v>26.59544</v>
      </c>
      <c r="V259" s="358">
        <f t="shared" si="89"/>
        <v>10.2164</v>
      </c>
      <c r="W259" s="358">
        <f t="shared" si="89"/>
        <v>4.8924</v>
      </c>
      <c r="X259" s="358">
        <f t="shared" si="89"/>
        <v>3.6668</v>
      </c>
      <c r="Y259" s="358">
        <f t="shared" si="89"/>
        <v>0.12156</v>
      </c>
      <c r="Z259" s="358">
        <f t="shared" si="89"/>
        <v>0.36468</v>
      </c>
      <c r="AA259" s="358">
        <f t="shared" si="89"/>
        <v>7.3336</v>
      </c>
      <c r="AB259" s="358">
        <f t="shared" si="89"/>
        <v>0</v>
      </c>
      <c r="AC259" s="362"/>
    </row>
    <row r="260" ht="24" spans="1:29">
      <c r="A260" s="284" t="s">
        <v>195</v>
      </c>
      <c r="B260" s="284" t="s">
        <v>196</v>
      </c>
      <c r="C260" s="284" t="s">
        <v>791</v>
      </c>
      <c r="D260" s="284" t="s">
        <v>512</v>
      </c>
      <c r="E260" s="348">
        <f t="shared" ref="E260:E276" si="90">SUM(F260:L260)</f>
        <v>21.65</v>
      </c>
      <c r="F260" s="348">
        <v>8.34</v>
      </c>
      <c r="G260" s="348">
        <v>3.97</v>
      </c>
      <c r="H260" s="348">
        <v>2.98</v>
      </c>
      <c r="I260" s="348">
        <v>0.1</v>
      </c>
      <c r="J260" s="348">
        <v>0.3</v>
      </c>
      <c r="K260" s="348">
        <v>5.96</v>
      </c>
      <c r="L260" s="348"/>
      <c r="M260" s="348">
        <f t="shared" ref="M260:M276" si="91">SUM(N260:T260)</f>
        <v>2.31</v>
      </c>
      <c r="N260" s="348">
        <f>(SUM('工资福利（公务员、参公人员）'!R260:T260)+SUM('工资福利（事业）'!V260:X260,'工资福利（事业）'!AB260))*0.16</f>
        <v>0.8896</v>
      </c>
      <c r="O260" s="348">
        <f>(SUM('工资福利（公务员、参公人员）'!R260:S260)+SUM('工资福利（事业）'!V260:X260,'工资福利（事业）'!AB260))*0.08</f>
        <v>0.424</v>
      </c>
      <c r="P260" s="348">
        <f>(SUM('工资福利（公务员、参公人员）'!R260:S260)+SUM('工资福利（事业）'!V260:X260,'工资福利（事业）'!AB260))*0.06</f>
        <v>0.318</v>
      </c>
      <c r="Q260" s="348">
        <f>(SUM('工资福利（公务员、参公人员）'!R260:S260)+SUM('工资福利（事业）'!V260:X260,'工资福利（事业）'!AB260))*0.002</f>
        <v>0.0106</v>
      </c>
      <c r="R260" s="348">
        <f>(SUM('工资福利（公务员、参公人员）'!R260:S260)+SUM('工资福利（事业）'!V260:X260,'工资福利（事业）'!AB260))*0.006</f>
        <v>0.0318</v>
      </c>
      <c r="S260" s="348">
        <f>(SUM('工资福利（公务员、参公人员）'!R260:S260)+SUM('工资福利（事业）'!V260:X260,'工资福利（事业）'!AB260))*0.12</f>
        <v>0.636</v>
      </c>
      <c r="T260" s="348"/>
      <c r="U260" s="348">
        <f t="shared" ref="U260:U276" si="92">SUM(V260:AB260)</f>
        <v>23.96</v>
      </c>
      <c r="V260" s="348">
        <f t="shared" ref="V260:AB260" si="93">F260+N260</f>
        <v>9.2296</v>
      </c>
      <c r="W260" s="348">
        <f t="shared" si="93"/>
        <v>4.394</v>
      </c>
      <c r="X260" s="348">
        <f t="shared" si="93"/>
        <v>3.298</v>
      </c>
      <c r="Y260" s="348">
        <f t="shared" si="93"/>
        <v>0.1106</v>
      </c>
      <c r="Z260" s="348">
        <f t="shared" si="93"/>
        <v>0.3318</v>
      </c>
      <c r="AA260" s="348">
        <f t="shared" si="93"/>
        <v>6.596</v>
      </c>
      <c r="AB260" s="348">
        <f t="shared" si="93"/>
        <v>0</v>
      </c>
      <c r="AC260" s="350"/>
    </row>
    <row r="261" ht="24" spans="1:29">
      <c r="A261" s="284" t="s">
        <v>195</v>
      </c>
      <c r="B261" s="284" t="s">
        <v>199</v>
      </c>
      <c r="C261" s="284" t="s">
        <v>513</v>
      </c>
      <c r="D261" s="284" t="s">
        <v>512</v>
      </c>
      <c r="E261" s="348">
        <f t="shared" si="90"/>
        <v>2.43</v>
      </c>
      <c r="F261" s="348">
        <v>0.91</v>
      </c>
      <c r="G261" s="348">
        <v>0.46</v>
      </c>
      <c r="H261" s="348">
        <v>0.34</v>
      </c>
      <c r="I261" s="348">
        <v>0.01</v>
      </c>
      <c r="J261" s="348">
        <v>0.03</v>
      </c>
      <c r="K261" s="348">
        <v>0.68</v>
      </c>
      <c r="L261" s="348"/>
      <c r="M261" s="348">
        <f t="shared" si="91"/>
        <v>0.20544</v>
      </c>
      <c r="N261" s="348">
        <f>(SUM('工资福利（公务员、参公人员）'!R261:T261)+SUM('工资福利（事业）'!V261:X261,'工资福利（事业）'!AB261))*0.16</f>
        <v>0.0768</v>
      </c>
      <c r="O261" s="348">
        <f>(SUM('工资福利（公务员、参公人员）'!R261:S261)+SUM('工资福利（事业）'!V261:X261,'工资福利（事业）'!AB261))*0.08</f>
        <v>0.0384</v>
      </c>
      <c r="P261" s="348">
        <f>(SUM('工资福利（公务员、参公人员）'!R261:S261)+SUM('工资福利（事业）'!V261:X261,'工资福利（事业）'!AB261))*0.06</f>
        <v>0.0288</v>
      </c>
      <c r="Q261" s="348">
        <f>(SUM('工资福利（公务员、参公人员）'!R261:S261)+SUM('工资福利（事业）'!V261:X261,'工资福利（事业）'!AB261))*0.002</f>
        <v>0.00096</v>
      </c>
      <c r="R261" s="348">
        <f>(SUM('工资福利（公务员、参公人员）'!R261:S261)+SUM('工资福利（事业）'!V261:X261,'工资福利（事业）'!AB261))*0.006</f>
        <v>0.00288</v>
      </c>
      <c r="S261" s="348">
        <f>(SUM('工资福利（公务员、参公人员）'!R261:S261)+SUM('工资福利（事业）'!V261:X261,'工资福利（事业）'!AB261))*0.12</f>
        <v>0.0576</v>
      </c>
      <c r="T261" s="348"/>
      <c r="U261" s="348">
        <f t="shared" si="92"/>
        <v>2.63544</v>
      </c>
      <c r="V261" s="348">
        <f t="shared" ref="V261:AB261" si="94">F261+N261</f>
        <v>0.9868</v>
      </c>
      <c r="W261" s="348">
        <f t="shared" si="94"/>
        <v>0.4984</v>
      </c>
      <c r="X261" s="348">
        <f t="shared" si="94"/>
        <v>0.3688</v>
      </c>
      <c r="Y261" s="348">
        <f t="shared" si="94"/>
        <v>0.01096</v>
      </c>
      <c r="Z261" s="348">
        <f t="shared" si="94"/>
        <v>0.03288</v>
      </c>
      <c r="AA261" s="348">
        <f t="shared" si="94"/>
        <v>0.7376</v>
      </c>
      <c r="AB261" s="348">
        <f t="shared" si="94"/>
        <v>0</v>
      </c>
      <c r="AC261" s="350"/>
    </row>
    <row r="262" s="311" customFormat="1" ht="21" customHeight="1" spans="1:29">
      <c r="A262" s="328"/>
      <c r="B262" s="329" t="s">
        <v>748</v>
      </c>
      <c r="C262" s="329" t="s">
        <v>136</v>
      </c>
      <c r="D262" s="329">
        <v>207</v>
      </c>
      <c r="E262" s="358">
        <f t="shared" ref="E262:L262" si="95">SUM(E263:E276)</f>
        <v>293.28</v>
      </c>
      <c r="F262" s="358">
        <f t="shared" si="95"/>
        <v>109.54</v>
      </c>
      <c r="G262" s="358">
        <f t="shared" si="95"/>
        <v>54.4</v>
      </c>
      <c r="H262" s="358">
        <f t="shared" si="95"/>
        <v>40.78</v>
      </c>
      <c r="I262" s="358">
        <f t="shared" si="95"/>
        <v>2.34</v>
      </c>
      <c r="J262" s="358">
        <f t="shared" si="95"/>
        <v>4.09</v>
      </c>
      <c r="K262" s="358">
        <f t="shared" si="95"/>
        <v>81.6</v>
      </c>
      <c r="L262" s="358">
        <f t="shared" si="95"/>
        <v>0.53</v>
      </c>
      <c r="M262" s="358">
        <f t="shared" ref="M262:AB262" si="96">SUM(M263:M276)</f>
        <v>43.71222</v>
      </c>
      <c r="N262" s="358">
        <f t="shared" si="96"/>
        <v>16.3488</v>
      </c>
      <c r="O262" s="358">
        <f t="shared" si="96"/>
        <v>8.1616</v>
      </c>
      <c r="P262" s="358">
        <f t="shared" si="96"/>
        <v>6.1212</v>
      </c>
      <c r="Q262" s="358">
        <f t="shared" si="96"/>
        <v>0.2261</v>
      </c>
      <c r="R262" s="358">
        <f t="shared" si="96"/>
        <v>0.61212</v>
      </c>
      <c r="S262" s="358">
        <f t="shared" si="96"/>
        <v>12.2424</v>
      </c>
      <c r="T262" s="358">
        <f t="shared" si="96"/>
        <v>0</v>
      </c>
      <c r="U262" s="358">
        <f t="shared" si="96"/>
        <v>336.99222</v>
      </c>
      <c r="V262" s="358">
        <f t="shared" si="96"/>
        <v>125.8888</v>
      </c>
      <c r="W262" s="358">
        <f t="shared" si="96"/>
        <v>62.5616</v>
      </c>
      <c r="X262" s="358">
        <f t="shared" si="96"/>
        <v>46.9012</v>
      </c>
      <c r="Y262" s="358">
        <f t="shared" si="96"/>
        <v>2.5661</v>
      </c>
      <c r="Z262" s="358">
        <f t="shared" si="96"/>
        <v>4.70212</v>
      </c>
      <c r="AA262" s="358">
        <f t="shared" si="96"/>
        <v>93.8424</v>
      </c>
      <c r="AB262" s="358">
        <f t="shared" si="96"/>
        <v>0.53</v>
      </c>
      <c r="AC262" s="362"/>
    </row>
    <row r="263" ht="24" spans="1:29">
      <c r="A263" s="284" t="s">
        <v>195</v>
      </c>
      <c r="B263" s="284" t="s">
        <v>196</v>
      </c>
      <c r="C263" s="284" t="s">
        <v>514</v>
      </c>
      <c r="D263" s="284" t="s">
        <v>515</v>
      </c>
      <c r="E263" s="348">
        <f t="shared" si="90"/>
        <v>21.8</v>
      </c>
      <c r="F263" s="348">
        <v>8.36</v>
      </c>
      <c r="G263" s="348">
        <v>3.98</v>
      </c>
      <c r="H263" s="348">
        <v>2.99</v>
      </c>
      <c r="I263" s="348">
        <v>0.2</v>
      </c>
      <c r="J263" s="348">
        <v>0.3</v>
      </c>
      <c r="K263" s="348">
        <v>5.97</v>
      </c>
      <c r="L263" s="348"/>
      <c r="M263" s="348">
        <f t="shared" si="91"/>
        <v>1.16832</v>
      </c>
      <c r="N263" s="348">
        <f>(SUM('工资福利（公务员、参公人员）'!R263:T263)+SUM('工资福利（事业）'!V263:X263,'工资福利（事业）'!AB263))*0.16</f>
        <v>0.4608</v>
      </c>
      <c r="O263" s="348">
        <f>(SUM('工资福利（公务员、参公人员）'!R263:S263)+SUM('工资福利（事业）'!V263:X263,'工资福利（事业）'!AB263))*0.08</f>
        <v>0.2112</v>
      </c>
      <c r="P263" s="348">
        <f>(SUM('工资福利（公务员、参公人员）'!R263:S263)+SUM('工资福利（事业）'!V263:X263,'工资福利（事业）'!AB263))*0.06</f>
        <v>0.1584</v>
      </c>
      <c r="Q263" s="348">
        <f>(SUM('工资福利（公务员、参公人员）'!R263:S263)+SUM('工资福利（事业）'!V263:X263,'工资福利（事业）'!AB263))*0.002</f>
        <v>0.00528</v>
      </c>
      <c r="R263" s="348">
        <f>(SUM('工资福利（公务员、参公人员）'!R263:S263)+SUM('工资福利（事业）'!V263:X263,'工资福利（事业）'!AB263))*0.006</f>
        <v>0.01584</v>
      </c>
      <c r="S263" s="348">
        <f>(SUM('工资福利（公务员、参公人员）'!R263:S263)+SUM('工资福利（事业）'!V263:X263,'工资福利（事业）'!AB263))*0.12</f>
        <v>0.3168</v>
      </c>
      <c r="T263" s="348"/>
      <c r="U263" s="348">
        <f t="shared" si="92"/>
        <v>22.96832</v>
      </c>
      <c r="V263" s="348">
        <f t="shared" ref="V263:V276" si="97">F263+N263</f>
        <v>8.8208</v>
      </c>
      <c r="W263" s="348">
        <f t="shared" ref="W263:W276" si="98">G263+O263</f>
        <v>4.1912</v>
      </c>
      <c r="X263" s="348">
        <f t="shared" ref="X263:X276" si="99">H263+P263</f>
        <v>3.1484</v>
      </c>
      <c r="Y263" s="348">
        <f t="shared" ref="Y263:Y276" si="100">I263+Q263</f>
        <v>0.20528</v>
      </c>
      <c r="Z263" s="348">
        <f t="shared" ref="Z263:Z276" si="101">J263+R263</f>
        <v>0.31584</v>
      </c>
      <c r="AA263" s="348">
        <f t="shared" ref="AA263:AA276" si="102">K263+S263</f>
        <v>6.2868</v>
      </c>
      <c r="AB263" s="348">
        <f t="shared" ref="AB263:AB276" si="103">L263+T263</f>
        <v>0</v>
      </c>
      <c r="AC263" s="350"/>
    </row>
    <row r="264" ht="24" spans="1:29">
      <c r="A264" s="284" t="s">
        <v>195</v>
      </c>
      <c r="B264" s="284" t="s">
        <v>199</v>
      </c>
      <c r="C264" s="284" t="s">
        <v>516</v>
      </c>
      <c r="D264" s="284" t="s">
        <v>517</v>
      </c>
      <c r="E264" s="348">
        <f t="shared" si="90"/>
        <v>18.7</v>
      </c>
      <c r="F264" s="348">
        <v>6.96</v>
      </c>
      <c r="G264" s="348">
        <v>3.48</v>
      </c>
      <c r="H264" s="348">
        <v>2.61</v>
      </c>
      <c r="I264" s="348">
        <v>0.17</v>
      </c>
      <c r="J264" s="348">
        <v>0.26</v>
      </c>
      <c r="K264" s="348">
        <v>5.22</v>
      </c>
      <c r="L264" s="348"/>
      <c r="M264" s="348">
        <f t="shared" si="91"/>
        <v>1.16844</v>
      </c>
      <c r="N264" s="348">
        <f>(SUM('工资福利（公务员、参公人员）'!R264:T264)+SUM('工资福利（事业）'!V264:X264,'工资福利（事业）'!AB264))*0.16</f>
        <v>0.4368</v>
      </c>
      <c r="O264" s="348">
        <f>(SUM('工资福利（公务员、参公人员）'!R264:S264)+SUM('工资福利（事业）'!V264:X264,'工资福利（事业）'!AB264))*0.08</f>
        <v>0.2184</v>
      </c>
      <c r="P264" s="348">
        <f>(SUM('工资福利（公务员、参公人员）'!R264:S264)+SUM('工资福利（事业）'!V264:X264,'工资福利（事业）'!AB264))*0.06</f>
        <v>0.1638</v>
      </c>
      <c r="Q264" s="348">
        <f>(SUM('工资福利（公务员、参公人员）'!R264:S264)+SUM('工资福利（事业）'!V264:X264,'工资福利（事业）'!AB264))*0.002</f>
        <v>0.00546</v>
      </c>
      <c r="R264" s="348">
        <f>(SUM('工资福利（公务员、参公人员）'!R264:S264)+SUM('工资福利（事业）'!V264:X264,'工资福利（事业）'!AB264))*0.006</f>
        <v>0.01638</v>
      </c>
      <c r="S264" s="348">
        <f>(SUM('工资福利（公务员、参公人员）'!R264:S264)+SUM('工资福利（事业）'!V264:X264,'工资福利（事业）'!AB264))*0.12</f>
        <v>0.3276</v>
      </c>
      <c r="T264" s="348"/>
      <c r="U264" s="348">
        <f t="shared" si="92"/>
        <v>19.86844</v>
      </c>
      <c r="V264" s="348">
        <f t="shared" si="97"/>
        <v>7.3968</v>
      </c>
      <c r="W264" s="348">
        <f t="shared" si="98"/>
        <v>3.6984</v>
      </c>
      <c r="X264" s="348">
        <f t="shared" si="99"/>
        <v>2.7738</v>
      </c>
      <c r="Y264" s="348">
        <f t="shared" si="100"/>
        <v>0.17546</v>
      </c>
      <c r="Z264" s="348">
        <f t="shared" si="101"/>
        <v>0.27638</v>
      </c>
      <c r="AA264" s="348">
        <f t="shared" si="102"/>
        <v>5.5476</v>
      </c>
      <c r="AB264" s="348">
        <f t="shared" si="103"/>
        <v>0</v>
      </c>
      <c r="AC264" s="350"/>
    </row>
    <row r="265" ht="36" spans="1:29">
      <c r="A265" s="284" t="s">
        <v>195</v>
      </c>
      <c r="B265" s="284" t="s">
        <v>518</v>
      </c>
      <c r="C265" s="284" t="s">
        <v>519</v>
      </c>
      <c r="D265" s="284" t="s">
        <v>520</v>
      </c>
      <c r="E265" s="348">
        <f t="shared" si="90"/>
        <v>0</v>
      </c>
      <c r="F265" s="348"/>
      <c r="G265" s="348"/>
      <c r="H265" s="348"/>
      <c r="I265" s="348"/>
      <c r="J265" s="348"/>
      <c r="K265" s="348"/>
      <c r="L265" s="348"/>
      <c r="M265" s="348">
        <f t="shared" si="91"/>
        <v>0</v>
      </c>
      <c r="N265" s="348">
        <f>(SUM('工资福利（公务员、参公人员）'!R265:T265)+SUM('工资福利（事业）'!V265:X265,'工资福利（事业）'!AB265))*0.16</f>
        <v>0</v>
      </c>
      <c r="O265" s="348">
        <f>(SUM('工资福利（公务员、参公人员）'!R265:S265)+SUM('工资福利（事业）'!V265:X265,'工资福利（事业）'!AB265))*0.08</f>
        <v>0</v>
      </c>
      <c r="P265" s="348">
        <f>(SUM('工资福利（公务员、参公人员）'!R265:S265)+SUM('工资福利（事业）'!V265:X265,'工资福利（事业）'!AB265))*0.06</f>
        <v>0</v>
      </c>
      <c r="Q265" s="348">
        <f>(SUM('工资福利（公务员、参公人员）'!R265:S265)+SUM('工资福利（事业）'!V265:X265,'工资福利（事业）'!AB265))*0.002</f>
        <v>0</v>
      </c>
      <c r="R265" s="348">
        <f>(SUM('工资福利（公务员、参公人员）'!R265:S265)+SUM('工资福利（事业）'!V265:X265,'工资福利（事业）'!AB265))*0.006</f>
        <v>0</v>
      </c>
      <c r="S265" s="348">
        <f>(SUM('工资福利（公务员、参公人员）'!R265:S265)+SUM('工资福利（事业）'!V265:X265,'工资福利（事业）'!AB265))*0.12</f>
        <v>0</v>
      </c>
      <c r="T265" s="348"/>
      <c r="U265" s="348">
        <f t="shared" si="92"/>
        <v>0</v>
      </c>
      <c r="V265" s="348">
        <f t="shared" si="97"/>
        <v>0</v>
      </c>
      <c r="W265" s="348">
        <f t="shared" si="98"/>
        <v>0</v>
      </c>
      <c r="X265" s="348">
        <f t="shared" si="99"/>
        <v>0</v>
      </c>
      <c r="Y265" s="348">
        <f t="shared" si="100"/>
        <v>0</v>
      </c>
      <c r="Z265" s="348">
        <f t="shared" si="101"/>
        <v>0</v>
      </c>
      <c r="AA265" s="348">
        <f t="shared" si="102"/>
        <v>0</v>
      </c>
      <c r="AB265" s="348">
        <f t="shared" si="103"/>
        <v>0</v>
      </c>
      <c r="AC265" s="350"/>
    </row>
    <row r="266" ht="24" spans="1:29">
      <c r="A266" s="284" t="s">
        <v>195</v>
      </c>
      <c r="B266" s="284" t="s">
        <v>199</v>
      </c>
      <c r="C266" s="284" t="s">
        <v>793</v>
      </c>
      <c r="D266" s="284" t="s">
        <v>522</v>
      </c>
      <c r="E266" s="348">
        <f t="shared" si="90"/>
        <v>16.63</v>
      </c>
      <c r="F266" s="348">
        <v>6.19</v>
      </c>
      <c r="G266" s="348">
        <v>3.1</v>
      </c>
      <c r="H266" s="348">
        <v>2.32</v>
      </c>
      <c r="I266" s="348">
        <v>0.15</v>
      </c>
      <c r="J266" s="348">
        <v>0.23</v>
      </c>
      <c r="K266" s="348">
        <v>4.64</v>
      </c>
      <c r="L266" s="348"/>
      <c r="M266" s="348">
        <f t="shared" si="91"/>
        <v>6.65112</v>
      </c>
      <c r="N266" s="348">
        <f>(SUM('工资福利（公务员、参公人员）'!R266:T266)+SUM('工资福利（事业）'!V266:X266,'工资福利（事业）'!AB266))*0.16</f>
        <v>2.4864</v>
      </c>
      <c r="O266" s="348">
        <f>(SUM('工资福利（公务员、参公人员）'!R266:S266)+SUM('工资福利（事业）'!V266:X266,'工资福利（事业）'!AB266))*0.08</f>
        <v>1.2432</v>
      </c>
      <c r="P266" s="348">
        <f>(SUM('工资福利（公务员、参公人员）'!R266:S266)+SUM('工资福利（事业）'!V266:X266,'工资福利（事业）'!AB266))*0.06</f>
        <v>0.9324</v>
      </c>
      <c r="Q266" s="348">
        <f>(SUM('工资福利（公务员、参公人员）'!R266:S266)+SUM('工资福利（事业）'!V266:X266,'工资福利（事业）'!AB266))*0.002</f>
        <v>0.03108</v>
      </c>
      <c r="R266" s="348">
        <f>(SUM('工资福利（公务员、参公人员）'!R266:S266)+SUM('工资福利（事业）'!V266:X266,'工资福利（事业）'!AB266))*0.006</f>
        <v>0.09324</v>
      </c>
      <c r="S266" s="348">
        <f>(SUM('工资福利（公务员、参公人员）'!R266:S266)+SUM('工资福利（事业）'!V266:X266,'工资福利（事业）'!AB266))*0.12</f>
        <v>1.8648</v>
      </c>
      <c r="T266" s="348"/>
      <c r="U266" s="348">
        <f t="shared" si="92"/>
        <v>23.28112</v>
      </c>
      <c r="V266" s="348">
        <f t="shared" si="97"/>
        <v>8.6764</v>
      </c>
      <c r="W266" s="348">
        <f t="shared" si="98"/>
        <v>4.3432</v>
      </c>
      <c r="X266" s="348">
        <f t="shared" si="99"/>
        <v>3.2524</v>
      </c>
      <c r="Y266" s="348">
        <f t="shared" si="100"/>
        <v>0.18108</v>
      </c>
      <c r="Z266" s="348">
        <f t="shared" si="101"/>
        <v>0.32324</v>
      </c>
      <c r="AA266" s="348">
        <f t="shared" si="102"/>
        <v>6.5048</v>
      </c>
      <c r="AB266" s="348">
        <f t="shared" si="103"/>
        <v>0</v>
      </c>
      <c r="AC266" s="350"/>
    </row>
    <row r="267" ht="36" spans="1:29">
      <c r="A267" s="284" t="s">
        <v>195</v>
      </c>
      <c r="B267" s="284" t="s">
        <v>196</v>
      </c>
      <c r="C267" s="284" t="s">
        <v>523</v>
      </c>
      <c r="D267" s="284" t="s">
        <v>524</v>
      </c>
      <c r="E267" s="348">
        <f t="shared" si="90"/>
        <v>9.41</v>
      </c>
      <c r="F267" s="348">
        <v>3.6</v>
      </c>
      <c r="G267" s="348">
        <v>1.72</v>
      </c>
      <c r="H267" s="348">
        <v>1.29</v>
      </c>
      <c r="I267" s="348">
        <v>0.09</v>
      </c>
      <c r="J267" s="348">
        <v>0.13</v>
      </c>
      <c r="K267" s="348">
        <v>2.58</v>
      </c>
      <c r="L267" s="348"/>
      <c r="M267" s="348">
        <f t="shared" si="91"/>
        <v>0.36268</v>
      </c>
      <c r="N267" s="348">
        <f>(SUM('工资福利（公务员、参公人员）'!R267:T267)+SUM('工资福利（事业）'!V267:X267,'工资福利（事业）'!AB267))*0.16</f>
        <v>0.1456</v>
      </c>
      <c r="O267" s="348">
        <f>(SUM('工资福利（公务员、参公人员）'!R267:S267)+SUM('工资福利（事业）'!V267:X267,'工资福利（事业）'!AB267))*0.08</f>
        <v>0.0648</v>
      </c>
      <c r="P267" s="348">
        <f>(SUM('工资福利（公务员、参公人员）'!R267:S267)+SUM('工资福利（事业）'!V267:X267,'工资福利（事业）'!AB267))*0.06</f>
        <v>0.0486</v>
      </c>
      <c r="Q267" s="348">
        <f>(SUM('工资福利（公务员、参公人员）'!R267:S267)+SUM('工资福利（事业）'!V267:X267,'工资福利（事业）'!AB267))*0.002</f>
        <v>0.00162</v>
      </c>
      <c r="R267" s="348">
        <f>(SUM('工资福利（公务员、参公人员）'!R267:S267)+SUM('工资福利（事业）'!V267:X267,'工资福利（事业）'!AB267))*0.006</f>
        <v>0.00486</v>
      </c>
      <c r="S267" s="348">
        <f>(SUM('工资福利（公务员、参公人员）'!R267:S267)+SUM('工资福利（事业）'!V267:X267,'工资福利（事业）'!AB267))*0.12</f>
        <v>0.0972</v>
      </c>
      <c r="T267" s="348"/>
      <c r="U267" s="348">
        <f t="shared" si="92"/>
        <v>9.77268</v>
      </c>
      <c r="V267" s="348">
        <f t="shared" si="97"/>
        <v>3.7456</v>
      </c>
      <c r="W267" s="348">
        <f t="shared" si="98"/>
        <v>1.7848</v>
      </c>
      <c r="X267" s="348">
        <f t="shared" si="99"/>
        <v>1.3386</v>
      </c>
      <c r="Y267" s="348">
        <f t="shared" si="100"/>
        <v>0.09162</v>
      </c>
      <c r="Z267" s="348">
        <f t="shared" si="101"/>
        <v>0.13486</v>
      </c>
      <c r="AA267" s="348">
        <f t="shared" si="102"/>
        <v>2.6772</v>
      </c>
      <c r="AB267" s="348">
        <f t="shared" si="103"/>
        <v>0</v>
      </c>
      <c r="AC267" s="350"/>
    </row>
    <row r="268" ht="36" spans="1:29">
      <c r="A268" s="284" t="s">
        <v>195</v>
      </c>
      <c r="B268" s="284" t="s">
        <v>199</v>
      </c>
      <c r="C268" s="284" t="s">
        <v>525</v>
      </c>
      <c r="D268" s="284" t="s">
        <v>526</v>
      </c>
      <c r="E268" s="348">
        <f t="shared" si="90"/>
        <v>15.73</v>
      </c>
      <c r="F268" s="348">
        <v>5.85</v>
      </c>
      <c r="G268" s="348">
        <v>2.93</v>
      </c>
      <c r="H268" s="348">
        <v>2.19</v>
      </c>
      <c r="I268" s="348">
        <v>0.15</v>
      </c>
      <c r="J268" s="348">
        <v>0.22</v>
      </c>
      <c r="K268" s="348">
        <v>4.39</v>
      </c>
      <c r="L268" s="348"/>
      <c r="M268" s="348">
        <f t="shared" si="91"/>
        <v>1.44664</v>
      </c>
      <c r="N268" s="348">
        <f>(SUM('工资福利（公务员、参公人员）'!R268:T268)+SUM('工资福利（事业）'!V268:X268,'工资福利（事业）'!AB268))*0.16</f>
        <v>0.5408</v>
      </c>
      <c r="O268" s="348">
        <f>(SUM('工资福利（公务员、参公人员）'!R268:S268)+SUM('工资福利（事业）'!V268:X268,'工资福利（事业）'!AB268))*0.08</f>
        <v>0.2704</v>
      </c>
      <c r="P268" s="348">
        <f>(SUM('工资福利（公务员、参公人员）'!R268:S268)+SUM('工资福利（事业）'!V268:X268,'工资福利（事业）'!AB268))*0.06</f>
        <v>0.2028</v>
      </c>
      <c r="Q268" s="348">
        <f>(SUM('工资福利（公务员、参公人员）'!R268:S268)+SUM('工资福利（事业）'!V268:X268,'工资福利（事业）'!AB268))*0.002</f>
        <v>0.00676</v>
      </c>
      <c r="R268" s="348">
        <f>(SUM('工资福利（公务员、参公人员）'!R268:S268)+SUM('工资福利（事业）'!V268:X268,'工资福利（事业）'!AB268))*0.006</f>
        <v>0.02028</v>
      </c>
      <c r="S268" s="348">
        <f>(SUM('工资福利（公务员、参公人员）'!R268:S268)+SUM('工资福利（事业）'!V268:X268,'工资福利（事业）'!AB268))*0.12</f>
        <v>0.4056</v>
      </c>
      <c r="T268" s="348"/>
      <c r="U268" s="348">
        <f t="shared" si="92"/>
        <v>17.17664</v>
      </c>
      <c r="V268" s="348">
        <f t="shared" si="97"/>
        <v>6.3908</v>
      </c>
      <c r="W268" s="348">
        <f t="shared" si="98"/>
        <v>3.2004</v>
      </c>
      <c r="X268" s="348">
        <f t="shared" si="99"/>
        <v>2.3928</v>
      </c>
      <c r="Y268" s="348">
        <f t="shared" si="100"/>
        <v>0.15676</v>
      </c>
      <c r="Z268" s="348">
        <f t="shared" si="101"/>
        <v>0.24028</v>
      </c>
      <c r="AA268" s="348">
        <f t="shared" si="102"/>
        <v>4.7956</v>
      </c>
      <c r="AB268" s="348">
        <f t="shared" si="103"/>
        <v>0</v>
      </c>
      <c r="AC268" s="350"/>
    </row>
    <row r="269" ht="36" spans="1:29">
      <c r="A269" s="284" t="s">
        <v>195</v>
      </c>
      <c r="B269" s="284" t="s">
        <v>199</v>
      </c>
      <c r="C269" s="284" t="s">
        <v>527</v>
      </c>
      <c r="D269" s="284" t="s">
        <v>526</v>
      </c>
      <c r="E269" s="348">
        <f t="shared" si="90"/>
        <v>11.85</v>
      </c>
      <c r="F269" s="348">
        <v>4.41</v>
      </c>
      <c r="G269" s="348">
        <v>2.2</v>
      </c>
      <c r="H269" s="348">
        <v>1.65</v>
      </c>
      <c r="I269" s="348">
        <v>0.11</v>
      </c>
      <c r="J269" s="348">
        <v>0.17</v>
      </c>
      <c r="K269" s="348">
        <v>3.31</v>
      </c>
      <c r="L269" s="348"/>
      <c r="M269" s="348">
        <f t="shared" si="91"/>
        <v>1.82328</v>
      </c>
      <c r="N269" s="348">
        <f>(SUM('工资福利（公务员、参公人员）'!R269:T269)+SUM('工资福利（事业）'!V269:X269,'工资福利（事业）'!AB269))*0.16</f>
        <v>0.6816</v>
      </c>
      <c r="O269" s="348">
        <f>(SUM('工资福利（公务员、参公人员）'!R269:S269)+SUM('工资福利（事业）'!V269:X269,'工资福利（事业）'!AB269))*0.08</f>
        <v>0.3408</v>
      </c>
      <c r="P269" s="348">
        <f>(SUM('工资福利（公务员、参公人员）'!R269:S269)+SUM('工资福利（事业）'!V269:X269,'工资福利（事业）'!AB269))*0.06</f>
        <v>0.2556</v>
      </c>
      <c r="Q269" s="348">
        <f>(SUM('工资福利（公务员、参公人员）'!R269:S269)+SUM('工资福利（事业）'!V269:X269,'工资福利（事业）'!AB269))*0.002</f>
        <v>0.00852</v>
      </c>
      <c r="R269" s="348">
        <f>(SUM('工资福利（公务员、参公人员）'!R269:S269)+SUM('工资福利（事业）'!V269:X269,'工资福利（事业）'!AB269))*0.006</f>
        <v>0.02556</v>
      </c>
      <c r="S269" s="348">
        <f>(SUM('工资福利（公务员、参公人员）'!R269:S269)+SUM('工资福利（事业）'!V269:X269,'工资福利（事业）'!AB269))*0.12</f>
        <v>0.5112</v>
      </c>
      <c r="T269" s="348"/>
      <c r="U269" s="348">
        <f t="shared" si="92"/>
        <v>13.67328</v>
      </c>
      <c r="V269" s="348">
        <f t="shared" si="97"/>
        <v>5.0916</v>
      </c>
      <c r="W269" s="348">
        <f t="shared" si="98"/>
        <v>2.5408</v>
      </c>
      <c r="X269" s="348">
        <f t="shared" si="99"/>
        <v>1.9056</v>
      </c>
      <c r="Y269" s="348">
        <f t="shared" si="100"/>
        <v>0.11852</v>
      </c>
      <c r="Z269" s="348">
        <f t="shared" si="101"/>
        <v>0.19556</v>
      </c>
      <c r="AA269" s="348">
        <f t="shared" si="102"/>
        <v>3.8212</v>
      </c>
      <c r="AB269" s="348">
        <f t="shared" si="103"/>
        <v>0</v>
      </c>
      <c r="AC269" s="350"/>
    </row>
    <row r="270" ht="36" spans="1:29">
      <c r="A270" s="284" t="s">
        <v>195</v>
      </c>
      <c r="B270" s="284" t="s">
        <v>199</v>
      </c>
      <c r="C270" s="284" t="s">
        <v>528</v>
      </c>
      <c r="D270" s="284" t="s">
        <v>526</v>
      </c>
      <c r="E270" s="348">
        <f t="shared" si="90"/>
        <v>8.05</v>
      </c>
      <c r="F270" s="348">
        <v>3</v>
      </c>
      <c r="G270" s="348">
        <v>1.5</v>
      </c>
      <c r="H270" s="348">
        <v>1.12</v>
      </c>
      <c r="I270" s="348">
        <v>0.07</v>
      </c>
      <c r="J270" s="348">
        <v>0.11</v>
      </c>
      <c r="K270" s="348">
        <v>2.25</v>
      </c>
      <c r="L270" s="348"/>
      <c r="M270" s="348">
        <f t="shared" si="91"/>
        <v>3.8092</v>
      </c>
      <c r="N270" s="348">
        <f>(SUM('工资福利（公务员、参公人员）'!R270:T270)+SUM('工资福利（事业）'!V270:X270,'工资福利（事业）'!AB270))*0.16</f>
        <v>1.424</v>
      </c>
      <c r="O270" s="348">
        <f>(SUM('工资福利（公务员、参公人员）'!R270:S270)+SUM('工资福利（事业）'!V270:X270,'工资福利（事业）'!AB270))*0.08</f>
        <v>0.712</v>
      </c>
      <c r="P270" s="348">
        <f>(SUM('工资福利（公务员、参公人员）'!R270:S270)+SUM('工资福利（事业）'!V270:X270,'工资福利（事业）'!AB270))*0.06</f>
        <v>0.534</v>
      </c>
      <c r="Q270" s="348">
        <f>(SUM('工资福利（公务员、参公人员）'!R270:S270)+SUM('工资福利（事业）'!V270:X270,'工资福利（事业）'!AB270))*0.002</f>
        <v>0.0178</v>
      </c>
      <c r="R270" s="348">
        <f>(SUM('工资福利（公务员、参公人员）'!R270:S270)+SUM('工资福利（事业）'!V270:X270,'工资福利（事业）'!AB270))*0.006</f>
        <v>0.0534</v>
      </c>
      <c r="S270" s="348">
        <f>(SUM('工资福利（公务员、参公人员）'!R270:S270)+SUM('工资福利（事业）'!V270:X270,'工资福利（事业）'!AB270))*0.12</f>
        <v>1.068</v>
      </c>
      <c r="T270" s="348"/>
      <c r="U270" s="348">
        <f t="shared" si="92"/>
        <v>11.8592</v>
      </c>
      <c r="V270" s="348">
        <f t="shared" si="97"/>
        <v>4.424</v>
      </c>
      <c r="W270" s="348">
        <f t="shared" si="98"/>
        <v>2.212</v>
      </c>
      <c r="X270" s="348">
        <f t="shared" si="99"/>
        <v>1.654</v>
      </c>
      <c r="Y270" s="348">
        <f t="shared" si="100"/>
        <v>0.0878</v>
      </c>
      <c r="Z270" s="348">
        <f t="shared" si="101"/>
        <v>0.1634</v>
      </c>
      <c r="AA270" s="348">
        <f t="shared" si="102"/>
        <v>3.318</v>
      </c>
      <c r="AB270" s="348">
        <f t="shared" si="103"/>
        <v>0</v>
      </c>
      <c r="AC270" s="350"/>
    </row>
    <row r="271" ht="36" spans="1:29">
      <c r="A271" s="284" t="s">
        <v>195</v>
      </c>
      <c r="B271" s="284" t="s">
        <v>199</v>
      </c>
      <c r="C271" s="284" t="s">
        <v>529</v>
      </c>
      <c r="D271" s="284" t="s">
        <v>526</v>
      </c>
      <c r="E271" s="348">
        <f t="shared" si="90"/>
        <v>8.28</v>
      </c>
      <c r="F271" s="348">
        <v>3.08</v>
      </c>
      <c r="G271" s="348">
        <v>1.54</v>
      </c>
      <c r="H271" s="348">
        <v>1.15</v>
      </c>
      <c r="I271" s="348">
        <v>0.08</v>
      </c>
      <c r="J271" s="348">
        <v>0.12</v>
      </c>
      <c r="K271" s="348">
        <v>2.31</v>
      </c>
      <c r="L271" s="348"/>
      <c r="M271" s="348">
        <f t="shared" si="91"/>
        <v>3.09872</v>
      </c>
      <c r="N271" s="348">
        <f>(SUM('工资福利（公务员、参公人员）'!R271:T271)+SUM('工资福利（事业）'!V271:X271,'工资福利（事业）'!AB271))*0.16</f>
        <v>1.1584</v>
      </c>
      <c r="O271" s="348">
        <f>(SUM('工资福利（公务员、参公人员）'!R271:S271)+SUM('工资福利（事业）'!V271:X271,'工资福利（事业）'!AB271))*0.08</f>
        <v>0.5792</v>
      </c>
      <c r="P271" s="348">
        <f>(SUM('工资福利（公务员、参公人员）'!R271:S271)+SUM('工资福利（事业）'!V271:X271,'工资福利（事业）'!AB271))*0.06</f>
        <v>0.4344</v>
      </c>
      <c r="Q271" s="348">
        <f>(SUM('工资福利（公务员、参公人员）'!R271:S271)+SUM('工资福利（事业）'!V271:X271,'工资福利（事业）'!AB271))*0.002</f>
        <v>0.01448</v>
      </c>
      <c r="R271" s="348">
        <f>(SUM('工资福利（公务员、参公人员）'!R271:S271)+SUM('工资福利（事业）'!V271:X271,'工资福利（事业）'!AB271))*0.006</f>
        <v>0.04344</v>
      </c>
      <c r="S271" s="348">
        <f>(SUM('工资福利（公务员、参公人员）'!R271:S271)+SUM('工资福利（事业）'!V271:X271,'工资福利（事业）'!AB271))*0.12</f>
        <v>0.8688</v>
      </c>
      <c r="T271" s="348"/>
      <c r="U271" s="348">
        <f t="shared" si="92"/>
        <v>11.37872</v>
      </c>
      <c r="V271" s="348">
        <f t="shared" si="97"/>
        <v>4.2384</v>
      </c>
      <c r="W271" s="348">
        <f t="shared" si="98"/>
        <v>2.1192</v>
      </c>
      <c r="X271" s="348">
        <f t="shared" si="99"/>
        <v>1.5844</v>
      </c>
      <c r="Y271" s="348">
        <f t="shared" si="100"/>
        <v>0.09448</v>
      </c>
      <c r="Z271" s="348">
        <f t="shared" si="101"/>
        <v>0.16344</v>
      </c>
      <c r="AA271" s="348">
        <f t="shared" si="102"/>
        <v>3.1788</v>
      </c>
      <c r="AB271" s="348">
        <f t="shared" si="103"/>
        <v>0</v>
      </c>
      <c r="AC271" s="350"/>
    </row>
    <row r="272" ht="24" spans="1:29">
      <c r="A272" s="284" t="s">
        <v>195</v>
      </c>
      <c r="B272" s="284" t="s">
        <v>199</v>
      </c>
      <c r="C272" s="284" t="s">
        <v>794</v>
      </c>
      <c r="D272" s="284" t="s">
        <v>531</v>
      </c>
      <c r="E272" s="348">
        <f t="shared" si="90"/>
        <v>33.22</v>
      </c>
      <c r="F272" s="348">
        <v>12.36</v>
      </c>
      <c r="G272" s="348">
        <v>6.18</v>
      </c>
      <c r="H272" s="348">
        <v>4.64</v>
      </c>
      <c r="I272" s="348">
        <v>0.31</v>
      </c>
      <c r="J272" s="348">
        <v>0.46</v>
      </c>
      <c r="K272" s="348">
        <v>9.27</v>
      </c>
      <c r="L272" s="348"/>
      <c r="M272" s="348">
        <f t="shared" si="91"/>
        <v>3.49248</v>
      </c>
      <c r="N272" s="348">
        <f>(SUM('工资福利（公务员、参公人员）'!R272:T272)+SUM('工资福利（事业）'!V272:X272,'工资福利（事业）'!AB272))*0.16</f>
        <v>1.3056</v>
      </c>
      <c r="O272" s="348">
        <f>(SUM('工资福利（公务员、参公人员）'!R272:S272)+SUM('工资福利（事业）'!V272:X272,'工资福利（事业）'!AB272))*0.08</f>
        <v>0.6528</v>
      </c>
      <c r="P272" s="348">
        <f>(SUM('工资福利（公务员、参公人员）'!R272:S272)+SUM('工资福利（事业）'!V272:X272,'工资福利（事业）'!AB272))*0.06</f>
        <v>0.4896</v>
      </c>
      <c r="Q272" s="348">
        <f>(SUM('工资福利（公务员、参公人员）'!R272:S272)+SUM('工资福利（事业）'!V272:X272,'工资福利（事业）'!AB272))*0.002</f>
        <v>0.01632</v>
      </c>
      <c r="R272" s="348">
        <f>(SUM('工资福利（公务员、参公人员）'!R272:S272)+SUM('工资福利（事业）'!V272:X272,'工资福利（事业）'!AB272))*0.006</f>
        <v>0.04896</v>
      </c>
      <c r="S272" s="348">
        <f>(SUM('工资福利（公务员、参公人员）'!R272:S272)+SUM('工资福利（事业）'!V272:X272,'工资福利（事业）'!AB272))*0.12</f>
        <v>0.9792</v>
      </c>
      <c r="T272" s="348"/>
      <c r="U272" s="348">
        <f t="shared" si="92"/>
        <v>36.71248</v>
      </c>
      <c r="V272" s="348">
        <f t="shared" si="97"/>
        <v>13.6656</v>
      </c>
      <c r="W272" s="348">
        <f t="shared" si="98"/>
        <v>6.8328</v>
      </c>
      <c r="X272" s="348">
        <f t="shared" si="99"/>
        <v>5.1296</v>
      </c>
      <c r="Y272" s="348">
        <f t="shared" si="100"/>
        <v>0.32632</v>
      </c>
      <c r="Z272" s="348">
        <f t="shared" si="101"/>
        <v>0.50896</v>
      </c>
      <c r="AA272" s="348">
        <f t="shared" si="102"/>
        <v>10.2492</v>
      </c>
      <c r="AB272" s="348">
        <f t="shared" si="103"/>
        <v>0</v>
      </c>
      <c r="AC272" s="350"/>
    </row>
    <row r="273" ht="24" spans="1:29">
      <c r="A273" s="284" t="s">
        <v>195</v>
      </c>
      <c r="B273" s="284" t="s">
        <v>199</v>
      </c>
      <c r="C273" s="284" t="s">
        <v>532</v>
      </c>
      <c r="D273" s="284" t="s">
        <v>533</v>
      </c>
      <c r="E273" s="348">
        <f t="shared" si="90"/>
        <v>27.01</v>
      </c>
      <c r="F273" s="348">
        <v>10.05</v>
      </c>
      <c r="G273" s="348">
        <v>5.02</v>
      </c>
      <c r="H273" s="348">
        <v>3.77</v>
      </c>
      <c r="I273" s="348">
        <v>0.25</v>
      </c>
      <c r="J273" s="348">
        <v>0.38</v>
      </c>
      <c r="K273" s="348">
        <v>7.54</v>
      </c>
      <c r="L273" s="348"/>
      <c r="M273" s="348">
        <f t="shared" si="91"/>
        <v>2.19992</v>
      </c>
      <c r="N273" s="348">
        <f>(SUM('工资福利（公务员、参公人员）'!R273:T273)+SUM('工资福利（事业）'!V273:X273,'工资福利（事业）'!AB273))*0.16</f>
        <v>0.8224</v>
      </c>
      <c r="O273" s="348">
        <f>(SUM('工资福利（公务员、参公人员）'!R273:S273)+SUM('工资福利（事业）'!V273:X273,'工资福利（事业）'!AB273))*0.08</f>
        <v>0.4112</v>
      </c>
      <c r="P273" s="348">
        <f>(SUM('工资福利（公务员、参公人员）'!R273:S273)+SUM('工资福利（事业）'!V273:X273,'工资福利（事业）'!AB273))*0.06</f>
        <v>0.3084</v>
      </c>
      <c r="Q273" s="348">
        <f>(SUM('工资福利（公务员、参公人员）'!R273:S273)+SUM('工资福利（事业）'!V273:X273,'工资福利（事业）'!AB273))*0.002</f>
        <v>0.01028</v>
      </c>
      <c r="R273" s="348">
        <f>(SUM('工资福利（公务员、参公人员）'!R273:S273)+SUM('工资福利（事业）'!V273:X273,'工资福利（事业）'!AB273))*0.006</f>
        <v>0.03084</v>
      </c>
      <c r="S273" s="348">
        <f>(SUM('工资福利（公务员、参公人员）'!R273:S273)+SUM('工资福利（事业）'!V273:X273,'工资福利（事业）'!AB273))*0.12</f>
        <v>0.6168</v>
      </c>
      <c r="T273" s="348"/>
      <c r="U273" s="348">
        <f t="shared" si="92"/>
        <v>29.20992</v>
      </c>
      <c r="V273" s="348">
        <f t="shared" si="97"/>
        <v>10.8724</v>
      </c>
      <c r="W273" s="348">
        <f t="shared" si="98"/>
        <v>5.4312</v>
      </c>
      <c r="X273" s="348">
        <f t="shared" si="99"/>
        <v>4.0784</v>
      </c>
      <c r="Y273" s="348">
        <f t="shared" si="100"/>
        <v>0.26028</v>
      </c>
      <c r="Z273" s="348">
        <f t="shared" si="101"/>
        <v>0.41084</v>
      </c>
      <c r="AA273" s="348">
        <f t="shared" si="102"/>
        <v>8.1568</v>
      </c>
      <c r="AB273" s="348">
        <f t="shared" si="103"/>
        <v>0</v>
      </c>
      <c r="AC273" s="350"/>
    </row>
    <row r="274" ht="24" spans="1:29">
      <c r="A274" s="284" t="s">
        <v>195</v>
      </c>
      <c r="B274" s="284" t="s">
        <v>199</v>
      </c>
      <c r="C274" s="284" t="s">
        <v>534</v>
      </c>
      <c r="D274" s="284" t="s">
        <v>535</v>
      </c>
      <c r="E274" s="348">
        <f t="shared" si="90"/>
        <v>37.61</v>
      </c>
      <c r="F274" s="348">
        <v>13.8</v>
      </c>
      <c r="G274" s="348">
        <v>6.9</v>
      </c>
      <c r="H274" s="348">
        <v>5.17</v>
      </c>
      <c r="I274" s="348">
        <v>0.34</v>
      </c>
      <c r="J274" s="348">
        <v>0.52</v>
      </c>
      <c r="K274" s="348">
        <v>10.35</v>
      </c>
      <c r="L274" s="348">
        <v>0.53</v>
      </c>
      <c r="M274" s="348">
        <f t="shared" si="91"/>
        <v>4.7429</v>
      </c>
      <c r="N274" s="348">
        <f>(SUM('工资福利（公务员、参公人员）'!R274:T274)+SUM('工资福利（事业）'!V274:X274,'工资福利（事业）'!AB274))*0.16</f>
        <v>1.7648</v>
      </c>
      <c r="O274" s="348">
        <f>(SUM('工资福利（公务员、参公人员）'!R274:S274)+SUM('工资福利（事业）'!V274:X274,'工资福利（事业）'!AB274))*0.08</f>
        <v>0.8824</v>
      </c>
      <c r="P274" s="348">
        <f>(SUM('工资福利（公务员、参公人员）'!R274:S274)+SUM('工资福利（事业）'!V274:X274,'工资福利（事业）'!AB274))*0.06</f>
        <v>0.6618</v>
      </c>
      <c r="Q274" s="348">
        <f>(SUM('工资福利（公务员、参公人员）'!R274:S274)+SUM('工资福利（事业）'!V274:X274,'工资福利（事业）'!AB274))*0.004</f>
        <v>0.04412</v>
      </c>
      <c r="R274" s="348">
        <f>(SUM('工资福利（公务员、参公人员）'!R274:S274)+SUM('工资福利（事业）'!V274:X274,'工资福利（事业）'!AB274))*0.006</f>
        <v>0.06618</v>
      </c>
      <c r="S274" s="348">
        <f>(SUM('工资福利（公务员、参公人员）'!R274:S274)+SUM('工资福利（事业）'!V274:X274,'工资福利（事业）'!AB274))*0.12</f>
        <v>1.3236</v>
      </c>
      <c r="T274" s="348"/>
      <c r="U274" s="348">
        <f t="shared" si="92"/>
        <v>42.3529</v>
      </c>
      <c r="V274" s="348">
        <f t="shared" si="97"/>
        <v>15.5648</v>
      </c>
      <c r="W274" s="348">
        <f t="shared" si="98"/>
        <v>7.7824</v>
      </c>
      <c r="X274" s="348">
        <f t="shared" si="99"/>
        <v>5.8318</v>
      </c>
      <c r="Y274" s="348">
        <f t="shared" si="100"/>
        <v>0.38412</v>
      </c>
      <c r="Z274" s="348">
        <f t="shared" si="101"/>
        <v>0.58618</v>
      </c>
      <c r="AA274" s="348">
        <f t="shared" si="102"/>
        <v>11.6736</v>
      </c>
      <c r="AB274" s="348">
        <f t="shared" si="103"/>
        <v>0.53</v>
      </c>
      <c r="AC274" s="350"/>
    </row>
    <row r="275" ht="36" spans="1:29">
      <c r="A275" s="284" t="s">
        <v>195</v>
      </c>
      <c r="B275" s="284" t="s">
        <v>196</v>
      </c>
      <c r="C275" s="284" t="s">
        <v>536</v>
      </c>
      <c r="D275" s="284" t="s">
        <v>537</v>
      </c>
      <c r="E275" s="348">
        <f t="shared" si="90"/>
        <v>80.59</v>
      </c>
      <c r="F275" s="348">
        <v>30.24</v>
      </c>
      <c r="G275" s="348">
        <v>15.03</v>
      </c>
      <c r="H275" s="348">
        <v>11.27</v>
      </c>
      <c r="I275" s="348">
        <v>0.38</v>
      </c>
      <c r="J275" s="348">
        <v>1.13</v>
      </c>
      <c r="K275" s="348">
        <v>22.54</v>
      </c>
      <c r="L275" s="348"/>
      <c r="M275" s="348">
        <f t="shared" si="91"/>
        <v>11.48012</v>
      </c>
      <c r="N275" s="348">
        <f>(SUM('工资福利（公务员、参公人员）'!R275:T275)+SUM('工资福利（事业）'!V275:X275,'工资福利（事业）'!AB275))*0.16</f>
        <v>4.2736</v>
      </c>
      <c r="O275" s="348">
        <f>(SUM('工资福利（公务员、参公人员）'!R275:S275)+SUM('工资福利（事业）'!V275:X275,'工资福利（事业）'!AB275))*0.08</f>
        <v>2.1512</v>
      </c>
      <c r="P275" s="348">
        <f>(SUM('工资福利（公务员、参公人员）'!R275:S275)+SUM('工资福利（事业）'!V275:X275,'工资福利（事业）'!AB275))*0.06</f>
        <v>1.6134</v>
      </c>
      <c r="Q275" s="348">
        <f>(SUM('工资福利（公务员、参公人员）'!R275:S275)+SUM('工资福利（事业）'!V275:X275,'工资福利（事业）'!AB275))*0.002</f>
        <v>0.05378</v>
      </c>
      <c r="R275" s="348">
        <f>(SUM('工资福利（公务员、参公人员）'!R275:S275)+SUM('工资福利（事业）'!V275:X275,'工资福利（事业）'!AB275))*0.006</f>
        <v>0.16134</v>
      </c>
      <c r="S275" s="348">
        <f>(SUM('工资福利（公务员、参公人员）'!R275:S275)+SUM('工资福利（事业）'!V275:X275,'工资福利（事业）'!AB275))*0.12</f>
        <v>3.2268</v>
      </c>
      <c r="T275" s="348"/>
      <c r="U275" s="348">
        <f t="shared" si="92"/>
        <v>92.07012</v>
      </c>
      <c r="V275" s="348">
        <f t="shared" si="97"/>
        <v>34.5136</v>
      </c>
      <c r="W275" s="348">
        <f t="shared" si="98"/>
        <v>17.1812</v>
      </c>
      <c r="X275" s="348">
        <f t="shared" si="99"/>
        <v>12.8834</v>
      </c>
      <c r="Y275" s="348">
        <f t="shared" si="100"/>
        <v>0.43378</v>
      </c>
      <c r="Z275" s="348">
        <f t="shared" si="101"/>
        <v>1.29134</v>
      </c>
      <c r="AA275" s="348">
        <f t="shared" si="102"/>
        <v>25.7668</v>
      </c>
      <c r="AB275" s="348">
        <f t="shared" si="103"/>
        <v>0</v>
      </c>
      <c r="AC275" s="350"/>
    </row>
    <row r="276" ht="48" spans="1:29">
      <c r="A276" s="284" t="s">
        <v>195</v>
      </c>
      <c r="B276" s="284" t="s">
        <v>199</v>
      </c>
      <c r="C276" s="284" t="s">
        <v>538</v>
      </c>
      <c r="D276" s="284" t="s">
        <v>539</v>
      </c>
      <c r="E276" s="348">
        <f t="shared" si="90"/>
        <v>4.4</v>
      </c>
      <c r="F276" s="348">
        <v>1.64</v>
      </c>
      <c r="G276" s="348">
        <v>0.82</v>
      </c>
      <c r="H276" s="348">
        <v>0.61</v>
      </c>
      <c r="I276" s="348">
        <v>0.04</v>
      </c>
      <c r="J276" s="348">
        <v>0.06</v>
      </c>
      <c r="K276" s="348">
        <v>1.23</v>
      </c>
      <c r="L276" s="348"/>
      <c r="M276" s="348">
        <f t="shared" si="91"/>
        <v>2.2684</v>
      </c>
      <c r="N276" s="348">
        <f>(SUM('工资福利（公务员、参公人员）'!R276:T276)+SUM('工资福利（事业）'!V276:X276,'工资福利（事业）'!AB276))*0.16</f>
        <v>0.848</v>
      </c>
      <c r="O276" s="348">
        <f>(SUM('工资福利（公务员、参公人员）'!R276:S276)+SUM('工资福利（事业）'!V276:X276,'工资福利（事业）'!AB276))*0.08</f>
        <v>0.424</v>
      </c>
      <c r="P276" s="348">
        <f>(SUM('工资福利（公务员、参公人员）'!R276:S276)+SUM('工资福利（事业）'!V276:X276,'工资福利（事业）'!AB276))*0.06</f>
        <v>0.318</v>
      </c>
      <c r="Q276" s="348">
        <f>(SUM('工资福利（公务员、参公人员）'!R276:S276)+SUM('工资福利（事业）'!V276:X276,'工资福利（事业）'!AB276))*0.002</f>
        <v>0.0106</v>
      </c>
      <c r="R276" s="348">
        <f>(SUM('工资福利（公务员、参公人员）'!R276:S276)+SUM('工资福利（事业）'!V276:X276,'工资福利（事业）'!AB276))*0.006</f>
        <v>0.0318</v>
      </c>
      <c r="S276" s="348">
        <f>(SUM('工资福利（公务员、参公人员）'!R276:S276)+SUM('工资福利（事业）'!V276:X276,'工资福利（事业）'!AB276))*0.12</f>
        <v>0.636</v>
      </c>
      <c r="T276" s="348"/>
      <c r="U276" s="348">
        <f t="shared" si="92"/>
        <v>6.6684</v>
      </c>
      <c r="V276" s="348">
        <f t="shared" si="97"/>
        <v>2.488</v>
      </c>
      <c r="W276" s="348">
        <f t="shared" si="98"/>
        <v>1.244</v>
      </c>
      <c r="X276" s="348">
        <f t="shared" si="99"/>
        <v>0.928</v>
      </c>
      <c r="Y276" s="348">
        <f t="shared" si="100"/>
        <v>0.0506</v>
      </c>
      <c r="Z276" s="348">
        <f t="shared" si="101"/>
        <v>0.0918</v>
      </c>
      <c r="AA276" s="348">
        <f t="shared" si="102"/>
        <v>1.866</v>
      </c>
      <c r="AB276" s="348">
        <f t="shared" si="103"/>
        <v>0</v>
      </c>
      <c r="AC276" s="350"/>
    </row>
    <row r="277" s="311" customFormat="1" ht="21" customHeight="1" spans="1:29">
      <c r="A277" s="328"/>
      <c r="B277" s="329" t="s">
        <v>749</v>
      </c>
      <c r="C277" s="329" t="s">
        <v>137</v>
      </c>
      <c r="D277" s="329">
        <v>208</v>
      </c>
      <c r="E277" s="358">
        <f t="shared" ref="E277:L277" si="104">SUM(E278:E298)</f>
        <v>2446.6</v>
      </c>
      <c r="F277" s="358">
        <f t="shared" si="104"/>
        <v>117.74</v>
      </c>
      <c r="G277" s="358">
        <f t="shared" si="104"/>
        <v>57.56</v>
      </c>
      <c r="H277" s="358">
        <f t="shared" si="104"/>
        <v>43.16</v>
      </c>
      <c r="I277" s="358">
        <f t="shared" si="104"/>
        <v>1.47</v>
      </c>
      <c r="J277" s="358">
        <f t="shared" si="104"/>
        <v>4.33</v>
      </c>
      <c r="K277" s="358">
        <f t="shared" si="104"/>
        <v>86.34</v>
      </c>
      <c r="L277" s="358">
        <f t="shared" si="104"/>
        <v>2136</v>
      </c>
      <c r="M277" s="358">
        <f t="shared" ref="M277:AB277" si="105">SUM(M278:M298)</f>
        <v>15.7788084</v>
      </c>
      <c r="N277" s="358">
        <f t="shared" si="105"/>
        <v>5.991904</v>
      </c>
      <c r="O277" s="358">
        <f t="shared" si="105"/>
        <v>2.921464</v>
      </c>
      <c r="P277" s="358">
        <f t="shared" si="105"/>
        <v>2.191098</v>
      </c>
      <c r="Q277" s="358">
        <f t="shared" si="105"/>
        <v>0.0730366</v>
      </c>
      <c r="R277" s="358">
        <f t="shared" si="105"/>
        <v>0.2191098</v>
      </c>
      <c r="S277" s="358">
        <f t="shared" si="105"/>
        <v>4.382196</v>
      </c>
      <c r="T277" s="358">
        <f t="shared" si="105"/>
        <v>0</v>
      </c>
      <c r="U277" s="358">
        <f t="shared" si="105"/>
        <v>2462.3788084</v>
      </c>
      <c r="V277" s="358">
        <f t="shared" si="105"/>
        <v>123.731904</v>
      </c>
      <c r="W277" s="358">
        <f t="shared" si="105"/>
        <v>60.481464</v>
      </c>
      <c r="X277" s="358">
        <f t="shared" si="105"/>
        <v>45.351098</v>
      </c>
      <c r="Y277" s="358">
        <f t="shared" si="105"/>
        <v>1.5430366</v>
      </c>
      <c r="Z277" s="358">
        <f t="shared" si="105"/>
        <v>4.5491098</v>
      </c>
      <c r="AA277" s="358">
        <f t="shared" si="105"/>
        <v>90.722196</v>
      </c>
      <c r="AB277" s="358">
        <f t="shared" si="105"/>
        <v>2136</v>
      </c>
      <c r="AC277" s="362"/>
    </row>
    <row r="278" ht="24" spans="1:29">
      <c r="A278" s="284" t="s">
        <v>540</v>
      </c>
      <c r="B278" s="284" t="s">
        <v>196</v>
      </c>
      <c r="C278" s="284" t="s">
        <v>541</v>
      </c>
      <c r="D278" s="284" t="s">
        <v>542</v>
      </c>
      <c r="E278" s="348">
        <f t="shared" ref="E278:E298" si="106">SUM(F278:L278)</f>
        <v>36.93</v>
      </c>
      <c r="F278" s="348">
        <v>14.24</v>
      </c>
      <c r="G278" s="348">
        <v>6.77</v>
      </c>
      <c r="H278" s="348">
        <v>5.08</v>
      </c>
      <c r="I278" s="348">
        <v>0.17</v>
      </c>
      <c r="J278" s="348">
        <v>0.51</v>
      </c>
      <c r="K278" s="348">
        <v>10.16</v>
      </c>
      <c r="L278" s="348"/>
      <c r="M278" s="348">
        <f t="shared" ref="M278:M298" si="107">SUM(N278:T278)</f>
        <v>-4.6114452</v>
      </c>
      <c r="N278" s="348">
        <f>(SUM('工资福利（公务员、参公人员）'!R278:T278)+SUM('工资福利（事业）'!V278:X278,'工资福利（事业）'!AB278))*0.16</f>
        <v>-1.687056</v>
      </c>
      <c r="O278" s="348">
        <f>(SUM('工资福利（公务员、参公人员）'!R278:S278)+SUM('工资福利（事业）'!V278:X278,'工资福利（事业）'!AB278))*0.08</f>
        <v>-0.872952</v>
      </c>
      <c r="P278" s="348">
        <f>(SUM('工资福利（公务员、参公人员）'!R278:S278)+SUM('工资福利（事业）'!V278:X278,'工资福利（事业）'!AB278))*0.06</f>
        <v>-0.654714</v>
      </c>
      <c r="Q278" s="348">
        <f>(SUM('工资福利（公务员、参公人员）'!R278:S278)+SUM('工资福利（事业）'!V278:X278,'工资福利（事业）'!AB278))*0.002</f>
        <v>-0.0218238</v>
      </c>
      <c r="R278" s="348">
        <f>(SUM('工资福利（公务员、参公人员）'!R278:S278)+SUM('工资福利（事业）'!V278:X278,'工资福利（事业）'!AB278))*0.006</f>
        <v>-0.0654714</v>
      </c>
      <c r="S278" s="348">
        <f>(SUM('工资福利（公务员、参公人员）'!R278:S278)+SUM('工资福利（事业）'!V278:X278,'工资福利（事业）'!AB278))*0.12</f>
        <v>-1.309428</v>
      </c>
      <c r="T278" s="348"/>
      <c r="U278" s="348">
        <f t="shared" ref="U278:U298" si="108">SUM(V278:AB278)</f>
        <v>32.3185548</v>
      </c>
      <c r="V278" s="348">
        <f t="shared" ref="V278:V298" si="109">F278+N278</f>
        <v>12.552944</v>
      </c>
      <c r="W278" s="348">
        <f t="shared" ref="W278:W298" si="110">G278+O278</f>
        <v>5.897048</v>
      </c>
      <c r="X278" s="348">
        <f t="shared" ref="X278:X298" si="111">H278+P278</f>
        <v>4.425286</v>
      </c>
      <c r="Y278" s="348">
        <f t="shared" ref="Y278:Y298" si="112">I278+Q278</f>
        <v>0.1481762</v>
      </c>
      <c r="Z278" s="348">
        <f t="shared" ref="Z278:Z298" si="113">J278+R278</f>
        <v>0.4445286</v>
      </c>
      <c r="AA278" s="348">
        <f t="shared" ref="AA278:AA298" si="114">K278+S278</f>
        <v>8.850572</v>
      </c>
      <c r="AB278" s="348">
        <f t="shared" ref="AB278:AB298" si="115">L278+T278</f>
        <v>0</v>
      </c>
      <c r="AC278" s="350"/>
    </row>
    <row r="279" ht="24" spans="1:29">
      <c r="A279" s="284" t="s">
        <v>540</v>
      </c>
      <c r="B279" s="284" t="s">
        <v>196</v>
      </c>
      <c r="C279" s="284" t="s">
        <v>543</v>
      </c>
      <c r="D279" s="284" t="s">
        <v>542</v>
      </c>
      <c r="E279" s="348">
        <f t="shared" si="106"/>
        <v>29.24</v>
      </c>
      <c r="F279" s="348">
        <v>11.26</v>
      </c>
      <c r="G279" s="348">
        <v>5.37</v>
      </c>
      <c r="H279" s="348">
        <v>4.03</v>
      </c>
      <c r="I279" s="348">
        <v>0.13</v>
      </c>
      <c r="J279" s="348">
        <v>0.4</v>
      </c>
      <c r="K279" s="348">
        <v>8.05</v>
      </c>
      <c r="L279" s="348"/>
      <c r="M279" s="348">
        <f t="shared" si="107"/>
        <v>0.988092</v>
      </c>
      <c r="N279" s="348">
        <f>(SUM('工资福利（公务员、参公人员）'!R279:T279)+SUM('工资福利（事业）'!V279:X279,'工资福利（事业）'!AB279))*0.16</f>
        <v>0.395008</v>
      </c>
      <c r="O279" s="348">
        <f>(SUM('工资福利（公务员、参公人员）'!R279:S279)+SUM('工资福利（事业）'!V279:X279,'工资福利（事业）'!AB279))*0.08</f>
        <v>0.17704</v>
      </c>
      <c r="P279" s="348">
        <f>(SUM('工资福利（公务员、参公人员）'!R279:S279)+SUM('工资福利（事业）'!V279:X279,'工资福利（事业）'!AB279))*0.06</f>
        <v>0.13278</v>
      </c>
      <c r="Q279" s="348">
        <f>(SUM('工资福利（公务员、参公人员）'!R279:S279)+SUM('工资福利（事业）'!V279:X279,'工资福利（事业）'!AB279))*0.002</f>
        <v>0.004426</v>
      </c>
      <c r="R279" s="348">
        <f>(SUM('工资福利（公务员、参公人员）'!R279:S279)+SUM('工资福利（事业）'!V279:X279,'工资福利（事业）'!AB279))*0.006</f>
        <v>0.013278</v>
      </c>
      <c r="S279" s="348">
        <f>(SUM('工资福利（公务员、参公人员）'!R279:S279)+SUM('工资福利（事业）'!V279:X279,'工资福利（事业）'!AB279))*0.12</f>
        <v>0.26556</v>
      </c>
      <c r="T279" s="348"/>
      <c r="U279" s="348">
        <f t="shared" si="108"/>
        <v>30.228092</v>
      </c>
      <c r="V279" s="348">
        <f t="shared" si="109"/>
        <v>11.655008</v>
      </c>
      <c r="W279" s="348">
        <f t="shared" si="110"/>
        <v>5.54704</v>
      </c>
      <c r="X279" s="348">
        <f t="shared" si="111"/>
        <v>4.16278</v>
      </c>
      <c r="Y279" s="348">
        <f t="shared" si="112"/>
        <v>0.134426</v>
      </c>
      <c r="Z279" s="348">
        <f t="shared" si="113"/>
        <v>0.413278</v>
      </c>
      <c r="AA279" s="348">
        <f t="shared" si="114"/>
        <v>8.31556</v>
      </c>
      <c r="AB279" s="348">
        <f t="shared" si="115"/>
        <v>0</v>
      </c>
      <c r="AC279" s="350"/>
    </row>
    <row r="280" ht="36" spans="1:29">
      <c r="A280" s="284" t="s">
        <v>540</v>
      </c>
      <c r="B280" s="284" t="s">
        <v>199</v>
      </c>
      <c r="C280" s="284" t="s">
        <v>544</v>
      </c>
      <c r="D280" s="284" t="s">
        <v>545</v>
      </c>
      <c r="E280" s="348">
        <f t="shared" si="106"/>
        <v>28.9</v>
      </c>
      <c r="F280" s="348">
        <v>10.8</v>
      </c>
      <c r="G280" s="348">
        <v>5.4</v>
      </c>
      <c r="H280" s="348">
        <v>4.05</v>
      </c>
      <c r="I280" s="348">
        <v>0.14</v>
      </c>
      <c r="J280" s="348">
        <v>0.41</v>
      </c>
      <c r="K280" s="348">
        <v>8.1</v>
      </c>
      <c r="L280" s="348"/>
      <c r="M280" s="348">
        <f t="shared" si="107"/>
        <v>0.91782032</v>
      </c>
      <c r="N280" s="348">
        <f>(SUM('工资福利（公务员、参公人员）'!R280:T280)+SUM('工资福利（事业）'!V280:X280,'工资福利（事业）'!AB280))*0.16</f>
        <v>0.3431104</v>
      </c>
      <c r="O280" s="348">
        <f>(SUM('工资福利（公务员、参公人员）'!R280:S280)+SUM('工资福利（事业）'!V280:X280,'工资福利（事业）'!AB280))*0.08</f>
        <v>0.1715552</v>
      </c>
      <c r="P280" s="348">
        <f>(SUM('工资福利（公务员、参公人员）'!R280:S280)+SUM('工资福利（事业）'!V280:X280,'工资福利（事业）'!AB280))*0.06</f>
        <v>0.1286664</v>
      </c>
      <c r="Q280" s="348">
        <f>(SUM('工资福利（公务员、参公人员）'!R280:S280)+SUM('工资福利（事业）'!V280:X280,'工资福利（事业）'!AB280))*0.002</f>
        <v>0.00428888</v>
      </c>
      <c r="R280" s="348">
        <f>(SUM('工资福利（公务员、参公人员）'!R280:S280)+SUM('工资福利（事业）'!V280:X280,'工资福利（事业）'!AB280))*0.006</f>
        <v>0.01286664</v>
      </c>
      <c r="S280" s="348">
        <f>(SUM('工资福利（公务员、参公人员）'!R280:S280)+SUM('工资福利（事业）'!V280:X280,'工资福利（事业）'!AB280))*0.12</f>
        <v>0.2573328</v>
      </c>
      <c r="T280" s="348"/>
      <c r="U280" s="348">
        <f t="shared" si="108"/>
        <v>29.81782032</v>
      </c>
      <c r="V280" s="348">
        <f t="shared" si="109"/>
        <v>11.1431104</v>
      </c>
      <c r="W280" s="348">
        <f t="shared" si="110"/>
        <v>5.5715552</v>
      </c>
      <c r="X280" s="348">
        <f t="shared" si="111"/>
        <v>4.1786664</v>
      </c>
      <c r="Y280" s="348">
        <f t="shared" si="112"/>
        <v>0.14428888</v>
      </c>
      <c r="Z280" s="348">
        <f t="shared" si="113"/>
        <v>0.42286664</v>
      </c>
      <c r="AA280" s="348">
        <f t="shared" si="114"/>
        <v>8.3573328</v>
      </c>
      <c r="AB280" s="348">
        <f t="shared" si="115"/>
        <v>0</v>
      </c>
      <c r="AC280" s="350"/>
    </row>
    <row r="281" ht="36" spans="1:29">
      <c r="A281" s="284" t="s">
        <v>540</v>
      </c>
      <c r="B281" s="284" t="s">
        <v>199</v>
      </c>
      <c r="C281" s="284" t="s">
        <v>546</v>
      </c>
      <c r="D281" s="284" t="s">
        <v>547</v>
      </c>
      <c r="E281" s="348">
        <f t="shared" si="106"/>
        <v>17.26</v>
      </c>
      <c r="F281" s="348">
        <v>6.45</v>
      </c>
      <c r="G281" s="348">
        <v>3.23</v>
      </c>
      <c r="H281" s="348">
        <v>2.42</v>
      </c>
      <c r="I281" s="348">
        <v>0.08</v>
      </c>
      <c r="J281" s="348">
        <v>0.24</v>
      </c>
      <c r="K281" s="348">
        <v>4.84</v>
      </c>
      <c r="L281" s="348"/>
      <c r="M281" s="348">
        <f t="shared" si="107"/>
        <v>4.92644264</v>
      </c>
      <c r="N281" s="348">
        <f>(SUM('工资福利（公务员、参公人员）'!R281:T281)+SUM('工资福利（事业）'!V281:X281,'工资福利（事业）'!AB281))*0.16</f>
        <v>1.8416608</v>
      </c>
      <c r="O281" s="348">
        <f>(SUM('工资福利（公务员、参公人员）'!R281:S281)+SUM('工资福利（事业）'!V281:X281,'工资福利（事业）'!AB281))*0.08</f>
        <v>0.9208304</v>
      </c>
      <c r="P281" s="348">
        <f>(SUM('工资福利（公务员、参公人员）'!R281:S281)+SUM('工资福利（事业）'!V281:X281,'工资福利（事业）'!AB281))*0.06</f>
        <v>0.6906228</v>
      </c>
      <c r="Q281" s="348">
        <f>(SUM('工资福利（公务员、参公人员）'!R281:S281)+SUM('工资福利（事业）'!V281:X281,'工资福利（事业）'!AB281))*0.002</f>
        <v>0.02302076</v>
      </c>
      <c r="R281" s="348">
        <f>(SUM('工资福利（公务员、参公人员）'!R281:S281)+SUM('工资福利（事业）'!V281:X281,'工资福利（事业）'!AB281))*0.006</f>
        <v>0.06906228</v>
      </c>
      <c r="S281" s="348">
        <f>(SUM('工资福利（公务员、参公人员）'!R281:S281)+SUM('工资福利（事业）'!V281:X281,'工资福利（事业）'!AB281))*0.12</f>
        <v>1.3812456</v>
      </c>
      <c r="T281" s="348"/>
      <c r="U281" s="348">
        <f t="shared" si="108"/>
        <v>22.18644264</v>
      </c>
      <c r="V281" s="348">
        <f t="shared" si="109"/>
        <v>8.2916608</v>
      </c>
      <c r="W281" s="348">
        <f t="shared" si="110"/>
        <v>4.1508304</v>
      </c>
      <c r="X281" s="348">
        <f t="shared" si="111"/>
        <v>3.1106228</v>
      </c>
      <c r="Y281" s="348">
        <f t="shared" si="112"/>
        <v>0.10302076</v>
      </c>
      <c r="Z281" s="348">
        <f t="shared" si="113"/>
        <v>0.30906228</v>
      </c>
      <c r="AA281" s="348">
        <f t="shared" si="114"/>
        <v>6.2212456</v>
      </c>
      <c r="AB281" s="348">
        <f t="shared" si="115"/>
        <v>0</v>
      </c>
      <c r="AC281" s="350"/>
    </row>
    <row r="282" ht="36" spans="1:29">
      <c r="A282" s="284" t="s">
        <v>540</v>
      </c>
      <c r="B282" s="284" t="s">
        <v>199</v>
      </c>
      <c r="C282" s="284" t="s">
        <v>548</v>
      </c>
      <c r="D282" s="284" t="s">
        <v>549</v>
      </c>
      <c r="E282" s="348">
        <f t="shared" si="106"/>
        <v>2151.67</v>
      </c>
      <c r="F282" s="348">
        <v>5.86</v>
      </c>
      <c r="G282" s="348">
        <v>2.93</v>
      </c>
      <c r="H282" s="348">
        <v>2.2</v>
      </c>
      <c r="I282" s="348">
        <v>0.07</v>
      </c>
      <c r="J282" s="348">
        <v>0.22</v>
      </c>
      <c r="K282" s="348">
        <v>4.39</v>
      </c>
      <c r="L282" s="348">
        <v>2136</v>
      </c>
      <c r="M282" s="348">
        <f t="shared" si="107"/>
        <v>1.3876188</v>
      </c>
      <c r="N282" s="348">
        <f>(SUM('工资福利（公务员、参公人员）'!R282:T282)+SUM('工资福利（事业）'!V282:X282,'工资福利（事业）'!AB282))*0.16</f>
        <v>0.518736</v>
      </c>
      <c r="O282" s="348">
        <f>(SUM('工资福利（公务员、参公人员）'!R282:S282)+SUM('工资福利（事业）'!V282:X282,'工资福利（事业）'!AB282))*0.08</f>
        <v>0.259368</v>
      </c>
      <c r="P282" s="348">
        <f>(SUM('工资福利（公务员、参公人员）'!R282:S282)+SUM('工资福利（事业）'!V282:X282,'工资福利（事业）'!AB282))*0.06</f>
        <v>0.194526</v>
      </c>
      <c r="Q282" s="348">
        <f>(SUM('工资福利（公务员、参公人员）'!R282:S282)+SUM('工资福利（事业）'!V282:X282,'工资福利（事业）'!AB282))*0.002</f>
        <v>0.0064842</v>
      </c>
      <c r="R282" s="348">
        <f>(SUM('工资福利（公务员、参公人员）'!R282:S282)+SUM('工资福利（事业）'!V282:X282,'工资福利（事业）'!AB282))*0.006</f>
        <v>0.0194526</v>
      </c>
      <c r="S282" s="348">
        <f>(SUM('工资福利（公务员、参公人员）'!R282:S282)+SUM('工资福利（事业）'!V282:X282,'工资福利（事业）'!AB282))*0.12</f>
        <v>0.389052</v>
      </c>
      <c r="T282" s="348"/>
      <c r="U282" s="348">
        <f t="shared" si="108"/>
        <v>2153.0576188</v>
      </c>
      <c r="V282" s="348">
        <f t="shared" si="109"/>
        <v>6.378736</v>
      </c>
      <c r="W282" s="348">
        <f t="shared" si="110"/>
        <v>3.189368</v>
      </c>
      <c r="X282" s="348">
        <f t="shared" si="111"/>
        <v>2.394526</v>
      </c>
      <c r="Y282" s="348">
        <f t="shared" si="112"/>
        <v>0.0764842</v>
      </c>
      <c r="Z282" s="348">
        <f t="shared" si="113"/>
        <v>0.2394526</v>
      </c>
      <c r="AA282" s="348">
        <f t="shared" si="114"/>
        <v>4.779052</v>
      </c>
      <c r="AB282" s="348">
        <f t="shared" si="115"/>
        <v>2136</v>
      </c>
      <c r="AC282" s="350"/>
    </row>
    <row r="283" ht="36" spans="1:29">
      <c r="A283" s="284" t="s">
        <v>540</v>
      </c>
      <c r="B283" s="284" t="s">
        <v>199</v>
      </c>
      <c r="C283" s="284" t="s">
        <v>550</v>
      </c>
      <c r="D283" s="284" t="s">
        <v>549</v>
      </c>
      <c r="E283" s="348">
        <f t="shared" si="106"/>
        <v>27.96</v>
      </c>
      <c r="F283" s="348">
        <v>10.45</v>
      </c>
      <c r="G283" s="348">
        <v>5.23</v>
      </c>
      <c r="H283" s="348">
        <v>3.92</v>
      </c>
      <c r="I283" s="348">
        <v>0.13</v>
      </c>
      <c r="J283" s="348">
        <v>0.39</v>
      </c>
      <c r="K283" s="348">
        <v>7.84</v>
      </c>
      <c r="L283" s="348"/>
      <c r="M283" s="348">
        <f t="shared" si="107"/>
        <v>2.38667352</v>
      </c>
      <c r="N283" s="348">
        <f>(SUM('工资福利（公务员、参公人员）'!R283:T283)+SUM('工资福利（事业）'!V283:X283,'工资福利（事业）'!AB283))*0.16</f>
        <v>0.8922144</v>
      </c>
      <c r="O283" s="348">
        <f>(SUM('工资福利（公务员、参公人员）'!R283:S283)+SUM('工资福利（事业）'!V283:X283,'工资福利（事业）'!AB283))*0.08</f>
        <v>0.4461072</v>
      </c>
      <c r="P283" s="348">
        <f>(SUM('工资福利（公务员、参公人员）'!R283:S283)+SUM('工资福利（事业）'!V283:X283,'工资福利（事业）'!AB283))*0.06</f>
        <v>0.3345804</v>
      </c>
      <c r="Q283" s="348">
        <f>(SUM('工资福利（公务员、参公人员）'!R283:S283)+SUM('工资福利（事业）'!V283:X283,'工资福利（事业）'!AB283))*0.002</f>
        <v>0.01115268</v>
      </c>
      <c r="R283" s="348">
        <f>(SUM('工资福利（公务员、参公人员）'!R283:S283)+SUM('工资福利（事业）'!V283:X283,'工资福利（事业）'!AB283))*0.006</f>
        <v>0.03345804</v>
      </c>
      <c r="S283" s="348">
        <f>(SUM('工资福利（公务员、参公人员）'!R283:S283)+SUM('工资福利（事业）'!V283:X283,'工资福利（事业）'!AB283))*0.12</f>
        <v>0.6691608</v>
      </c>
      <c r="T283" s="348"/>
      <c r="U283" s="348">
        <f t="shared" si="108"/>
        <v>30.34667352</v>
      </c>
      <c r="V283" s="348">
        <f t="shared" si="109"/>
        <v>11.3422144</v>
      </c>
      <c r="W283" s="348">
        <f t="shared" si="110"/>
        <v>5.6761072</v>
      </c>
      <c r="X283" s="348">
        <f t="shared" si="111"/>
        <v>4.2545804</v>
      </c>
      <c r="Y283" s="348">
        <f t="shared" si="112"/>
        <v>0.14115268</v>
      </c>
      <c r="Z283" s="348">
        <f t="shared" si="113"/>
        <v>0.42345804</v>
      </c>
      <c r="AA283" s="348">
        <f t="shared" si="114"/>
        <v>8.5091608</v>
      </c>
      <c r="AB283" s="348">
        <f t="shared" si="115"/>
        <v>0</v>
      </c>
      <c r="AC283" s="350"/>
    </row>
    <row r="284" ht="36" spans="1:29">
      <c r="A284" s="284" t="s">
        <v>540</v>
      </c>
      <c r="B284" s="284" t="s">
        <v>199</v>
      </c>
      <c r="C284" s="284" t="s">
        <v>551</v>
      </c>
      <c r="D284" s="284" t="s">
        <v>552</v>
      </c>
      <c r="E284" s="348">
        <f t="shared" si="106"/>
        <v>3.71</v>
      </c>
      <c r="F284" s="348">
        <v>1.39</v>
      </c>
      <c r="G284" s="348">
        <v>0.69</v>
      </c>
      <c r="H284" s="348">
        <v>0.52</v>
      </c>
      <c r="I284" s="348">
        <v>0.02</v>
      </c>
      <c r="J284" s="348">
        <v>0.05</v>
      </c>
      <c r="K284" s="348">
        <v>1.04</v>
      </c>
      <c r="L284" s="348"/>
      <c r="M284" s="348">
        <f t="shared" si="107"/>
        <v>0.59420952</v>
      </c>
      <c r="N284" s="348">
        <f>(SUM('工资福利（公务员、参公人员）'!R284:T284)+SUM('工资福利（事业）'!V284:X284,'工资福利（事业）'!AB284))*0.16</f>
        <v>0.2221344</v>
      </c>
      <c r="O284" s="348">
        <f>(SUM('工资福利（公务员、参公人员）'!R284:S284)+SUM('工资福利（事业）'!V284:X284,'工资福利（事业）'!AB284))*0.08</f>
        <v>0.1110672</v>
      </c>
      <c r="P284" s="348">
        <f>(SUM('工资福利（公务员、参公人员）'!R284:S284)+SUM('工资福利（事业）'!V284:X284,'工资福利（事业）'!AB284))*0.06</f>
        <v>0.0833004</v>
      </c>
      <c r="Q284" s="348">
        <f>(SUM('工资福利（公务员、参公人员）'!R284:S284)+SUM('工资福利（事业）'!V284:X284,'工资福利（事业）'!AB284))*0.002</f>
        <v>0.00277668</v>
      </c>
      <c r="R284" s="348">
        <f>(SUM('工资福利（公务员、参公人员）'!R284:S284)+SUM('工资福利（事业）'!V284:X284,'工资福利（事业）'!AB284))*0.006</f>
        <v>0.00833004</v>
      </c>
      <c r="S284" s="348">
        <f>(SUM('工资福利（公务员、参公人员）'!R284:S284)+SUM('工资福利（事业）'!V284:X284,'工资福利（事业）'!AB284))*0.12</f>
        <v>0.1666008</v>
      </c>
      <c r="T284" s="348"/>
      <c r="U284" s="348">
        <f t="shared" si="108"/>
        <v>4.30420952</v>
      </c>
      <c r="V284" s="348">
        <f t="shared" si="109"/>
        <v>1.6121344</v>
      </c>
      <c r="W284" s="348">
        <f t="shared" si="110"/>
        <v>0.8010672</v>
      </c>
      <c r="X284" s="348">
        <f t="shared" si="111"/>
        <v>0.6033004</v>
      </c>
      <c r="Y284" s="348">
        <f t="shared" si="112"/>
        <v>0.02277668</v>
      </c>
      <c r="Z284" s="348">
        <f t="shared" si="113"/>
        <v>0.05833004</v>
      </c>
      <c r="AA284" s="348">
        <f t="shared" si="114"/>
        <v>1.2066008</v>
      </c>
      <c r="AB284" s="348">
        <f t="shared" si="115"/>
        <v>0</v>
      </c>
      <c r="AC284" s="350"/>
    </row>
    <row r="285" ht="24" spans="1:29">
      <c r="A285" s="284" t="s">
        <v>540</v>
      </c>
      <c r="B285" s="284" t="s">
        <v>196</v>
      </c>
      <c r="C285" s="284" t="s">
        <v>553</v>
      </c>
      <c r="D285" s="284" t="s">
        <v>554</v>
      </c>
      <c r="E285" s="348">
        <f t="shared" si="106"/>
        <v>30.35</v>
      </c>
      <c r="F285" s="348">
        <v>11.75</v>
      </c>
      <c r="G285" s="348">
        <v>5.55</v>
      </c>
      <c r="H285" s="348">
        <v>4.16</v>
      </c>
      <c r="I285" s="348">
        <v>0.14</v>
      </c>
      <c r="J285" s="348">
        <v>0.42</v>
      </c>
      <c r="K285" s="348">
        <v>8.33</v>
      </c>
      <c r="L285" s="348"/>
      <c r="M285" s="348">
        <f t="shared" si="107"/>
        <v>-0.1571904</v>
      </c>
      <c r="N285" s="348">
        <f>(SUM('工资福利（公务员、参公人员）'!R285:T285)+SUM('工资福利（事业）'!V285:X285,'工资福利（事业）'!AB285))*0.16</f>
        <v>-0.072288</v>
      </c>
      <c r="O285" s="348">
        <f>(SUM('工资福利（公务员、参公人员）'!R285:S285)+SUM('工资福利（事业）'!V285:X285,'工资福利（事业）'!AB285))*0.08</f>
        <v>-0.025344</v>
      </c>
      <c r="P285" s="348">
        <f>(SUM('工资福利（公务员、参公人员）'!R285:S285)+SUM('工资福利（事业）'!V285:X285,'工资福利（事业）'!AB285))*0.06</f>
        <v>-0.019008</v>
      </c>
      <c r="Q285" s="348">
        <f>(SUM('工资福利（公务员、参公人员）'!R285:S285)+SUM('工资福利（事业）'!V285:X285,'工资福利（事业）'!AB285))*0.002</f>
        <v>-0.0006336</v>
      </c>
      <c r="R285" s="348">
        <f>(SUM('工资福利（公务员、参公人员）'!R285:S285)+SUM('工资福利（事业）'!V285:X285,'工资福利（事业）'!AB285))*0.006</f>
        <v>-0.0019008</v>
      </c>
      <c r="S285" s="348">
        <f>(SUM('工资福利（公务员、参公人员）'!R285:S285)+SUM('工资福利（事业）'!V285:X285,'工资福利（事业）'!AB285))*0.12</f>
        <v>-0.038016</v>
      </c>
      <c r="T285" s="348"/>
      <c r="U285" s="348">
        <f t="shared" si="108"/>
        <v>30.1928096</v>
      </c>
      <c r="V285" s="348">
        <f t="shared" si="109"/>
        <v>11.677712</v>
      </c>
      <c r="W285" s="348">
        <f t="shared" si="110"/>
        <v>5.524656</v>
      </c>
      <c r="X285" s="348">
        <f t="shared" si="111"/>
        <v>4.140992</v>
      </c>
      <c r="Y285" s="348">
        <f t="shared" si="112"/>
        <v>0.1393664</v>
      </c>
      <c r="Z285" s="348">
        <f t="shared" si="113"/>
        <v>0.4180992</v>
      </c>
      <c r="AA285" s="348">
        <f t="shared" si="114"/>
        <v>8.291984</v>
      </c>
      <c r="AB285" s="348">
        <f t="shared" si="115"/>
        <v>0</v>
      </c>
      <c r="AC285" s="350"/>
    </row>
    <row r="286" ht="36" spans="1:29">
      <c r="A286" s="284" t="s">
        <v>540</v>
      </c>
      <c r="B286" s="284" t="s">
        <v>199</v>
      </c>
      <c r="C286" s="284" t="s">
        <v>555</v>
      </c>
      <c r="D286" s="284" t="s">
        <v>556</v>
      </c>
      <c r="E286" s="348">
        <f t="shared" si="106"/>
        <v>8.18</v>
      </c>
      <c r="F286" s="348">
        <v>3.06</v>
      </c>
      <c r="G286" s="348">
        <v>1.53</v>
      </c>
      <c r="H286" s="348">
        <v>1.15</v>
      </c>
      <c r="I286" s="348">
        <v>0.04</v>
      </c>
      <c r="J286" s="348">
        <v>0.11</v>
      </c>
      <c r="K286" s="348">
        <v>2.29</v>
      </c>
      <c r="L286" s="348"/>
      <c r="M286" s="348">
        <f t="shared" si="107"/>
        <v>0.6538128</v>
      </c>
      <c r="N286" s="348">
        <f>(SUM('工资福利（公务员、参公人员）'!R286:T286)+SUM('工资福利（事业）'!V286:X286,'工资福利（事业）'!AB286))*0.16</f>
        <v>0.244416</v>
      </c>
      <c r="O286" s="348">
        <f>(SUM('工资福利（公务员、参公人员）'!R286:S286)+SUM('工资福利（事业）'!V286:X286,'工资福利（事业）'!AB286))*0.08</f>
        <v>0.122208</v>
      </c>
      <c r="P286" s="348">
        <f>(SUM('工资福利（公务员、参公人员）'!R286:S286)+SUM('工资福利（事业）'!V286:X286,'工资福利（事业）'!AB286))*0.06</f>
        <v>0.091656</v>
      </c>
      <c r="Q286" s="348">
        <f>(SUM('工资福利（公务员、参公人员）'!R286:S286)+SUM('工资福利（事业）'!V286:X286,'工资福利（事业）'!AB286))*0.002</f>
        <v>0.0030552</v>
      </c>
      <c r="R286" s="348">
        <f>(SUM('工资福利（公务员、参公人员）'!R286:S286)+SUM('工资福利（事业）'!V286:X286,'工资福利（事业）'!AB286))*0.006</f>
        <v>0.0091656</v>
      </c>
      <c r="S286" s="348">
        <f>(SUM('工资福利（公务员、参公人员）'!R286:S286)+SUM('工资福利（事业）'!V286:X286,'工资福利（事业）'!AB286))*0.12</f>
        <v>0.183312</v>
      </c>
      <c r="T286" s="348"/>
      <c r="U286" s="348">
        <f t="shared" si="108"/>
        <v>8.8338128</v>
      </c>
      <c r="V286" s="348">
        <f t="shared" si="109"/>
        <v>3.304416</v>
      </c>
      <c r="W286" s="348">
        <f t="shared" si="110"/>
        <v>1.652208</v>
      </c>
      <c r="X286" s="348">
        <f t="shared" si="111"/>
        <v>1.241656</v>
      </c>
      <c r="Y286" s="348">
        <f t="shared" si="112"/>
        <v>0.0430552</v>
      </c>
      <c r="Z286" s="348">
        <f t="shared" si="113"/>
        <v>0.1191656</v>
      </c>
      <c r="AA286" s="348">
        <f t="shared" si="114"/>
        <v>2.473312</v>
      </c>
      <c r="AB286" s="348">
        <f t="shared" si="115"/>
        <v>0</v>
      </c>
      <c r="AC286" s="350"/>
    </row>
    <row r="287" ht="36" spans="1:29">
      <c r="A287" s="284" t="s">
        <v>540</v>
      </c>
      <c r="B287" s="284" t="s">
        <v>199</v>
      </c>
      <c r="C287" s="284" t="s">
        <v>557</v>
      </c>
      <c r="D287" s="284" t="s">
        <v>556</v>
      </c>
      <c r="E287" s="348">
        <f t="shared" si="106"/>
        <v>4.88</v>
      </c>
      <c r="F287" s="348">
        <v>1.83</v>
      </c>
      <c r="G287" s="348">
        <v>0.91</v>
      </c>
      <c r="H287" s="348">
        <v>0.68</v>
      </c>
      <c r="I287" s="348">
        <v>0.02</v>
      </c>
      <c r="J287" s="348">
        <v>0.07</v>
      </c>
      <c r="K287" s="348">
        <v>1.37</v>
      </c>
      <c r="L287" s="348"/>
      <c r="M287" s="348">
        <f t="shared" si="107"/>
        <v>0.47068872</v>
      </c>
      <c r="N287" s="348">
        <f>(SUM('工资福利（公务员、参公人员）'!R287:T287)+SUM('工资福利（事业）'!V287:X287,'工资福利（事业）'!AB287))*0.16</f>
        <v>0.1759584</v>
      </c>
      <c r="O287" s="348">
        <f>(SUM('工资福利（公务员、参公人员）'!R287:S287)+SUM('工资福利（事业）'!V287:X287,'工资福利（事业）'!AB287))*0.08</f>
        <v>0.0879792</v>
      </c>
      <c r="P287" s="348">
        <f>(SUM('工资福利（公务员、参公人员）'!R287:S287)+SUM('工资福利（事业）'!V287:X287,'工资福利（事业）'!AB287))*0.06</f>
        <v>0.0659844</v>
      </c>
      <c r="Q287" s="348">
        <f>(SUM('工资福利（公务员、参公人员）'!R287:S287)+SUM('工资福利（事业）'!V287:X287,'工资福利（事业）'!AB287))*0.002</f>
        <v>0.00219948</v>
      </c>
      <c r="R287" s="348">
        <f>(SUM('工资福利（公务员、参公人员）'!R287:S287)+SUM('工资福利（事业）'!V287:X287,'工资福利（事业）'!AB287))*0.006</f>
        <v>0.00659844</v>
      </c>
      <c r="S287" s="348">
        <f>(SUM('工资福利（公务员、参公人员）'!R287:S287)+SUM('工资福利（事业）'!V287:X287,'工资福利（事业）'!AB287))*0.12</f>
        <v>0.1319688</v>
      </c>
      <c r="T287" s="348"/>
      <c r="U287" s="348">
        <f t="shared" si="108"/>
        <v>5.35068872</v>
      </c>
      <c r="V287" s="348">
        <f t="shared" si="109"/>
        <v>2.0059584</v>
      </c>
      <c r="W287" s="348">
        <f t="shared" si="110"/>
        <v>0.9979792</v>
      </c>
      <c r="X287" s="348">
        <f t="shared" si="111"/>
        <v>0.7459844</v>
      </c>
      <c r="Y287" s="348">
        <f t="shared" si="112"/>
        <v>0.02219948</v>
      </c>
      <c r="Z287" s="348">
        <f t="shared" si="113"/>
        <v>0.07659844</v>
      </c>
      <c r="AA287" s="348">
        <f t="shared" si="114"/>
        <v>1.5019688</v>
      </c>
      <c r="AB287" s="348">
        <f t="shared" si="115"/>
        <v>0</v>
      </c>
      <c r="AC287" s="350"/>
    </row>
    <row r="288" ht="36" spans="1:29">
      <c r="A288" s="284" t="s">
        <v>540</v>
      </c>
      <c r="B288" s="284" t="s">
        <v>199</v>
      </c>
      <c r="C288" s="284" t="s">
        <v>558</v>
      </c>
      <c r="D288" s="284" t="s">
        <v>556</v>
      </c>
      <c r="E288" s="348">
        <f t="shared" si="106"/>
        <v>14.85</v>
      </c>
      <c r="F288" s="348">
        <v>5.55</v>
      </c>
      <c r="G288" s="348">
        <v>2.78</v>
      </c>
      <c r="H288" s="348">
        <v>2.08</v>
      </c>
      <c r="I288" s="348">
        <v>0.07</v>
      </c>
      <c r="J288" s="348">
        <v>0.21</v>
      </c>
      <c r="K288" s="348">
        <v>4.16</v>
      </c>
      <c r="L288" s="348"/>
      <c r="M288" s="348">
        <f t="shared" si="107"/>
        <v>1.33949448</v>
      </c>
      <c r="N288" s="348">
        <f>(SUM('工资福利（公务员、参公人员）'!R288:T288)+SUM('工资福利（事业）'!V288:X288,'工资福利（事业）'!AB288))*0.16</f>
        <v>0.5007456</v>
      </c>
      <c r="O288" s="348">
        <f>(SUM('工资福利（公务员、参公人员）'!R288:S288)+SUM('工资福利（事业）'!V288:X288,'工资福利（事业）'!AB288))*0.08</f>
        <v>0.2503728</v>
      </c>
      <c r="P288" s="348">
        <f>(SUM('工资福利（公务员、参公人员）'!R288:S288)+SUM('工资福利（事业）'!V288:X288,'工资福利（事业）'!AB288))*0.06</f>
        <v>0.1877796</v>
      </c>
      <c r="Q288" s="348">
        <f>(SUM('工资福利（公务员、参公人员）'!R288:S288)+SUM('工资福利（事业）'!V288:X288,'工资福利（事业）'!AB288))*0.002</f>
        <v>0.00625932</v>
      </c>
      <c r="R288" s="348">
        <f>(SUM('工资福利（公务员、参公人员）'!R288:S288)+SUM('工资福利（事业）'!V288:X288,'工资福利（事业）'!AB288))*0.006</f>
        <v>0.01877796</v>
      </c>
      <c r="S288" s="348">
        <f>(SUM('工资福利（公务员、参公人员）'!R288:S288)+SUM('工资福利（事业）'!V288:X288,'工资福利（事业）'!AB288))*0.12</f>
        <v>0.3755592</v>
      </c>
      <c r="T288" s="348"/>
      <c r="U288" s="348">
        <f t="shared" si="108"/>
        <v>16.18949448</v>
      </c>
      <c r="V288" s="348">
        <f t="shared" si="109"/>
        <v>6.0507456</v>
      </c>
      <c r="W288" s="348">
        <f t="shared" si="110"/>
        <v>3.0303728</v>
      </c>
      <c r="X288" s="348">
        <f t="shared" si="111"/>
        <v>2.2677796</v>
      </c>
      <c r="Y288" s="348">
        <f t="shared" si="112"/>
        <v>0.07625932</v>
      </c>
      <c r="Z288" s="348">
        <f t="shared" si="113"/>
        <v>0.22877796</v>
      </c>
      <c r="AA288" s="348">
        <f t="shared" si="114"/>
        <v>4.5355592</v>
      </c>
      <c r="AB288" s="348">
        <f t="shared" si="115"/>
        <v>0</v>
      </c>
      <c r="AC288" s="350"/>
    </row>
    <row r="289" ht="36" spans="1:29">
      <c r="A289" s="284" t="s">
        <v>540</v>
      </c>
      <c r="B289" s="284" t="s">
        <v>199</v>
      </c>
      <c r="C289" s="284" t="s">
        <v>559</v>
      </c>
      <c r="D289" s="284" t="s">
        <v>556</v>
      </c>
      <c r="E289" s="348">
        <f t="shared" si="106"/>
        <v>6.99</v>
      </c>
      <c r="F289" s="348">
        <v>2.61</v>
      </c>
      <c r="G289" s="348">
        <v>1.31</v>
      </c>
      <c r="H289" s="348">
        <v>0.98</v>
      </c>
      <c r="I289" s="348">
        <v>0.03</v>
      </c>
      <c r="J289" s="348">
        <v>0.1</v>
      </c>
      <c r="K289" s="348">
        <v>1.96</v>
      </c>
      <c r="L289" s="348"/>
      <c r="M289" s="348">
        <f t="shared" si="107"/>
        <v>0.57145704</v>
      </c>
      <c r="N289" s="348">
        <f>(SUM('工资福利（公务员、参公人员）'!R289:T289)+SUM('工资福利（事业）'!V289:X289,'工资福利（事业）'!AB289))*0.16</f>
        <v>0.2136288</v>
      </c>
      <c r="O289" s="348">
        <f>(SUM('工资福利（公务员、参公人员）'!R289:S289)+SUM('工资福利（事业）'!V289:X289,'工资福利（事业）'!AB289))*0.08</f>
        <v>0.1068144</v>
      </c>
      <c r="P289" s="348">
        <f>(SUM('工资福利（公务员、参公人员）'!R289:S289)+SUM('工资福利（事业）'!V289:X289,'工资福利（事业）'!AB289))*0.06</f>
        <v>0.0801108</v>
      </c>
      <c r="Q289" s="348">
        <f>(SUM('工资福利（公务员、参公人员）'!R289:S289)+SUM('工资福利（事业）'!V289:X289,'工资福利（事业）'!AB289))*0.002</f>
        <v>0.00267036</v>
      </c>
      <c r="R289" s="348">
        <f>(SUM('工资福利（公务员、参公人员）'!R289:S289)+SUM('工资福利（事业）'!V289:X289,'工资福利（事业）'!AB289))*0.006</f>
        <v>0.00801108</v>
      </c>
      <c r="S289" s="348">
        <f>(SUM('工资福利（公务员、参公人员）'!R289:S289)+SUM('工资福利（事业）'!V289:X289,'工资福利（事业）'!AB289))*0.12</f>
        <v>0.1602216</v>
      </c>
      <c r="T289" s="348"/>
      <c r="U289" s="348">
        <f t="shared" si="108"/>
        <v>7.56145704</v>
      </c>
      <c r="V289" s="348">
        <f t="shared" si="109"/>
        <v>2.8236288</v>
      </c>
      <c r="W289" s="348">
        <f t="shared" si="110"/>
        <v>1.4168144</v>
      </c>
      <c r="X289" s="348">
        <f t="shared" si="111"/>
        <v>1.0601108</v>
      </c>
      <c r="Y289" s="348">
        <f t="shared" si="112"/>
        <v>0.03267036</v>
      </c>
      <c r="Z289" s="348">
        <f t="shared" si="113"/>
        <v>0.10801108</v>
      </c>
      <c r="AA289" s="348">
        <f t="shared" si="114"/>
        <v>2.1202216</v>
      </c>
      <c r="AB289" s="348">
        <f t="shared" si="115"/>
        <v>0</v>
      </c>
      <c r="AC289" s="350"/>
    </row>
    <row r="290" ht="36" spans="1:29">
      <c r="A290" s="284" t="s">
        <v>540</v>
      </c>
      <c r="B290" s="284" t="s">
        <v>199</v>
      </c>
      <c r="C290" s="284" t="s">
        <v>560</v>
      </c>
      <c r="D290" s="284" t="s">
        <v>556</v>
      </c>
      <c r="E290" s="348">
        <f t="shared" si="106"/>
        <v>7.07</v>
      </c>
      <c r="F290" s="348">
        <v>2.65</v>
      </c>
      <c r="G290" s="348">
        <v>1.32</v>
      </c>
      <c r="H290" s="348">
        <v>0.99</v>
      </c>
      <c r="I290" s="348">
        <v>0.03</v>
      </c>
      <c r="J290" s="348">
        <v>0.1</v>
      </c>
      <c r="K290" s="348">
        <v>1.98</v>
      </c>
      <c r="L290" s="348"/>
      <c r="M290" s="348">
        <f t="shared" si="107"/>
        <v>0.5757456</v>
      </c>
      <c r="N290" s="348">
        <f>(SUM('工资福利（公务员、参公人员）'!R290:T290)+SUM('工资福利（事业）'!V290:X290,'工资福利（事业）'!AB290))*0.16</f>
        <v>0.215232</v>
      </c>
      <c r="O290" s="348">
        <f>(SUM('工资福利（公务员、参公人员）'!R290:S290)+SUM('工资福利（事业）'!V290:X290,'工资福利（事业）'!AB290))*0.08</f>
        <v>0.107616</v>
      </c>
      <c r="P290" s="348">
        <f>(SUM('工资福利（公务员、参公人员）'!R290:S290)+SUM('工资福利（事业）'!V290:X290,'工资福利（事业）'!AB290))*0.06</f>
        <v>0.080712</v>
      </c>
      <c r="Q290" s="348">
        <f>(SUM('工资福利（公务员、参公人员）'!R290:S290)+SUM('工资福利（事业）'!V290:X290,'工资福利（事业）'!AB290))*0.002</f>
        <v>0.0026904</v>
      </c>
      <c r="R290" s="348">
        <f>(SUM('工资福利（公务员、参公人员）'!R290:S290)+SUM('工资福利（事业）'!V290:X290,'工资福利（事业）'!AB290))*0.006</f>
        <v>0.0080712</v>
      </c>
      <c r="S290" s="348">
        <f>(SUM('工资福利（公务员、参公人员）'!R290:S290)+SUM('工资福利（事业）'!V290:X290,'工资福利（事业）'!AB290))*0.12</f>
        <v>0.161424</v>
      </c>
      <c r="T290" s="348"/>
      <c r="U290" s="348">
        <f t="shared" si="108"/>
        <v>7.6457456</v>
      </c>
      <c r="V290" s="348">
        <f t="shared" si="109"/>
        <v>2.865232</v>
      </c>
      <c r="W290" s="348">
        <f t="shared" si="110"/>
        <v>1.427616</v>
      </c>
      <c r="X290" s="348">
        <f t="shared" si="111"/>
        <v>1.070712</v>
      </c>
      <c r="Y290" s="348">
        <f t="shared" si="112"/>
        <v>0.0326904</v>
      </c>
      <c r="Z290" s="348">
        <f t="shared" si="113"/>
        <v>0.1080712</v>
      </c>
      <c r="AA290" s="348">
        <f t="shared" si="114"/>
        <v>2.141424</v>
      </c>
      <c r="AB290" s="348">
        <f t="shared" si="115"/>
        <v>0</v>
      </c>
      <c r="AC290" s="350"/>
    </row>
    <row r="291" ht="24" spans="1:29">
      <c r="A291" s="284" t="s">
        <v>540</v>
      </c>
      <c r="B291" s="284" t="s">
        <v>199</v>
      </c>
      <c r="C291" s="284" t="s">
        <v>561</v>
      </c>
      <c r="D291" s="284" t="s">
        <v>562</v>
      </c>
      <c r="E291" s="348">
        <f t="shared" si="106"/>
        <v>4.71</v>
      </c>
      <c r="F291" s="348">
        <v>1.76</v>
      </c>
      <c r="G291" s="348">
        <v>0.88</v>
      </c>
      <c r="H291" s="348">
        <v>0.66</v>
      </c>
      <c r="I291" s="348">
        <v>0.02</v>
      </c>
      <c r="J291" s="348">
        <v>0.07</v>
      </c>
      <c r="K291" s="348">
        <v>1.32</v>
      </c>
      <c r="L291" s="348"/>
      <c r="M291" s="348">
        <f t="shared" si="107"/>
        <v>0.46331856</v>
      </c>
      <c r="N291" s="348">
        <f>(SUM('工资福利（公务员、参公人员）'!R291:T291)+SUM('工资福利（事业）'!V291:X291,'工资福利（事业）'!AB291))*0.16</f>
        <v>0.1732032</v>
      </c>
      <c r="O291" s="348">
        <f>(SUM('工资福利（公务员、参公人员）'!R291:S291)+SUM('工资福利（事业）'!V291:X291,'工资福利（事业）'!AB291))*0.08</f>
        <v>0.0866016</v>
      </c>
      <c r="P291" s="348">
        <f>(SUM('工资福利（公务员、参公人员）'!R291:S291)+SUM('工资福利（事业）'!V291:X291,'工资福利（事业）'!AB291))*0.06</f>
        <v>0.0649512</v>
      </c>
      <c r="Q291" s="348">
        <f>(SUM('工资福利（公务员、参公人员）'!R291:S291)+SUM('工资福利（事业）'!V291:X291,'工资福利（事业）'!AB291))*0.002</f>
        <v>0.00216504</v>
      </c>
      <c r="R291" s="348">
        <f>(SUM('工资福利（公务员、参公人员）'!R291:S291)+SUM('工资福利（事业）'!V291:X291,'工资福利（事业）'!AB291))*0.006</f>
        <v>0.00649512</v>
      </c>
      <c r="S291" s="348">
        <f>(SUM('工资福利（公务员、参公人员）'!R291:S291)+SUM('工资福利（事业）'!V291:X291,'工资福利（事业）'!AB291))*0.12</f>
        <v>0.1299024</v>
      </c>
      <c r="T291" s="348"/>
      <c r="U291" s="348">
        <f t="shared" si="108"/>
        <v>5.17331856</v>
      </c>
      <c r="V291" s="348">
        <f t="shared" si="109"/>
        <v>1.9332032</v>
      </c>
      <c r="W291" s="348">
        <f t="shared" si="110"/>
        <v>0.9666016</v>
      </c>
      <c r="X291" s="348">
        <f t="shared" si="111"/>
        <v>0.7249512</v>
      </c>
      <c r="Y291" s="348">
        <f t="shared" si="112"/>
        <v>0.02216504</v>
      </c>
      <c r="Z291" s="348">
        <f t="shared" si="113"/>
        <v>0.07649512</v>
      </c>
      <c r="AA291" s="348">
        <f t="shared" si="114"/>
        <v>1.4499024</v>
      </c>
      <c r="AB291" s="348">
        <f t="shared" si="115"/>
        <v>0</v>
      </c>
      <c r="AC291" s="350"/>
    </row>
    <row r="292" ht="36" spans="1:29">
      <c r="A292" s="284" t="s">
        <v>540</v>
      </c>
      <c r="B292" s="284" t="s">
        <v>199</v>
      </c>
      <c r="C292" s="284" t="s">
        <v>563</v>
      </c>
      <c r="D292" s="284" t="s">
        <v>564</v>
      </c>
      <c r="E292" s="348">
        <f t="shared" si="106"/>
        <v>2.03</v>
      </c>
      <c r="F292" s="348">
        <v>0.76</v>
      </c>
      <c r="G292" s="348">
        <v>0.38</v>
      </c>
      <c r="H292" s="348">
        <v>0.28</v>
      </c>
      <c r="I292" s="348">
        <v>0.01</v>
      </c>
      <c r="J292" s="348">
        <v>0.03</v>
      </c>
      <c r="K292" s="348">
        <v>0.57</v>
      </c>
      <c r="L292" s="348"/>
      <c r="M292" s="348">
        <f t="shared" si="107"/>
        <v>0.1556208</v>
      </c>
      <c r="N292" s="348">
        <f>(SUM('工资福利（公务员、参公人员）'!R292:T292)+SUM('工资福利（事业）'!V292:X292,'工资福利（事业）'!AB292))*0.16</f>
        <v>0.058176</v>
      </c>
      <c r="O292" s="348">
        <f>(SUM('工资福利（公务员、参公人员）'!R292:S292)+SUM('工资福利（事业）'!V292:X292,'工资福利（事业）'!AB292))*0.08</f>
        <v>0.029088</v>
      </c>
      <c r="P292" s="348">
        <f>(SUM('工资福利（公务员、参公人员）'!R292:S292)+SUM('工资福利（事业）'!V292:X292,'工资福利（事业）'!AB292))*0.06</f>
        <v>0.021816</v>
      </c>
      <c r="Q292" s="348">
        <f>(SUM('工资福利（公务员、参公人员）'!R292:S292)+SUM('工资福利（事业）'!V292:X292,'工资福利（事业）'!AB292))*0.002</f>
        <v>0.0007272</v>
      </c>
      <c r="R292" s="348">
        <f>(SUM('工资福利（公务员、参公人员）'!R292:S292)+SUM('工资福利（事业）'!V292:X292,'工资福利（事业）'!AB292))*0.006</f>
        <v>0.0021816</v>
      </c>
      <c r="S292" s="348">
        <f>(SUM('工资福利（公务员、参公人员）'!R292:S292)+SUM('工资福利（事业）'!V292:X292,'工资福利（事业）'!AB292))*0.12</f>
        <v>0.043632</v>
      </c>
      <c r="T292" s="348"/>
      <c r="U292" s="348">
        <f t="shared" si="108"/>
        <v>2.1856208</v>
      </c>
      <c r="V292" s="348">
        <f t="shared" si="109"/>
        <v>0.818176</v>
      </c>
      <c r="W292" s="348">
        <f t="shared" si="110"/>
        <v>0.409088</v>
      </c>
      <c r="X292" s="348">
        <f t="shared" si="111"/>
        <v>0.301816</v>
      </c>
      <c r="Y292" s="348">
        <f t="shared" si="112"/>
        <v>0.0107272</v>
      </c>
      <c r="Z292" s="348">
        <f t="shared" si="113"/>
        <v>0.0321816</v>
      </c>
      <c r="AA292" s="348">
        <f t="shared" si="114"/>
        <v>0.613632</v>
      </c>
      <c r="AB292" s="348">
        <f t="shared" si="115"/>
        <v>0</v>
      </c>
      <c r="AC292" s="350"/>
    </row>
    <row r="293" ht="36" spans="1:29">
      <c r="A293" s="284" t="s">
        <v>540</v>
      </c>
      <c r="B293" s="284" t="s">
        <v>199</v>
      </c>
      <c r="C293" s="284" t="s">
        <v>565</v>
      </c>
      <c r="D293" s="284" t="s">
        <v>566</v>
      </c>
      <c r="E293" s="348">
        <f t="shared" si="106"/>
        <v>14.77</v>
      </c>
      <c r="F293" s="348">
        <v>5.52</v>
      </c>
      <c r="G293" s="348">
        <v>2.76</v>
      </c>
      <c r="H293" s="348">
        <v>2.07</v>
      </c>
      <c r="I293" s="348">
        <v>0.07</v>
      </c>
      <c r="J293" s="348">
        <v>0.21</v>
      </c>
      <c r="K293" s="348">
        <v>4.14</v>
      </c>
      <c r="L293" s="348"/>
      <c r="M293" s="348">
        <f t="shared" si="107"/>
        <v>0.00802071999999999</v>
      </c>
      <c r="N293" s="348">
        <f>(SUM('工资福利（公务员、参公人员）'!R293:T293)+SUM('工资福利（事业）'!V293:X293,'工资福利（事业）'!AB293))*0.16</f>
        <v>0.0029984</v>
      </c>
      <c r="O293" s="348">
        <f>(SUM('工资福利（公务员、参公人员）'!R293:S293)+SUM('工资福利（事业）'!V293:X293,'工资福利（事业）'!AB293))*0.08</f>
        <v>0.0014992</v>
      </c>
      <c r="P293" s="348">
        <f>(SUM('工资福利（公务员、参公人员）'!R293:S293)+SUM('工资福利（事业）'!V293:X293,'工资福利（事业）'!AB293))*0.06</f>
        <v>0.0011244</v>
      </c>
      <c r="Q293" s="348">
        <f>(SUM('工资福利（公务员、参公人员）'!R293:S293)+SUM('工资福利（事业）'!V293:X293,'工资福利（事业）'!AB293))*0.002</f>
        <v>3.748e-5</v>
      </c>
      <c r="R293" s="348">
        <f>(SUM('工资福利（公务员、参公人员）'!R293:S293)+SUM('工资福利（事业）'!V293:X293,'工资福利（事业）'!AB293))*0.006</f>
        <v>0.00011244</v>
      </c>
      <c r="S293" s="348">
        <f>(SUM('工资福利（公务员、参公人员）'!R293:S293)+SUM('工资福利（事业）'!V293:X293,'工资福利（事业）'!AB293))*0.12</f>
        <v>0.0022488</v>
      </c>
      <c r="T293" s="348"/>
      <c r="U293" s="348">
        <f t="shared" si="108"/>
        <v>14.77802072</v>
      </c>
      <c r="V293" s="348">
        <f t="shared" si="109"/>
        <v>5.5229984</v>
      </c>
      <c r="W293" s="348">
        <f t="shared" si="110"/>
        <v>2.7614992</v>
      </c>
      <c r="X293" s="348">
        <f t="shared" si="111"/>
        <v>2.0711244</v>
      </c>
      <c r="Y293" s="348">
        <f t="shared" si="112"/>
        <v>0.07003748</v>
      </c>
      <c r="Z293" s="348">
        <f t="shared" si="113"/>
        <v>0.21011244</v>
      </c>
      <c r="AA293" s="348">
        <f t="shared" si="114"/>
        <v>4.1422488</v>
      </c>
      <c r="AB293" s="348">
        <f t="shared" si="115"/>
        <v>0</v>
      </c>
      <c r="AC293" s="350"/>
    </row>
    <row r="294" ht="24" spans="1:29">
      <c r="A294" s="284" t="s">
        <v>540</v>
      </c>
      <c r="B294" s="284" t="s">
        <v>196</v>
      </c>
      <c r="C294" s="284" t="s">
        <v>567</v>
      </c>
      <c r="D294" s="284" t="s">
        <v>568</v>
      </c>
      <c r="E294" s="348">
        <f t="shared" si="106"/>
        <v>16.43</v>
      </c>
      <c r="F294" s="348">
        <v>6.33</v>
      </c>
      <c r="G294" s="348">
        <v>3.01</v>
      </c>
      <c r="H294" s="348">
        <v>2.26</v>
      </c>
      <c r="I294" s="348">
        <v>0.08</v>
      </c>
      <c r="J294" s="348">
        <v>0.23</v>
      </c>
      <c r="K294" s="348">
        <v>4.52</v>
      </c>
      <c r="L294" s="348"/>
      <c r="M294" s="348">
        <f t="shared" si="107"/>
        <v>1.7601052</v>
      </c>
      <c r="N294" s="348">
        <f>(SUM('工资福利（公务员、参公人员）'!R294:T294)+SUM('工资福利（事业）'!V294:X294,'工资福利（事业）'!AB294))*0.16</f>
        <v>0.67768</v>
      </c>
      <c r="O294" s="348">
        <f>(SUM('工资福利（公务员、参公人员）'!R294:S294)+SUM('工资福利（事业）'!V294:X294,'工资福利（事业）'!AB294))*0.08</f>
        <v>0.323112</v>
      </c>
      <c r="P294" s="348">
        <f>(SUM('工资福利（公务员、参公人员）'!R294:S294)+SUM('工资福利（事业）'!V294:X294,'工资福利（事业）'!AB294))*0.06</f>
        <v>0.242334</v>
      </c>
      <c r="Q294" s="348">
        <f>(SUM('工资福利（公务员、参公人员）'!R294:S294)+SUM('工资福利（事业）'!V294:X294,'工资福利（事业）'!AB294))*0.002</f>
        <v>0.0080778</v>
      </c>
      <c r="R294" s="348">
        <f>(SUM('工资福利（公务员、参公人员）'!R294:S294)+SUM('工资福利（事业）'!V294:X294,'工资福利（事业）'!AB294))*0.006</f>
        <v>0.0242334</v>
      </c>
      <c r="S294" s="348">
        <f>(SUM('工资福利（公务员、参公人员）'!R294:S294)+SUM('工资福利（事业）'!V294:X294,'工资福利（事业）'!AB294))*0.12</f>
        <v>0.484668</v>
      </c>
      <c r="T294" s="348"/>
      <c r="U294" s="348">
        <f t="shared" si="108"/>
        <v>18.1901052</v>
      </c>
      <c r="V294" s="348">
        <f t="shared" si="109"/>
        <v>7.00768</v>
      </c>
      <c r="W294" s="348">
        <f t="shared" si="110"/>
        <v>3.333112</v>
      </c>
      <c r="X294" s="348">
        <f t="shared" si="111"/>
        <v>2.502334</v>
      </c>
      <c r="Y294" s="348">
        <f t="shared" si="112"/>
        <v>0.0880778</v>
      </c>
      <c r="Z294" s="348">
        <f t="shared" si="113"/>
        <v>0.2542334</v>
      </c>
      <c r="AA294" s="348">
        <f t="shared" si="114"/>
        <v>5.004668</v>
      </c>
      <c r="AB294" s="348">
        <f t="shared" si="115"/>
        <v>0</v>
      </c>
      <c r="AC294" s="350"/>
    </row>
    <row r="295" ht="24" spans="1:29">
      <c r="A295" s="284" t="s">
        <v>540</v>
      </c>
      <c r="B295" s="284" t="s">
        <v>199</v>
      </c>
      <c r="C295" s="284" t="s">
        <v>569</v>
      </c>
      <c r="D295" s="284" t="s">
        <v>570</v>
      </c>
      <c r="E295" s="348">
        <f t="shared" si="106"/>
        <v>4.99</v>
      </c>
      <c r="F295" s="348">
        <v>1.87</v>
      </c>
      <c r="G295" s="348">
        <v>0.93</v>
      </c>
      <c r="H295" s="348">
        <v>0.7</v>
      </c>
      <c r="I295" s="348">
        <v>0.02</v>
      </c>
      <c r="J295" s="348">
        <v>0.07</v>
      </c>
      <c r="K295" s="348">
        <v>1.4</v>
      </c>
      <c r="L295" s="348"/>
      <c r="M295" s="348">
        <f t="shared" si="107"/>
        <v>0.00606047999999999</v>
      </c>
      <c r="N295" s="348">
        <f>(SUM('工资福利（公务员、参公人员）'!R295:T295)+SUM('工资福利（事业）'!V295:X295,'工资福利（事业）'!AB295))*0.16</f>
        <v>0.0022656</v>
      </c>
      <c r="O295" s="348">
        <f>(SUM('工资福利（公务员、参公人员）'!R295:S295)+SUM('工资福利（事业）'!V295:X295,'工资福利（事业）'!AB295))*0.08</f>
        <v>0.0011328</v>
      </c>
      <c r="P295" s="348">
        <f>(SUM('工资福利（公务员、参公人员）'!R295:S295)+SUM('工资福利（事业）'!V295:X295,'工资福利（事业）'!AB295))*0.06</f>
        <v>0.000849599999999999</v>
      </c>
      <c r="Q295" s="348">
        <f>(SUM('工资福利（公务员、参公人员）'!R295:S295)+SUM('工资福利（事业）'!V295:X295,'工资福利（事业）'!AB295))*0.002</f>
        <v>2.832e-5</v>
      </c>
      <c r="R295" s="348">
        <f>(SUM('工资福利（公务员、参公人员）'!R295:S295)+SUM('工资福利（事业）'!V295:X295,'工资福利（事业）'!AB295))*0.006</f>
        <v>8.49599999999999e-5</v>
      </c>
      <c r="S295" s="348">
        <f>(SUM('工资福利（公务员、参公人员）'!R295:S295)+SUM('工资福利（事业）'!V295:X295,'工资福利（事业）'!AB295))*0.12</f>
        <v>0.0016992</v>
      </c>
      <c r="T295" s="348"/>
      <c r="U295" s="348">
        <f t="shared" si="108"/>
        <v>4.99606048</v>
      </c>
      <c r="V295" s="348">
        <f t="shared" si="109"/>
        <v>1.8722656</v>
      </c>
      <c r="W295" s="348">
        <f t="shared" si="110"/>
        <v>0.9311328</v>
      </c>
      <c r="X295" s="348">
        <f t="shared" si="111"/>
        <v>0.7008496</v>
      </c>
      <c r="Y295" s="348">
        <f t="shared" si="112"/>
        <v>0.02002832</v>
      </c>
      <c r="Z295" s="348">
        <f t="shared" si="113"/>
        <v>0.07008496</v>
      </c>
      <c r="AA295" s="348">
        <f t="shared" si="114"/>
        <v>1.4016992</v>
      </c>
      <c r="AB295" s="348">
        <f t="shared" si="115"/>
        <v>0</v>
      </c>
      <c r="AC295" s="350"/>
    </row>
    <row r="296" ht="24" spans="1:29">
      <c r="A296" s="284" t="s">
        <v>540</v>
      </c>
      <c r="B296" s="284" t="s">
        <v>196</v>
      </c>
      <c r="C296" s="284" t="s">
        <v>571</v>
      </c>
      <c r="D296" s="284" t="s">
        <v>572</v>
      </c>
      <c r="E296" s="348">
        <f t="shared" si="106"/>
        <v>8.17</v>
      </c>
      <c r="F296" s="348">
        <v>3.13</v>
      </c>
      <c r="G296" s="348">
        <v>1.49</v>
      </c>
      <c r="H296" s="348">
        <v>1.12</v>
      </c>
      <c r="I296" s="348">
        <v>0.08</v>
      </c>
      <c r="J296" s="348">
        <v>0.11</v>
      </c>
      <c r="K296" s="348">
        <v>2.24</v>
      </c>
      <c r="L296" s="348"/>
      <c r="M296" s="348">
        <f t="shared" si="107"/>
        <v>0.7762732</v>
      </c>
      <c r="N296" s="348">
        <f>(SUM('工资福利（公务员、参公人员）'!R296:T296)+SUM('工资福利（事业）'!V296:X296,'工资福利（事业）'!AB296))*0.16</f>
        <v>0.29792</v>
      </c>
      <c r="O296" s="348">
        <f>(SUM('工资福利（公务员、参公人员）'!R296:S296)+SUM('工资福利（事业）'!V296:X296,'工资福利（事业）'!AB296))*0.08</f>
        <v>0.142792</v>
      </c>
      <c r="P296" s="348">
        <f>(SUM('工资福利（公务员、参公人员）'!R296:S296)+SUM('工资福利（事业）'!V296:X296,'工资福利（事业）'!AB296))*0.06</f>
        <v>0.107094</v>
      </c>
      <c r="Q296" s="348">
        <f>(SUM('工资福利（公务员、参公人员）'!R296:S296)+SUM('工资福利（事业）'!V296:X296,'工资福利（事业）'!AB296))*0.002</f>
        <v>0.0035698</v>
      </c>
      <c r="R296" s="348">
        <f>(SUM('工资福利（公务员、参公人员）'!R296:S296)+SUM('工资福利（事业）'!V296:X296,'工资福利（事业）'!AB296))*0.006</f>
        <v>0.0107094</v>
      </c>
      <c r="S296" s="348">
        <f>(SUM('工资福利（公务员、参公人员）'!R296:S296)+SUM('工资福利（事业）'!V296:X296,'工资福利（事业）'!AB296))*0.12</f>
        <v>0.214188</v>
      </c>
      <c r="T296" s="348"/>
      <c r="U296" s="348">
        <f t="shared" si="108"/>
        <v>8.9462732</v>
      </c>
      <c r="V296" s="348">
        <f t="shared" si="109"/>
        <v>3.42792</v>
      </c>
      <c r="W296" s="348">
        <f t="shared" si="110"/>
        <v>1.632792</v>
      </c>
      <c r="X296" s="348">
        <f t="shared" si="111"/>
        <v>1.227094</v>
      </c>
      <c r="Y296" s="348">
        <f t="shared" si="112"/>
        <v>0.0835698</v>
      </c>
      <c r="Z296" s="348">
        <f t="shared" si="113"/>
        <v>0.1207094</v>
      </c>
      <c r="AA296" s="348">
        <f t="shared" si="114"/>
        <v>2.454188</v>
      </c>
      <c r="AB296" s="348">
        <f t="shared" si="115"/>
        <v>0</v>
      </c>
      <c r="AC296" s="350"/>
    </row>
    <row r="297" ht="24" spans="1:29">
      <c r="A297" s="284" t="s">
        <v>540</v>
      </c>
      <c r="B297" s="284" t="s">
        <v>196</v>
      </c>
      <c r="C297" s="284" t="s">
        <v>573</v>
      </c>
      <c r="D297" s="284" t="s">
        <v>574</v>
      </c>
      <c r="E297" s="348">
        <f t="shared" si="106"/>
        <v>15.94</v>
      </c>
      <c r="F297" s="348">
        <v>6.14</v>
      </c>
      <c r="G297" s="348">
        <v>2.93</v>
      </c>
      <c r="H297" s="348">
        <v>2.19</v>
      </c>
      <c r="I297" s="348">
        <v>0.07</v>
      </c>
      <c r="J297" s="348">
        <v>0.22</v>
      </c>
      <c r="K297" s="348">
        <v>4.39</v>
      </c>
      <c r="L297" s="348"/>
      <c r="M297" s="348">
        <f t="shared" si="107"/>
        <v>1.5990092</v>
      </c>
      <c r="N297" s="348">
        <f>(SUM('工资福利（公务员、参公人员）'!R297:T297)+SUM('工资福利（事业）'!V297:X297,'工资福利（事业）'!AB297))*0.16</f>
        <v>0.614672</v>
      </c>
      <c r="O297" s="348">
        <f>(SUM('工资福利（公务员、参公人员）'!R297:S297)+SUM('工资福利（事业）'!V297:X297,'工资福利（事业）'!AB297))*0.08</f>
        <v>0.293832</v>
      </c>
      <c r="P297" s="348">
        <f>(SUM('工资福利（公务员、参公人员）'!R297:S297)+SUM('工资福利（事业）'!V297:X297,'工资福利（事业）'!AB297))*0.06</f>
        <v>0.220374</v>
      </c>
      <c r="Q297" s="348">
        <f>(SUM('工资福利（公务员、参公人员）'!R297:S297)+SUM('工资福利（事业）'!V297:X297,'工资福利（事业）'!AB297))*0.002</f>
        <v>0.0073458</v>
      </c>
      <c r="R297" s="348">
        <f>(SUM('工资福利（公务员、参公人员）'!R297:S297)+SUM('工资福利（事业）'!V297:X297,'工资福利（事业）'!AB297))*0.006</f>
        <v>0.0220374</v>
      </c>
      <c r="S297" s="348">
        <f>(SUM('工资福利（公务员、参公人员）'!R297:S297)+SUM('工资福利（事业）'!V297:X297,'工资福利（事业）'!AB297))*0.12</f>
        <v>0.440748</v>
      </c>
      <c r="T297" s="348"/>
      <c r="U297" s="348">
        <f t="shared" si="108"/>
        <v>17.5390092</v>
      </c>
      <c r="V297" s="348">
        <f t="shared" si="109"/>
        <v>6.754672</v>
      </c>
      <c r="W297" s="348">
        <f t="shared" si="110"/>
        <v>3.223832</v>
      </c>
      <c r="X297" s="348">
        <f t="shared" si="111"/>
        <v>2.410374</v>
      </c>
      <c r="Y297" s="348">
        <f t="shared" si="112"/>
        <v>0.0773458</v>
      </c>
      <c r="Z297" s="348">
        <f t="shared" si="113"/>
        <v>0.2420374</v>
      </c>
      <c r="AA297" s="348">
        <f t="shared" si="114"/>
        <v>4.830748</v>
      </c>
      <c r="AB297" s="348">
        <f t="shared" si="115"/>
        <v>0</v>
      </c>
      <c r="AC297" s="350"/>
    </row>
    <row r="298" ht="24" spans="1:29">
      <c r="A298" s="284" t="s">
        <v>540</v>
      </c>
      <c r="B298" s="284" t="s">
        <v>199</v>
      </c>
      <c r="C298" s="284" t="s">
        <v>575</v>
      </c>
      <c r="D298" s="284" t="s">
        <v>576</v>
      </c>
      <c r="E298" s="348">
        <f t="shared" si="106"/>
        <v>11.57</v>
      </c>
      <c r="F298" s="348">
        <v>4.33</v>
      </c>
      <c r="G298" s="348">
        <v>2.16</v>
      </c>
      <c r="H298" s="348">
        <v>1.62</v>
      </c>
      <c r="I298" s="348">
        <v>0.05</v>
      </c>
      <c r="J298" s="348">
        <v>0.16</v>
      </c>
      <c r="K298" s="348">
        <v>3.25</v>
      </c>
      <c r="L298" s="348"/>
      <c r="M298" s="348">
        <f t="shared" si="107"/>
        <v>0.9669804</v>
      </c>
      <c r="N298" s="348">
        <f>(SUM('工资福利（公务员、参公人员）'!R298:T298)+SUM('工资福利（事业）'!V298:X298,'工资福利（事业）'!AB298))*0.16</f>
        <v>0.361488</v>
      </c>
      <c r="O298" s="348">
        <f>(SUM('工资福利（公务员、参公人员）'!R298:S298)+SUM('工资福利（事业）'!V298:X298,'工资福利（事业）'!AB298))*0.08</f>
        <v>0.180744</v>
      </c>
      <c r="P298" s="348">
        <f>(SUM('工资福利（公务员、参公人员）'!R298:S298)+SUM('工资福利（事业）'!V298:X298,'工资福利（事业）'!AB298))*0.06</f>
        <v>0.135558</v>
      </c>
      <c r="Q298" s="348">
        <f>(SUM('工资福利（公务员、参公人员）'!R298:S298)+SUM('工资福利（事业）'!V298:X298,'工资福利（事业）'!AB298))*0.002</f>
        <v>0.0045186</v>
      </c>
      <c r="R298" s="348">
        <f>(SUM('工资福利（公务员、参公人员）'!R298:S298)+SUM('工资福利（事业）'!V298:X298,'工资福利（事业）'!AB298))*0.006</f>
        <v>0.0135558</v>
      </c>
      <c r="S298" s="348">
        <f>(SUM('工资福利（公务员、参公人员）'!R298:S298)+SUM('工资福利（事业）'!V298:X298,'工资福利（事业）'!AB298))*0.12</f>
        <v>0.271116</v>
      </c>
      <c r="T298" s="348"/>
      <c r="U298" s="348">
        <f t="shared" si="108"/>
        <v>12.5369804</v>
      </c>
      <c r="V298" s="348">
        <f t="shared" si="109"/>
        <v>4.691488</v>
      </c>
      <c r="W298" s="348">
        <f t="shared" si="110"/>
        <v>2.340744</v>
      </c>
      <c r="X298" s="348">
        <f t="shared" si="111"/>
        <v>1.755558</v>
      </c>
      <c r="Y298" s="348">
        <f t="shared" si="112"/>
        <v>0.0545186</v>
      </c>
      <c r="Z298" s="348">
        <f t="shared" si="113"/>
        <v>0.1735558</v>
      </c>
      <c r="AA298" s="348">
        <f t="shared" si="114"/>
        <v>3.521116</v>
      </c>
      <c r="AB298" s="348">
        <f t="shared" si="115"/>
        <v>0</v>
      </c>
      <c r="AC298" s="350"/>
    </row>
    <row r="299" s="311" customFormat="1" ht="21" customHeight="1" spans="1:29">
      <c r="A299" s="328"/>
      <c r="B299" s="329" t="s">
        <v>750</v>
      </c>
      <c r="C299" s="329" t="s">
        <v>138</v>
      </c>
      <c r="D299" s="329">
        <v>210</v>
      </c>
      <c r="E299" s="358">
        <f t="shared" ref="E299:L299" si="116">SUM(E300:E328)</f>
        <v>1332.3297</v>
      </c>
      <c r="F299" s="358">
        <f t="shared" si="116"/>
        <v>497.1369</v>
      </c>
      <c r="G299" s="358">
        <f t="shared" si="116"/>
        <v>247.64</v>
      </c>
      <c r="H299" s="358">
        <f t="shared" si="116"/>
        <v>185.7476</v>
      </c>
      <c r="I299" s="358">
        <f t="shared" si="116"/>
        <v>11.77</v>
      </c>
      <c r="J299" s="358">
        <f t="shared" si="116"/>
        <v>18.57</v>
      </c>
      <c r="K299" s="358">
        <f t="shared" si="116"/>
        <v>371.4652</v>
      </c>
      <c r="L299" s="358">
        <f t="shared" si="116"/>
        <v>0</v>
      </c>
      <c r="M299" s="358">
        <f t="shared" ref="M299:AB299" si="117">SUM(M300:M328)</f>
        <v>153.06668268</v>
      </c>
      <c r="N299" s="358">
        <f t="shared" si="117"/>
        <v>57.2864816</v>
      </c>
      <c r="O299" s="358">
        <f t="shared" si="117"/>
        <v>28.5911048</v>
      </c>
      <c r="P299" s="358">
        <f t="shared" si="117"/>
        <v>21.4433286</v>
      </c>
      <c r="Q299" s="358">
        <f t="shared" si="117"/>
        <v>0.71477762</v>
      </c>
      <c r="R299" s="358">
        <f t="shared" si="117"/>
        <v>2.14433286</v>
      </c>
      <c r="S299" s="358">
        <f t="shared" si="117"/>
        <v>42.8866572</v>
      </c>
      <c r="T299" s="358">
        <f t="shared" si="117"/>
        <v>0</v>
      </c>
      <c r="U299" s="358">
        <f t="shared" si="117"/>
        <v>1485.39638268</v>
      </c>
      <c r="V299" s="358">
        <f t="shared" si="117"/>
        <v>554.4233816</v>
      </c>
      <c r="W299" s="358">
        <f t="shared" si="117"/>
        <v>276.2311048</v>
      </c>
      <c r="X299" s="358">
        <f t="shared" si="117"/>
        <v>207.1909286</v>
      </c>
      <c r="Y299" s="358">
        <f t="shared" si="117"/>
        <v>12.48477762</v>
      </c>
      <c r="Z299" s="358">
        <f t="shared" si="117"/>
        <v>20.71433286</v>
      </c>
      <c r="AA299" s="358">
        <f t="shared" si="117"/>
        <v>414.3518572</v>
      </c>
      <c r="AB299" s="358">
        <f t="shared" si="117"/>
        <v>0</v>
      </c>
      <c r="AC299" s="362"/>
    </row>
    <row r="300" ht="24" spans="1:29">
      <c r="A300" s="284" t="s">
        <v>540</v>
      </c>
      <c r="B300" s="284" t="s">
        <v>196</v>
      </c>
      <c r="C300" s="284" t="s">
        <v>577</v>
      </c>
      <c r="D300" s="284" t="s">
        <v>578</v>
      </c>
      <c r="E300" s="348">
        <f t="shared" ref="E300:E328" si="118">SUM(F300:L300)</f>
        <v>48.29</v>
      </c>
      <c r="F300" s="348">
        <v>18.62</v>
      </c>
      <c r="G300" s="348">
        <v>8.86</v>
      </c>
      <c r="H300" s="348">
        <v>6.64</v>
      </c>
      <c r="I300" s="348">
        <v>0.22</v>
      </c>
      <c r="J300" s="348">
        <v>0.66</v>
      </c>
      <c r="K300" s="348">
        <v>13.29</v>
      </c>
      <c r="L300" s="348"/>
      <c r="M300" s="348">
        <f t="shared" ref="M300:M328" si="119">SUM(N300:T300)</f>
        <v>0.0713132</v>
      </c>
      <c r="N300" s="348">
        <f>(SUM('工资福利（公务员、参公人员）'!R300:T300)+SUM('工资福利（事业）'!V300:X300,'工资福利（事业）'!AB300))*0.16</f>
        <v>0.035696</v>
      </c>
      <c r="O300" s="348">
        <f>(SUM('工资福利（公务员、参公人员）'!R300:S300)+SUM('工资福利（事业）'!V300:X300,'工资福利（事业）'!AB300))*0.08</f>
        <v>0.010632</v>
      </c>
      <c r="P300" s="348">
        <f>(SUM('工资福利（公务员、参公人员）'!R300:S300)+SUM('工资福利（事业）'!V300:X300,'工资福利（事业）'!AB300))*0.06</f>
        <v>0.00797399999999999</v>
      </c>
      <c r="Q300" s="348">
        <f>(SUM('工资福利（公务员、参公人员）'!R300:S300)+SUM('工资福利（事业）'!V300:X300,'工资福利（事业）'!AB300))*0.002</f>
        <v>0.0002658</v>
      </c>
      <c r="R300" s="348">
        <f>(SUM('工资福利（公务员、参公人员）'!R300:S300)+SUM('工资福利（事业）'!V300:X300,'工资福利（事业）'!AB300))*0.006</f>
        <v>0.000797399999999999</v>
      </c>
      <c r="S300" s="348">
        <f>(SUM('工资福利（公务员、参公人员）'!R300:S300)+SUM('工资福利（事业）'!V300:X300,'工资福利（事业）'!AB300))*0.12</f>
        <v>0.015948</v>
      </c>
      <c r="T300" s="348"/>
      <c r="U300" s="348">
        <f t="shared" ref="U300:U328" si="120">SUM(V300:AB300)</f>
        <v>48.3613132</v>
      </c>
      <c r="V300" s="348">
        <f t="shared" ref="V300:V328" si="121">F300+N300</f>
        <v>18.655696</v>
      </c>
      <c r="W300" s="348">
        <f t="shared" ref="W300:W328" si="122">G300+O300</f>
        <v>8.870632</v>
      </c>
      <c r="X300" s="348">
        <f t="shared" ref="X300:X328" si="123">H300+P300</f>
        <v>6.647974</v>
      </c>
      <c r="Y300" s="348">
        <f t="shared" ref="Y300:Y328" si="124">I300+Q300</f>
        <v>0.2202658</v>
      </c>
      <c r="Z300" s="348">
        <f t="shared" ref="Z300:Z328" si="125">J300+R300</f>
        <v>0.6607974</v>
      </c>
      <c r="AA300" s="348">
        <f t="shared" ref="AA300:AA328" si="126">K300+S300</f>
        <v>13.305948</v>
      </c>
      <c r="AB300" s="348">
        <f t="shared" ref="AB300:AB328" si="127">L300+T300</f>
        <v>0</v>
      </c>
      <c r="AC300" s="350"/>
    </row>
    <row r="301" ht="24" spans="1:29">
      <c r="A301" s="284" t="s">
        <v>540</v>
      </c>
      <c r="B301" s="284" t="s">
        <v>196</v>
      </c>
      <c r="C301" s="284" t="s">
        <v>579</v>
      </c>
      <c r="D301" s="284" t="s">
        <v>578</v>
      </c>
      <c r="E301" s="348">
        <f t="shared" si="118"/>
        <v>8.34</v>
      </c>
      <c r="F301" s="348">
        <v>3.21</v>
      </c>
      <c r="G301" s="348">
        <v>1.53</v>
      </c>
      <c r="H301" s="348">
        <v>1.15</v>
      </c>
      <c r="I301" s="348">
        <v>0.04</v>
      </c>
      <c r="J301" s="348">
        <v>0.11</v>
      </c>
      <c r="K301" s="348">
        <v>2.3</v>
      </c>
      <c r="L301" s="348"/>
      <c r="M301" s="348">
        <f t="shared" si="119"/>
        <v>0.826616</v>
      </c>
      <c r="N301" s="348">
        <f>(SUM('工资福利（公务员、参公人员）'!R301:T301)+SUM('工资福利（事业）'!V301:X301,'工资福利（事业）'!AB301))*0.16</f>
        <v>0.31688</v>
      </c>
      <c r="O301" s="348">
        <f>(SUM('工资福利（公务员、参公人员）'!R301:S301)+SUM('工资福利（事业）'!V301:X301,'工资福利（事业）'!AB301))*0.08</f>
        <v>0.15216</v>
      </c>
      <c r="P301" s="348">
        <f>(SUM('工资福利（公务员、参公人员）'!R301:S301)+SUM('工资福利（事业）'!V301:X301,'工资福利（事业）'!AB301))*0.06</f>
        <v>0.11412</v>
      </c>
      <c r="Q301" s="348">
        <f>(SUM('工资福利（公务员、参公人员）'!R301:S301)+SUM('工资福利（事业）'!V301:X301,'工资福利（事业）'!AB301))*0.002</f>
        <v>0.003804</v>
      </c>
      <c r="R301" s="348">
        <f>(SUM('工资福利（公务员、参公人员）'!R301:S301)+SUM('工资福利（事业）'!V301:X301,'工资福利（事业）'!AB301))*0.006</f>
        <v>0.011412</v>
      </c>
      <c r="S301" s="348">
        <f>(SUM('工资福利（公务员、参公人员）'!R301:S301)+SUM('工资福利（事业）'!V301:X301,'工资福利（事业）'!AB301))*0.12</f>
        <v>0.22824</v>
      </c>
      <c r="T301" s="348"/>
      <c r="U301" s="348">
        <f t="shared" si="120"/>
        <v>9.166616</v>
      </c>
      <c r="V301" s="348">
        <f t="shared" si="121"/>
        <v>3.52688</v>
      </c>
      <c r="W301" s="348">
        <f t="shared" si="122"/>
        <v>1.68216</v>
      </c>
      <c r="X301" s="348">
        <f t="shared" si="123"/>
        <v>1.26412</v>
      </c>
      <c r="Y301" s="348">
        <f t="shared" si="124"/>
        <v>0.043804</v>
      </c>
      <c r="Z301" s="348">
        <f t="shared" si="125"/>
        <v>0.121412</v>
      </c>
      <c r="AA301" s="348">
        <f t="shared" si="126"/>
        <v>2.52824</v>
      </c>
      <c r="AB301" s="348">
        <f t="shared" si="127"/>
        <v>0</v>
      </c>
      <c r="AC301" s="350"/>
    </row>
    <row r="302" ht="24" spans="1:29">
      <c r="A302" s="284" t="s">
        <v>540</v>
      </c>
      <c r="B302" s="284" t="s">
        <v>199</v>
      </c>
      <c r="C302" s="284" t="s">
        <v>580</v>
      </c>
      <c r="D302" s="284" t="s">
        <v>581</v>
      </c>
      <c r="E302" s="348">
        <f t="shared" si="118"/>
        <v>21.41</v>
      </c>
      <c r="F302" s="348">
        <v>8.01</v>
      </c>
      <c r="G302" s="348">
        <v>4</v>
      </c>
      <c r="H302" s="348">
        <v>3</v>
      </c>
      <c r="I302" s="348">
        <v>0.1</v>
      </c>
      <c r="J302" s="348">
        <v>0.3</v>
      </c>
      <c r="K302" s="348">
        <v>6</v>
      </c>
      <c r="L302" s="348"/>
      <c r="M302" s="348">
        <f t="shared" si="119"/>
        <v>1.33072904</v>
      </c>
      <c r="N302" s="348">
        <f>(SUM('工资福利（公务员、参公人员）'!R302:T302)+SUM('工资福利（事业）'!V302:X302,'工资福利（事业）'!AB302))*0.16</f>
        <v>0.4974688</v>
      </c>
      <c r="O302" s="348">
        <f>(SUM('工资福利（公务员、参公人员）'!R302:S302)+SUM('工资福利（事业）'!V302:X302,'工资福利（事业）'!AB302))*0.08</f>
        <v>0.2487344</v>
      </c>
      <c r="P302" s="348">
        <f>(SUM('工资福利（公务员、参公人员）'!R302:S302)+SUM('工资福利（事业）'!V302:X302,'工资福利（事业）'!AB302))*0.06</f>
        <v>0.1865508</v>
      </c>
      <c r="Q302" s="348">
        <f>(SUM('工资福利（公务员、参公人员）'!R302:S302)+SUM('工资福利（事业）'!V302:X302,'工资福利（事业）'!AB302))*0.002</f>
        <v>0.00621836</v>
      </c>
      <c r="R302" s="348">
        <f>(SUM('工资福利（公务员、参公人员）'!R302:S302)+SUM('工资福利（事业）'!V302:X302,'工资福利（事业）'!AB302))*0.006</f>
        <v>0.01865508</v>
      </c>
      <c r="S302" s="348">
        <f>(SUM('工资福利（公务员、参公人员）'!R302:S302)+SUM('工资福利（事业）'!V302:X302,'工资福利（事业）'!AB302))*0.12</f>
        <v>0.3731016</v>
      </c>
      <c r="T302" s="348"/>
      <c r="U302" s="348">
        <f t="shared" si="120"/>
        <v>22.74072904</v>
      </c>
      <c r="V302" s="348">
        <f t="shared" si="121"/>
        <v>8.5074688</v>
      </c>
      <c r="W302" s="348">
        <f t="shared" si="122"/>
        <v>4.2487344</v>
      </c>
      <c r="X302" s="348">
        <f t="shared" si="123"/>
        <v>3.1865508</v>
      </c>
      <c r="Y302" s="348">
        <f t="shared" si="124"/>
        <v>0.10621836</v>
      </c>
      <c r="Z302" s="348">
        <f t="shared" si="125"/>
        <v>0.31865508</v>
      </c>
      <c r="AA302" s="348">
        <f t="shared" si="126"/>
        <v>6.3731016</v>
      </c>
      <c r="AB302" s="348">
        <f t="shared" si="127"/>
        <v>0</v>
      </c>
      <c r="AC302" s="350"/>
    </row>
    <row r="303" ht="24" spans="1:29">
      <c r="A303" s="284" t="s">
        <v>540</v>
      </c>
      <c r="B303" s="284" t="s">
        <v>199</v>
      </c>
      <c r="C303" s="284" t="s">
        <v>582</v>
      </c>
      <c r="D303" s="284" t="s">
        <v>581</v>
      </c>
      <c r="E303" s="348">
        <f t="shared" si="118"/>
        <v>19.32</v>
      </c>
      <c r="F303" s="348">
        <v>7.22</v>
      </c>
      <c r="G303" s="348">
        <v>3.61</v>
      </c>
      <c r="H303" s="348">
        <v>2.71</v>
      </c>
      <c r="I303" s="348">
        <v>0.09</v>
      </c>
      <c r="J303" s="348">
        <v>0.27</v>
      </c>
      <c r="K303" s="348">
        <v>5.42</v>
      </c>
      <c r="L303" s="348"/>
      <c r="M303" s="348">
        <f t="shared" si="119"/>
        <v>-0.43774128</v>
      </c>
      <c r="N303" s="348">
        <f>(SUM('工资福利（公务员、参公人员）'!R303:T303)+SUM('工资福利（事业）'!V303:X303,'工资福利（事业）'!AB303))*0.16</f>
        <v>-0.1636416</v>
      </c>
      <c r="O303" s="348">
        <f>(SUM('工资福利（公务员、参公人员）'!R303:S303)+SUM('工资福利（事业）'!V303:X303,'工资福利（事业）'!AB303))*0.08</f>
        <v>-0.0818208</v>
      </c>
      <c r="P303" s="348">
        <f>(SUM('工资福利（公务员、参公人员）'!R303:S303)+SUM('工资福利（事业）'!V303:X303,'工资福利（事业）'!AB303))*0.06</f>
        <v>-0.0613656</v>
      </c>
      <c r="Q303" s="348">
        <f>(SUM('工资福利（公务员、参公人员）'!R303:S303)+SUM('工资福利（事业）'!V303:X303,'工资福利（事业）'!AB303))*0.002</f>
        <v>-0.00204552</v>
      </c>
      <c r="R303" s="348">
        <f>(SUM('工资福利（公务员、参公人员）'!R303:S303)+SUM('工资福利（事业）'!V303:X303,'工资福利（事业）'!AB303))*0.006</f>
        <v>-0.00613656</v>
      </c>
      <c r="S303" s="348">
        <f>(SUM('工资福利（公务员、参公人员）'!R303:S303)+SUM('工资福利（事业）'!V303:X303,'工资福利（事业）'!AB303))*0.12</f>
        <v>-0.1227312</v>
      </c>
      <c r="T303" s="348"/>
      <c r="U303" s="348">
        <f t="shared" si="120"/>
        <v>18.88225872</v>
      </c>
      <c r="V303" s="348">
        <f t="shared" si="121"/>
        <v>7.0563584</v>
      </c>
      <c r="W303" s="348">
        <f t="shared" si="122"/>
        <v>3.5281792</v>
      </c>
      <c r="X303" s="348">
        <f t="shared" si="123"/>
        <v>2.6486344</v>
      </c>
      <c r="Y303" s="348">
        <f t="shared" si="124"/>
        <v>0.08795448</v>
      </c>
      <c r="Z303" s="348">
        <f t="shared" si="125"/>
        <v>0.26386344</v>
      </c>
      <c r="AA303" s="348">
        <f t="shared" si="126"/>
        <v>5.2972688</v>
      </c>
      <c r="AB303" s="348">
        <f t="shared" si="127"/>
        <v>0</v>
      </c>
      <c r="AC303" s="350"/>
    </row>
    <row r="304" ht="24" spans="1:29">
      <c r="A304" s="284" t="s">
        <v>540</v>
      </c>
      <c r="B304" s="284" t="s">
        <v>199</v>
      </c>
      <c r="C304" s="284" t="s">
        <v>583</v>
      </c>
      <c r="D304" s="284" t="s">
        <v>581</v>
      </c>
      <c r="E304" s="348">
        <f t="shared" si="118"/>
        <v>13.1</v>
      </c>
      <c r="F304" s="348">
        <v>4.9</v>
      </c>
      <c r="G304" s="348">
        <v>2.45</v>
      </c>
      <c r="H304" s="348">
        <v>1.84</v>
      </c>
      <c r="I304" s="348">
        <v>0.06</v>
      </c>
      <c r="J304" s="348">
        <v>0.18</v>
      </c>
      <c r="K304" s="348">
        <v>3.67</v>
      </c>
      <c r="L304" s="348"/>
      <c r="M304" s="348">
        <f t="shared" si="119"/>
        <v>1.2472348</v>
      </c>
      <c r="N304" s="348">
        <f>(SUM('工资福利（公务员、参公人员）'!R304:T304)+SUM('工资福利（事业）'!V304:X304,'工资福利（事业）'!AB304))*0.16</f>
        <v>0.466256</v>
      </c>
      <c r="O304" s="348">
        <f>(SUM('工资福利（公务员、参公人员）'!R304:S304)+SUM('工资福利（事业）'!V304:X304,'工资福利（事业）'!AB304))*0.08</f>
        <v>0.233128</v>
      </c>
      <c r="P304" s="348">
        <f>(SUM('工资福利（公务员、参公人员）'!R304:S304)+SUM('工资福利（事业）'!V304:X304,'工资福利（事业）'!AB304))*0.06</f>
        <v>0.174846</v>
      </c>
      <c r="Q304" s="348">
        <f>(SUM('工资福利（公务员、参公人员）'!R304:S304)+SUM('工资福利（事业）'!V304:X304,'工资福利（事业）'!AB304))*0.002</f>
        <v>0.0058282</v>
      </c>
      <c r="R304" s="348">
        <f>(SUM('工资福利（公务员、参公人员）'!R304:S304)+SUM('工资福利（事业）'!V304:X304,'工资福利（事业）'!AB304))*0.006</f>
        <v>0.0174846</v>
      </c>
      <c r="S304" s="348">
        <f>(SUM('工资福利（公务员、参公人员）'!R304:S304)+SUM('工资福利（事业）'!V304:X304,'工资福利（事业）'!AB304))*0.12</f>
        <v>0.349692</v>
      </c>
      <c r="T304" s="348"/>
      <c r="U304" s="348">
        <f t="shared" si="120"/>
        <v>14.3472348</v>
      </c>
      <c r="V304" s="348">
        <f t="shared" si="121"/>
        <v>5.366256</v>
      </c>
      <c r="W304" s="348">
        <f t="shared" si="122"/>
        <v>2.683128</v>
      </c>
      <c r="X304" s="348">
        <f t="shared" si="123"/>
        <v>2.014846</v>
      </c>
      <c r="Y304" s="348">
        <f t="shared" si="124"/>
        <v>0.0658282</v>
      </c>
      <c r="Z304" s="348">
        <f t="shared" si="125"/>
        <v>0.1974846</v>
      </c>
      <c r="AA304" s="348">
        <f t="shared" si="126"/>
        <v>4.019692</v>
      </c>
      <c r="AB304" s="348">
        <f t="shared" si="127"/>
        <v>0</v>
      </c>
      <c r="AC304" s="350"/>
    </row>
    <row r="305" ht="24" spans="1:29">
      <c r="A305" s="284" t="s">
        <v>540</v>
      </c>
      <c r="B305" s="284" t="s">
        <v>199</v>
      </c>
      <c r="C305" s="284" t="s">
        <v>584</v>
      </c>
      <c r="D305" s="284" t="s">
        <v>581</v>
      </c>
      <c r="E305" s="348">
        <f t="shared" si="118"/>
        <v>16.07</v>
      </c>
      <c r="F305" s="348">
        <v>5.98</v>
      </c>
      <c r="G305" s="348">
        <v>2.99</v>
      </c>
      <c r="H305" s="348">
        <v>2.24</v>
      </c>
      <c r="I305" s="348">
        <v>0.15</v>
      </c>
      <c r="J305" s="348">
        <v>0.22</v>
      </c>
      <c r="K305" s="348">
        <v>4.49</v>
      </c>
      <c r="L305" s="348"/>
      <c r="M305" s="348">
        <f t="shared" si="119"/>
        <v>1.376448</v>
      </c>
      <c r="N305" s="348">
        <f>(SUM('工资福利（公务员、参公人员）'!R305:T305)+SUM('工资福利（事业）'!V305:X305,'工资福利（事业）'!AB305))*0.16</f>
        <v>0.51456</v>
      </c>
      <c r="O305" s="348">
        <f>(SUM('工资福利（公务员、参公人员）'!R305:S305)+SUM('工资福利（事业）'!V305:X305,'工资福利（事业）'!AB305))*0.08</f>
        <v>0.25728</v>
      </c>
      <c r="P305" s="348">
        <f>(SUM('工资福利（公务员、参公人员）'!R305:S305)+SUM('工资福利（事业）'!V305:X305,'工资福利（事业）'!AB305))*0.06</f>
        <v>0.19296</v>
      </c>
      <c r="Q305" s="348">
        <f>(SUM('工资福利（公务员、参公人员）'!R305:S305)+SUM('工资福利（事业）'!V305:X305,'工资福利（事业）'!AB305))*0.002</f>
        <v>0.006432</v>
      </c>
      <c r="R305" s="348">
        <f>(SUM('工资福利（公务员、参公人员）'!R305:S305)+SUM('工资福利（事业）'!V305:X305,'工资福利（事业）'!AB305))*0.006</f>
        <v>0.019296</v>
      </c>
      <c r="S305" s="348">
        <f>(SUM('工资福利（公务员、参公人员）'!R305:S305)+SUM('工资福利（事业）'!V305:X305,'工资福利（事业）'!AB305))*0.12</f>
        <v>0.38592</v>
      </c>
      <c r="T305" s="348"/>
      <c r="U305" s="348">
        <f t="shared" si="120"/>
        <v>17.446448</v>
      </c>
      <c r="V305" s="348">
        <f t="shared" si="121"/>
        <v>6.49456</v>
      </c>
      <c r="W305" s="348">
        <f t="shared" si="122"/>
        <v>3.24728</v>
      </c>
      <c r="X305" s="348">
        <f t="shared" si="123"/>
        <v>2.43296</v>
      </c>
      <c r="Y305" s="348">
        <f t="shared" si="124"/>
        <v>0.156432</v>
      </c>
      <c r="Z305" s="348">
        <f t="shared" si="125"/>
        <v>0.239296</v>
      </c>
      <c r="AA305" s="348">
        <f t="shared" si="126"/>
        <v>4.87592</v>
      </c>
      <c r="AB305" s="348">
        <f t="shared" si="127"/>
        <v>0</v>
      </c>
      <c r="AC305" s="350"/>
    </row>
    <row r="306" ht="24" spans="1:29">
      <c r="A306" s="284" t="s">
        <v>540</v>
      </c>
      <c r="B306" s="284" t="s">
        <v>518</v>
      </c>
      <c r="C306" s="284" t="s">
        <v>585</v>
      </c>
      <c r="D306" s="284" t="s">
        <v>586</v>
      </c>
      <c r="E306" s="348">
        <f t="shared" si="118"/>
        <v>0</v>
      </c>
      <c r="F306" s="348"/>
      <c r="G306" s="348"/>
      <c r="H306" s="348"/>
      <c r="I306" s="348"/>
      <c r="J306" s="348"/>
      <c r="K306" s="348"/>
      <c r="L306" s="348"/>
      <c r="M306" s="348">
        <f t="shared" si="119"/>
        <v>0</v>
      </c>
      <c r="N306" s="348">
        <f>(SUM('工资福利（公务员、参公人员）'!R306:T306)+SUM('工资福利（事业）'!V306:X306,'工资福利（事业）'!AB306))*0.16</f>
        <v>0</v>
      </c>
      <c r="O306" s="348">
        <f>(SUM('工资福利（公务员、参公人员）'!R306:S306)+SUM('工资福利（事业）'!V306:X306,'工资福利（事业）'!AB306))*0.08</f>
        <v>0</v>
      </c>
      <c r="P306" s="348">
        <f>(SUM('工资福利（公务员、参公人员）'!R306:S306)+SUM('工资福利（事业）'!V306:X306,'工资福利（事业）'!AB306))*0.06</f>
        <v>0</v>
      </c>
      <c r="Q306" s="348">
        <f>(SUM('工资福利（公务员、参公人员）'!R306:S306)+SUM('工资福利（事业）'!V306:X306,'工资福利（事业）'!AB306))*0.002</f>
        <v>0</v>
      </c>
      <c r="R306" s="348">
        <f>(SUM('工资福利（公务员、参公人员）'!R306:S306)+SUM('工资福利（事业）'!V306:X306,'工资福利（事业）'!AB306))*0.006</f>
        <v>0</v>
      </c>
      <c r="S306" s="348">
        <f>(SUM('工资福利（公务员、参公人员）'!R306:S306)+SUM('工资福利（事业）'!V306:X306,'工资福利（事业）'!AB306))*0.12</f>
        <v>0</v>
      </c>
      <c r="T306" s="348"/>
      <c r="U306" s="348">
        <f t="shared" si="120"/>
        <v>0</v>
      </c>
      <c r="V306" s="348">
        <f t="shared" si="121"/>
        <v>0</v>
      </c>
      <c r="W306" s="348">
        <f t="shared" si="122"/>
        <v>0</v>
      </c>
      <c r="X306" s="348">
        <f t="shared" si="123"/>
        <v>0</v>
      </c>
      <c r="Y306" s="348">
        <f t="shared" si="124"/>
        <v>0</v>
      </c>
      <c r="Z306" s="348">
        <f t="shared" si="125"/>
        <v>0</v>
      </c>
      <c r="AA306" s="348">
        <f t="shared" si="126"/>
        <v>0</v>
      </c>
      <c r="AB306" s="348">
        <f t="shared" si="127"/>
        <v>0</v>
      </c>
      <c r="AC306" s="350"/>
    </row>
    <row r="307" ht="36" spans="1:29">
      <c r="A307" s="284" t="s">
        <v>540</v>
      </c>
      <c r="B307" s="284" t="s">
        <v>518</v>
      </c>
      <c r="C307" s="284" t="s">
        <v>587</v>
      </c>
      <c r="D307" s="284" t="s">
        <v>588</v>
      </c>
      <c r="E307" s="348">
        <f t="shared" si="118"/>
        <v>0</v>
      </c>
      <c r="F307" s="348"/>
      <c r="G307" s="348"/>
      <c r="H307" s="348"/>
      <c r="I307" s="348"/>
      <c r="J307" s="348"/>
      <c r="K307" s="348"/>
      <c r="L307" s="348"/>
      <c r="M307" s="348">
        <f t="shared" si="119"/>
        <v>0</v>
      </c>
      <c r="N307" s="348">
        <f>(SUM('工资福利（公务员、参公人员）'!R307:T307)+SUM('工资福利（事业）'!V307:X307,'工资福利（事业）'!AB307))*0.16</f>
        <v>0</v>
      </c>
      <c r="O307" s="348">
        <f>(SUM('工资福利（公务员、参公人员）'!R307:S307)+SUM('工资福利（事业）'!V307:X307,'工资福利（事业）'!AB307))*0.08</f>
        <v>0</v>
      </c>
      <c r="P307" s="348">
        <f>(SUM('工资福利（公务员、参公人员）'!R307:S307)+SUM('工资福利（事业）'!V307:X307,'工资福利（事业）'!AB307))*0.06</f>
        <v>0</v>
      </c>
      <c r="Q307" s="348">
        <f>(SUM('工资福利（公务员、参公人员）'!R307:S307)+SUM('工资福利（事业）'!V307:X307,'工资福利（事业）'!AB307))*0.002</f>
        <v>0</v>
      </c>
      <c r="R307" s="348">
        <f>(SUM('工资福利（公务员、参公人员）'!R307:S307)+SUM('工资福利（事业）'!V307:X307,'工资福利（事业）'!AB307))*0.006</f>
        <v>0</v>
      </c>
      <c r="S307" s="348">
        <f>(SUM('工资福利（公务员、参公人员）'!R307:S307)+SUM('工资福利（事业）'!V307:X307,'工资福利（事业）'!AB307))*0.12</f>
        <v>0</v>
      </c>
      <c r="T307" s="348"/>
      <c r="U307" s="348">
        <f t="shared" si="120"/>
        <v>0</v>
      </c>
      <c r="V307" s="348">
        <f t="shared" si="121"/>
        <v>0</v>
      </c>
      <c r="W307" s="348">
        <f t="shared" si="122"/>
        <v>0</v>
      </c>
      <c r="X307" s="348">
        <f t="shared" si="123"/>
        <v>0</v>
      </c>
      <c r="Y307" s="348">
        <f t="shared" si="124"/>
        <v>0</v>
      </c>
      <c r="Z307" s="348">
        <f t="shared" si="125"/>
        <v>0</v>
      </c>
      <c r="AA307" s="348">
        <f t="shared" si="126"/>
        <v>0</v>
      </c>
      <c r="AB307" s="348">
        <f t="shared" si="127"/>
        <v>0</v>
      </c>
      <c r="AC307" s="350"/>
    </row>
    <row r="308" ht="36" spans="1:29">
      <c r="A308" s="284" t="s">
        <v>540</v>
      </c>
      <c r="B308" s="284" t="s">
        <v>196</v>
      </c>
      <c r="C308" s="284" t="s">
        <v>589</v>
      </c>
      <c r="D308" s="284" t="s">
        <v>590</v>
      </c>
      <c r="E308" s="348">
        <f t="shared" si="118"/>
        <v>0</v>
      </c>
      <c r="F308" s="348"/>
      <c r="G308" s="348"/>
      <c r="H308" s="348"/>
      <c r="I308" s="348"/>
      <c r="J308" s="348"/>
      <c r="K308" s="348"/>
      <c r="L308" s="348"/>
      <c r="M308" s="348">
        <f t="shared" si="119"/>
        <v>0</v>
      </c>
      <c r="N308" s="348">
        <f>(SUM('工资福利（公务员、参公人员）'!R308:T308)+SUM('工资福利（事业）'!V308:X308,'工资福利（事业）'!AB308))*0.16</f>
        <v>0</v>
      </c>
      <c r="O308" s="348">
        <f>(SUM('工资福利（公务员、参公人员）'!R308:S308)+SUM('工资福利（事业）'!V308:X308,'工资福利（事业）'!AB308))*0.08</f>
        <v>0</v>
      </c>
      <c r="P308" s="348">
        <f>(SUM('工资福利（公务员、参公人员）'!R308:S308)+SUM('工资福利（事业）'!V308:X308,'工资福利（事业）'!AB308))*0.06</f>
        <v>0</v>
      </c>
      <c r="Q308" s="348">
        <f>(SUM('工资福利（公务员、参公人员）'!R308:S308)+SUM('工资福利（事业）'!V308:X308,'工资福利（事业）'!AB308))*0.002</f>
        <v>0</v>
      </c>
      <c r="R308" s="348">
        <f>(SUM('工资福利（公务员、参公人员）'!R308:S308)+SUM('工资福利（事业）'!V308:X308,'工资福利（事业）'!AB308))*0.006</f>
        <v>0</v>
      </c>
      <c r="S308" s="348">
        <f>(SUM('工资福利（公务员、参公人员）'!R308:S308)+SUM('工资福利（事业）'!V308:X308,'工资福利（事业）'!AB308))*0.12</f>
        <v>0</v>
      </c>
      <c r="T308" s="348"/>
      <c r="U308" s="348">
        <f t="shared" si="120"/>
        <v>0</v>
      </c>
      <c r="V308" s="348">
        <f t="shared" si="121"/>
        <v>0</v>
      </c>
      <c r="W308" s="348">
        <f t="shared" si="122"/>
        <v>0</v>
      </c>
      <c r="X308" s="348">
        <f t="shared" si="123"/>
        <v>0</v>
      </c>
      <c r="Y308" s="348">
        <f t="shared" si="124"/>
        <v>0</v>
      </c>
      <c r="Z308" s="348">
        <f t="shared" si="125"/>
        <v>0</v>
      </c>
      <c r="AA308" s="348">
        <f t="shared" si="126"/>
        <v>0</v>
      </c>
      <c r="AB308" s="348">
        <f t="shared" si="127"/>
        <v>0</v>
      </c>
      <c r="AC308" s="350"/>
    </row>
    <row r="309" ht="36" spans="1:29">
      <c r="A309" s="284" t="s">
        <v>540</v>
      </c>
      <c r="B309" s="284" t="s">
        <v>199</v>
      </c>
      <c r="C309" s="284" t="s">
        <v>591</v>
      </c>
      <c r="D309" s="284" t="s">
        <v>592</v>
      </c>
      <c r="E309" s="348">
        <f t="shared" si="118"/>
        <v>121.66</v>
      </c>
      <c r="F309" s="348">
        <v>45.27</v>
      </c>
      <c r="G309" s="348">
        <v>22.63</v>
      </c>
      <c r="H309" s="348">
        <v>16.98</v>
      </c>
      <c r="I309" s="348">
        <v>1.13</v>
      </c>
      <c r="J309" s="348">
        <v>1.7</v>
      </c>
      <c r="K309" s="348">
        <v>33.95</v>
      </c>
      <c r="L309" s="348"/>
      <c r="M309" s="348">
        <f t="shared" si="119"/>
        <v>2.67327944</v>
      </c>
      <c r="N309" s="348">
        <f>(SUM('工资福利（公务员、参公人员）'!R309:T309)+SUM('工资福利（事业）'!V309:X309,'工资福利（事业）'!AB309))*0.16</f>
        <v>0.9993568</v>
      </c>
      <c r="O309" s="348">
        <f>(SUM('工资福利（公务员、参公人员）'!R309:S309)+SUM('工资福利（事业）'!V309:X309,'工资福利（事业）'!AB309))*0.08</f>
        <v>0.4996784</v>
      </c>
      <c r="P309" s="348">
        <f>(SUM('工资福利（公务员、参公人员）'!R309:S309)+SUM('工资福利（事业）'!V309:X309,'工资福利（事业）'!AB309))*0.06</f>
        <v>0.3747588</v>
      </c>
      <c r="Q309" s="348">
        <f>(SUM('工资福利（公务员、参公人员）'!R309:S309)+SUM('工资福利（事业）'!V309:X309,'工资福利（事业）'!AB309))*0.002</f>
        <v>0.01249196</v>
      </c>
      <c r="R309" s="348">
        <f>(SUM('工资福利（公务员、参公人员）'!R309:S309)+SUM('工资福利（事业）'!V309:X309,'工资福利（事业）'!AB309))*0.006</f>
        <v>0.03747588</v>
      </c>
      <c r="S309" s="348">
        <f>(SUM('工资福利（公务员、参公人员）'!R309:S309)+SUM('工资福利（事业）'!V309:X309,'工资福利（事业）'!AB309))*0.12</f>
        <v>0.7495176</v>
      </c>
      <c r="T309" s="348"/>
      <c r="U309" s="348">
        <f t="shared" si="120"/>
        <v>124.33327944</v>
      </c>
      <c r="V309" s="348">
        <f t="shared" si="121"/>
        <v>46.2693568</v>
      </c>
      <c r="W309" s="348">
        <f t="shared" si="122"/>
        <v>23.1296784</v>
      </c>
      <c r="X309" s="348">
        <f t="shared" si="123"/>
        <v>17.3547588</v>
      </c>
      <c r="Y309" s="348">
        <f t="shared" si="124"/>
        <v>1.14249196</v>
      </c>
      <c r="Z309" s="348">
        <f t="shared" si="125"/>
        <v>1.73747588</v>
      </c>
      <c r="AA309" s="348">
        <f t="shared" si="126"/>
        <v>34.6995176</v>
      </c>
      <c r="AB309" s="348">
        <f t="shared" si="127"/>
        <v>0</v>
      </c>
      <c r="AC309" s="350"/>
    </row>
    <row r="310" ht="24" spans="1:29">
      <c r="A310" s="284" t="s">
        <v>540</v>
      </c>
      <c r="B310" s="284" t="s">
        <v>199</v>
      </c>
      <c r="C310" s="284" t="s">
        <v>593</v>
      </c>
      <c r="D310" s="284" t="s">
        <v>594</v>
      </c>
      <c r="E310" s="348">
        <f t="shared" si="118"/>
        <v>41.76</v>
      </c>
      <c r="F310" s="348">
        <v>15.54</v>
      </c>
      <c r="G310" s="348">
        <v>7.77</v>
      </c>
      <c r="H310" s="348">
        <v>5.83</v>
      </c>
      <c r="I310" s="348">
        <v>0.39</v>
      </c>
      <c r="J310" s="348">
        <v>0.58</v>
      </c>
      <c r="K310" s="348">
        <v>11.65</v>
      </c>
      <c r="L310" s="348"/>
      <c r="M310" s="348">
        <f t="shared" si="119"/>
        <v>10.15067056</v>
      </c>
      <c r="N310" s="348">
        <f>(SUM('工资福利（公务员、参公人员）'!R310:T310)+SUM('工资福利（事业）'!V310:X310,'工资福利（事业）'!AB310))*0.16</f>
        <v>3.7946432</v>
      </c>
      <c r="O310" s="348">
        <f>(SUM('工资福利（公务员、参公人员）'!R310:S310)+SUM('工资福利（事业）'!V310:X310,'工资福利（事业）'!AB310))*0.08</f>
        <v>1.8973216</v>
      </c>
      <c r="P310" s="348">
        <f>(SUM('工资福利（公务员、参公人员）'!R310:S310)+SUM('工资福利（事业）'!V310:X310,'工资福利（事业）'!AB310))*0.06</f>
        <v>1.4229912</v>
      </c>
      <c r="Q310" s="348">
        <f>(SUM('工资福利（公务员、参公人员）'!R310:S310)+SUM('工资福利（事业）'!V310:X310,'工资福利（事业）'!AB310))*0.002</f>
        <v>0.04743304</v>
      </c>
      <c r="R310" s="348">
        <f>(SUM('工资福利（公务员、参公人员）'!R310:S310)+SUM('工资福利（事业）'!V310:X310,'工资福利（事业）'!AB310))*0.006</f>
        <v>0.14229912</v>
      </c>
      <c r="S310" s="348">
        <f>(SUM('工资福利（公务员、参公人员）'!R310:S310)+SUM('工资福利（事业）'!V310:X310,'工资福利（事业）'!AB310))*0.12</f>
        <v>2.8459824</v>
      </c>
      <c r="T310" s="348"/>
      <c r="U310" s="348">
        <f t="shared" si="120"/>
        <v>51.91067056</v>
      </c>
      <c r="V310" s="348">
        <f t="shared" si="121"/>
        <v>19.3346432</v>
      </c>
      <c r="W310" s="348">
        <f t="shared" si="122"/>
        <v>9.6673216</v>
      </c>
      <c r="X310" s="348">
        <f t="shared" si="123"/>
        <v>7.2529912</v>
      </c>
      <c r="Y310" s="348">
        <f t="shared" si="124"/>
        <v>0.43743304</v>
      </c>
      <c r="Z310" s="348">
        <f t="shared" si="125"/>
        <v>0.72229912</v>
      </c>
      <c r="AA310" s="348">
        <f t="shared" si="126"/>
        <v>14.4959824</v>
      </c>
      <c r="AB310" s="348">
        <f t="shared" si="127"/>
        <v>0</v>
      </c>
      <c r="AC310" s="350"/>
    </row>
    <row r="311" ht="24" spans="1:29">
      <c r="A311" s="284" t="s">
        <v>540</v>
      </c>
      <c r="B311" s="284" t="s">
        <v>199</v>
      </c>
      <c r="C311" s="284" t="s">
        <v>595</v>
      </c>
      <c r="D311" s="284" t="s">
        <v>594</v>
      </c>
      <c r="E311" s="348">
        <f t="shared" si="118"/>
        <v>49.09</v>
      </c>
      <c r="F311" s="348">
        <v>18.27</v>
      </c>
      <c r="G311" s="348">
        <v>9.13</v>
      </c>
      <c r="H311" s="348">
        <v>6.85</v>
      </c>
      <c r="I311" s="348">
        <v>0.46</v>
      </c>
      <c r="J311" s="348">
        <v>0.68</v>
      </c>
      <c r="K311" s="348">
        <v>13.7</v>
      </c>
      <c r="L311" s="348"/>
      <c r="M311" s="348">
        <f t="shared" si="119"/>
        <v>6.569372</v>
      </c>
      <c r="N311" s="348">
        <f>(SUM('工资福利（公务员、参公人员）'!R311:T311)+SUM('工资福利（事业）'!V311:X311,'工资福利（事业）'!AB311))*0.16</f>
        <v>2.45584</v>
      </c>
      <c r="O311" s="348">
        <f>(SUM('工资福利（公务员、参公人员）'!R311:S311)+SUM('工资福利（事业）'!V311:X311,'工资福利（事业）'!AB311))*0.08</f>
        <v>1.22792</v>
      </c>
      <c r="P311" s="348">
        <f>(SUM('工资福利（公务员、参公人员）'!R311:S311)+SUM('工资福利（事业）'!V311:X311,'工资福利（事业）'!AB311))*0.06</f>
        <v>0.92094</v>
      </c>
      <c r="Q311" s="348">
        <f>(SUM('工资福利（公务员、参公人员）'!R311:S311)+SUM('工资福利（事业）'!V311:X311,'工资福利（事业）'!AB311))*0.002</f>
        <v>0.030698</v>
      </c>
      <c r="R311" s="348">
        <f>(SUM('工资福利（公务员、参公人员）'!R311:S311)+SUM('工资福利（事业）'!V311:X311,'工资福利（事业）'!AB311))*0.006</f>
        <v>0.092094</v>
      </c>
      <c r="S311" s="348">
        <f>(SUM('工资福利（公务员、参公人员）'!R311:S311)+SUM('工资福利（事业）'!V311:X311,'工资福利（事业）'!AB311))*0.12</f>
        <v>1.84188</v>
      </c>
      <c r="T311" s="348"/>
      <c r="U311" s="348">
        <f t="shared" si="120"/>
        <v>55.659372</v>
      </c>
      <c r="V311" s="348">
        <f t="shared" si="121"/>
        <v>20.72584</v>
      </c>
      <c r="W311" s="348">
        <f t="shared" si="122"/>
        <v>10.35792</v>
      </c>
      <c r="X311" s="348">
        <f t="shared" si="123"/>
        <v>7.77094</v>
      </c>
      <c r="Y311" s="348">
        <f t="shared" si="124"/>
        <v>0.490698</v>
      </c>
      <c r="Z311" s="348">
        <f t="shared" si="125"/>
        <v>0.772094</v>
      </c>
      <c r="AA311" s="348">
        <f t="shared" si="126"/>
        <v>15.54188</v>
      </c>
      <c r="AB311" s="348">
        <f t="shared" si="127"/>
        <v>0</v>
      </c>
      <c r="AC311" s="350"/>
    </row>
    <row r="312" ht="24" spans="1:29">
      <c r="A312" s="284" t="s">
        <v>540</v>
      </c>
      <c r="B312" s="284" t="s">
        <v>199</v>
      </c>
      <c r="C312" s="284" t="s">
        <v>596</v>
      </c>
      <c r="D312" s="284" t="s">
        <v>594</v>
      </c>
      <c r="E312" s="348">
        <f t="shared" si="118"/>
        <v>31.23</v>
      </c>
      <c r="F312" s="348">
        <v>11.62</v>
      </c>
      <c r="G312" s="348">
        <v>5.81</v>
      </c>
      <c r="H312" s="348">
        <v>4.36</v>
      </c>
      <c r="I312" s="348">
        <v>0.29</v>
      </c>
      <c r="J312" s="348">
        <v>0.44</v>
      </c>
      <c r="K312" s="348">
        <v>8.71</v>
      </c>
      <c r="L312" s="348"/>
      <c r="M312" s="348">
        <f t="shared" si="119"/>
        <v>-0.01820712</v>
      </c>
      <c r="N312" s="348">
        <f>(SUM('工资福利（公务员、参公人员）'!R312:T312)+SUM('工资福利（事业）'!V312:X312,'工资福利（事业）'!AB312))*0.16</f>
        <v>-0.0068064</v>
      </c>
      <c r="O312" s="348">
        <f>(SUM('工资福利（公务员、参公人员）'!R312:S312)+SUM('工资福利（事业）'!V312:X312,'工资福利（事业）'!AB312))*0.08</f>
        <v>-0.0034032</v>
      </c>
      <c r="P312" s="348">
        <f>(SUM('工资福利（公务员、参公人员）'!R312:S312)+SUM('工资福利（事业）'!V312:X312,'工资福利（事业）'!AB312))*0.06</f>
        <v>-0.0025524</v>
      </c>
      <c r="Q312" s="348">
        <f>(SUM('工资福利（公务员、参公人员）'!R312:S312)+SUM('工资福利（事业）'!V312:X312,'工资福利（事业）'!AB312))*0.002</f>
        <v>-8.508e-5</v>
      </c>
      <c r="R312" s="348">
        <f>(SUM('工资福利（公务员、参公人员）'!R312:S312)+SUM('工资福利（事业）'!V312:X312,'工资福利（事业）'!AB312))*0.006</f>
        <v>-0.00025524</v>
      </c>
      <c r="S312" s="348">
        <f>(SUM('工资福利（公务员、参公人员）'!R312:S312)+SUM('工资福利（事业）'!V312:X312,'工资福利（事业）'!AB312))*0.12</f>
        <v>-0.0051048</v>
      </c>
      <c r="T312" s="348"/>
      <c r="U312" s="348">
        <f t="shared" si="120"/>
        <v>31.21179288</v>
      </c>
      <c r="V312" s="348">
        <f t="shared" si="121"/>
        <v>11.6131936</v>
      </c>
      <c r="W312" s="348">
        <f t="shared" si="122"/>
        <v>5.8065968</v>
      </c>
      <c r="X312" s="348">
        <f t="shared" si="123"/>
        <v>4.3574476</v>
      </c>
      <c r="Y312" s="348">
        <f t="shared" si="124"/>
        <v>0.28991492</v>
      </c>
      <c r="Z312" s="348">
        <f t="shared" si="125"/>
        <v>0.43974476</v>
      </c>
      <c r="AA312" s="348">
        <f t="shared" si="126"/>
        <v>8.7048952</v>
      </c>
      <c r="AB312" s="348">
        <f t="shared" si="127"/>
        <v>0</v>
      </c>
      <c r="AC312" s="350"/>
    </row>
    <row r="313" ht="24" spans="1:29">
      <c r="A313" s="284" t="s">
        <v>540</v>
      </c>
      <c r="B313" s="284" t="s">
        <v>199</v>
      </c>
      <c r="C313" s="284" t="s">
        <v>597</v>
      </c>
      <c r="D313" s="284" t="s">
        <v>594</v>
      </c>
      <c r="E313" s="348">
        <f t="shared" si="118"/>
        <v>41.29</v>
      </c>
      <c r="F313" s="348">
        <v>15.37</v>
      </c>
      <c r="G313" s="348">
        <v>7.68</v>
      </c>
      <c r="H313" s="348">
        <v>5.76</v>
      </c>
      <c r="I313" s="348">
        <v>0.38</v>
      </c>
      <c r="J313" s="348">
        <v>0.58</v>
      </c>
      <c r="K313" s="348">
        <v>11.52</v>
      </c>
      <c r="L313" s="348"/>
      <c r="M313" s="348">
        <f t="shared" si="119"/>
        <v>3.62763384</v>
      </c>
      <c r="N313" s="348">
        <f>(SUM('工资福利（公务员、参公人员）'!R313:T313)+SUM('工资福利（事业）'!V313:X313,'工资福利（事业）'!AB313))*0.16</f>
        <v>1.3561248</v>
      </c>
      <c r="O313" s="348">
        <f>(SUM('工资福利（公务员、参公人员）'!R313:S313)+SUM('工资福利（事业）'!V313:X313,'工资福利（事业）'!AB313))*0.08</f>
        <v>0.6780624</v>
      </c>
      <c r="P313" s="348">
        <f>(SUM('工资福利（公务员、参公人员）'!R313:S313)+SUM('工资福利（事业）'!V313:X313,'工资福利（事业）'!AB313))*0.06</f>
        <v>0.5085468</v>
      </c>
      <c r="Q313" s="348">
        <f>(SUM('工资福利（公务员、参公人员）'!R313:S313)+SUM('工资福利（事业）'!V313:X313,'工资福利（事业）'!AB313))*0.002</f>
        <v>0.01695156</v>
      </c>
      <c r="R313" s="348">
        <f>(SUM('工资福利（公务员、参公人员）'!R313:S313)+SUM('工资福利（事业）'!V313:X313,'工资福利（事业）'!AB313))*0.006</f>
        <v>0.05085468</v>
      </c>
      <c r="S313" s="348">
        <f>(SUM('工资福利（公务员、参公人员）'!R313:S313)+SUM('工资福利（事业）'!V313:X313,'工资福利（事业）'!AB313))*0.12</f>
        <v>1.0170936</v>
      </c>
      <c r="T313" s="348"/>
      <c r="U313" s="348">
        <f t="shared" si="120"/>
        <v>44.91763384</v>
      </c>
      <c r="V313" s="348">
        <f t="shared" si="121"/>
        <v>16.7261248</v>
      </c>
      <c r="W313" s="348">
        <f t="shared" si="122"/>
        <v>8.3580624</v>
      </c>
      <c r="X313" s="348">
        <f t="shared" si="123"/>
        <v>6.2685468</v>
      </c>
      <c r="Y313" s="348">
        <f t="shared" si="124"/>
        <v>0.39695156</v>
      </c>
      <c r="Z313" s="348">
        <f t="shared" si="125"/>
        <v>0.63085468</v>
      </c>
      <c r="AA313" s="348">
        <f t="shared" si="126"/>
        <v>12.5370936</v>
      </c>
      <c r="AB313" s="348">
        <f t="shared" si="127"/>
        <v>0</v>
      </c>
      <c r="AC313" s="350"/>
    </row>
    <row r="314" ht="24" spans="1:29">
      <c r="A314" s="284" t="s">
        <v>540</v>
      </c>
      <c r="B314" s="284" t="s">
        <v>199</v>
      </c>
      <c r="C314" s="284" t="s">
        <v>598</v>
      </c>
      <c r="D314" s="284" t="s">
        <v>594</v>
      </c>
      <c r="E314" s="348">
        <f t="shared" si="118"/>
        <v>26.88</v>
      </c>
      <c r="F314" s="348">
        <v>10</v>
      </c>
      <c r="G314" s="348">
        <v>5</v>
      </c>
      <c r="H314" s="348">
        <v>3.75</v>
      </c>
      <c r="I314" s="348">
        <v>0.25</v>
      </c>
      <c r="J314" s="348">
        <v>0.38</v>
      </c>
      <c r="K314" s="348">
        <v>7.5</v>
      </c>
      <c r="L314" s="348"/>
      <c r="M314" s="348">
        <f t="shared" si="119"/>
        <v>4.62147552</v>
      </c>
      <c r="N314" s="348">
        <f>(SUM('工资福利（公务员、参公人员）'!R314:T314)+SUM('工资福利（事业）'!V314:X314,'工资福利（事业）'!AB314))*0.16</f>
        <v>1.7276544</v>
      </c>
      <c r="O314" s="348">
        <f>(SUM('工资福利（公务员、参公人员）'!R314:S314)+SUM('工资福利（事业）'!V314:X314,'工资福利（事业）'!AB314))*0.08</f>
        <v>0.8638272</v>
      </c>
      <c r="P314" s="348">
        <f>(SUM('工资福利（公务员、参公人员）'!R314:S314)+SUM('工资福利（事业）'!V314:X314,'工资福利（事业）'!AB314))*0.06</f>
        <v>0.6478704</v>
      </c>
      <c r="Q314" s="348">
        <f>(SUM('工资福利（公务员、参公人员）'!R314:S314)+SUM('工资福利（事业）'!V314:X314,'工资福利（事业）'!AB314))*0.002</f>
        <v>0.02159568</v>
      </c>
      <c r="R314" s="348">
        <f>(SUM('工资福利（公务员、参公人员）'!R314:S314)+SUM('工资福利（事业）'!V314:X314,'工资福利（事业）'!AB314))*0.006</f>
        <v>0.06478704</v>
      </c>
      <c r="S314" s="348">
        <f>(SUM('工资福利（公务员、参公人员）'!R314:S314)+SUM('工资福利（事业）'!V314:X314,'工资福利（事业）'!AB314))*0.12</f>
        <v>1.2957408</v>
      </c>
      <c r="T314" s="348"/>
      <c r="U314" s="348">
        <f t="shared" si="120"/>
        <v>31.50147552</v>
      </c>
      <c r="V314" s="348">
        <f t="shared" si="121"/>
        <v>11.7276544</v>
      </c>
      <c r="W314" s="348">
        <f t="shared" si="122"/>
        <v>5.8638272</v>
      </c>
      <c r="X314" s="348">
        <f t="shared" si="123"/>
        <v>4.3978704</v>
      </c>
      <c r="Y314" s="348">
        <f t="shared" si="124"/>
        <v>0.27159568</v>
      </c>
      <c r="Z314" s="348">
        <f t="shared" si="125"/>
        <v>0.44478704</v>
      </c>
      <c r="AA314" s="348">
        <f t="shared" si="126"/>
        <v>8.7957408</v>
      </c>
      <c r="AB314" s="348">
        <f t="shared" si="127"/>
        <v>0</v>
      </c>
      <c r="AC314" s="350"/>
    </row>
    <row r="315" ht="24" spans="1:29">
      <c r="A315" s="284" t="s">
        <v>540</v>
      </c>
      <c r="B315" s="284" t="s">
        <v>199</v>
      </c>
      <c r="C315" s="284" t="s">
        <v>599</v>
      </c>
      <c r="D315" s="284" t="s">
        <v>594</v>
      </c>
      <c r="E315" s="348">
        <f t="shared" si="118"/>
        <v>25.15</v>
      </c>
      <c r="F315" s="348">
        <v>9.36</v>
      </c>
      <c r="G315" s="348">
        <v>4.68</v>
      </c>
      <c r="H315" s="348">
        <v>3.51</v>
      </c>
      <c r="I315" s="348">
        <v>0.23</v>
      </c>
      <c r="J315" s="348">
        <v>0.35</v>
      </c>
      <c r="K315" s="348">
        <v>7.02</v>
      </c>
      <c r="L315" s="348"/>
      <c r="M315" s="348">
        <f t="shared" si="119"/>
        <v>4.25628024</v>
      </c>
      <c r="N315" s="348">
        <f>(SUM('工资福利（公务员、参公人员）'!R315:T315)+SUM('工资福利（事业）'!V315:X315,'工资福利（事业）'!AB315))*0.16</f>
        <v>1.5911328</v>
      </c>
      <c r="O315" s="348">
        <f>(SUM('工资福利（公务员、参公人员）'!R315:S315)+SUM('工资福利（事业）'!V315:X315,'工资福利（事业）'!AB315))*0.08</f>
        <v>0.7955664</v>
      </c>
      <c r="P315" s="348">
        <f>(SUM('工资福利（公务员、参公人员）'!R315:S315)+SUM('工资福利（事业）'!V315:X315,'工资福利（事业）'!AB315))*0.06</f>
        <v>0.5966748</v>
      </c>
      <c r="Q315" s="348">
        <f>(SUM('工资福利（公务员、参公人员）'!R315:S315)+SUM('工资福利（事业）'!V315:X315,'工资福利（事业）'!AB315))*0.002</f>
        <v>0.01988916</v>
      </c>
      <c r="R315" s="348">
        <f>(SUM('工资福利（公务员、参公人员）'!R315:S315)+SUM('工资福利（事业）'!V315:X315,'工资福利（事业）'!AB315))*0.006</f>
        <v>0.05966748</v>
      </c>
      <c r="S315" s="348">
        <f>(SUM('工资福利（公务员、参公人员）'!R315:S315)+SUM('工资福利（事业）'!V315:X315,'工资福利（事业）'!AB315))*0.12</f>
        <v>1.1933496</v>
      </c>
      <c r="T315" s="348"/>
      <c r="U315" s="348">
        <f t="shared" si="120"/>
        <v>29.40628024</v>
      </c>
      <c r="V315" s="348">
        <f t="shared" si="121"/>
        <v>10.9511328</v>
      </c>
      <c r="W315" s="348">
        <f t="shared" si="122"/>
        <v>5.4755664</v>
      </c>
      <c r="X315" s="348">
        <f t="shared" si="123"/>
        <v>4.1066748</v>
      </c>
      <c r="Y315" s="348">
        <f t="shared" si="124"/>
        <v>0.24988916</v>
      </c>
      <c r="Z315" s="348">
        <f t="shared" si="125"/>
        <v>0.40966748</v>
      </c>
      <c r="AA315" s="348">
        <f t="shared" si="126"/>
        <v>8.2133496</v>
      </c>
      <c r="AB315" s="348">
        <f t="shared" si="127"/>
        <v>0</v>
      </c>
      <c r="AC315" s="350"/>
    </row>
    <row r="316" ht="24" spans="1:29">
      <c r="A316" s="284" t="s">
        <v>540</v>
      </c>
      <c r="B316" s="284" t="s">
        <v>199</v>
      </c>
      <c r="C316" s="284" t="s">
        <v>600</v>
      </c>
      <c r="D316" s="284" t="s">
        <v>594</v>
      </c>
      <c r="E316" s="348">
        <f t="shared" si="118"/>
        <v>27.18</v>
      </c>
      <c r="F316" s="348">
        <v>10.11</v>
      </c>
      <c r="G316" s="348">
        <v>5.06</v>
      </c>
      <c r="H316" s="348">
        <v>3.79</v>
      </c>
      <c r="I316" s="348">
        <v>0.25</v>
      </c>
      <c r="J316" s="348">
        <v>0.38</v>
      </c>
      <c r="K316" s="348">
        <v>7.59</v>
      </c>
      <c r="L316" s="348"/>
      <c r="M316" s="348">
        <f t="shared" si="119"/>
        <v>2.94017168</v>
      </c>
      <c r="N316" s="348">
        <f>(SUM('工资福利（公务员、参公人员）'!R316:T316)+SUM('工资福利（事业）'!V316:X316,'工资福利（事业）'!AB316))*0.16</f>
        <v>1.0991296</v>
      </c>
      <c r="O316" s="348">
        <f>(SUM('工资福利（公务员、参公人员）'!R316:S316)+SUM('工资福利（事业）'!V316:X316,'工资福利（事业）'!AB316))*0.08</f>
        <v>0.5495648</v>
      </c>
      <c r="P316" s="348">
        <f>(SUM('工资福利（公务员、参公人员）'!R316:S316)+SUM('工资福利（事业）'!V316:X316,'工资福利（事业）'!AB316))*0.06</f>
        <v>0.4121736</v>
      </c>
      <c r="Q316" s="348">
        <f>(SUM('工资福利（公务员、参公人员）'!R316:S316)+SUM('工资福利（事业）'!V316:X316,'工资福利（事业）'!AB316))*0.002</f>
        <v>0.01373912</v>
      </c>
      <c r="R316" s="348">
        <f>(SUM('工资福利（公务员、参公人员）'!R316:S316)+SUM('工资福利（事业）'!V316:X316,'工资福利（事业）'!AB316))*0.006</f>
        <v>0.04121736</v>
      </c>
      <c r="S316" s="348">
        <f>(SUM('工资福利（公务员、参公人员）'!R316:S316)+SUM('工资福利（事业）'!V316:X316,'工资福利（事业）'!AB316))*0.12</f>
        <v>0.8243472</v>
      </c>
      <c r="T316" s="348"/>
      <c r="U316" s="348">
        <f t="shared" si="120"/>
        <v>30.12017168</v>
      </c>
      <c r="V316" s="348">
        <f t="shared" si="121"/>
        <v>11.2091296</v>
      </c>
      <c r="W316" s="348">
        <f t="shared" si="122"/>
        <v>5.6095648</v>
      </c>
      <c r="X316" s="348">
        <f t="shared" si="123"/>
        <v>4.2021736</v>
      </c>
      <c r="Y316" s="348">
        <f t="shared" si="124"/>
        <v>0.26373912</v>
      </c>
      <c r="Z316" s="348">
        <f t="shared" si="125"/>
        <v>0.42121736</v>
      </c>
      <c r="AA316" s="348">
        <f t="shared" si="126"/>
        <v>8.4143472</v>
      </c>
      <c r="AB316" s="348">
        <f t="shared" si="127"/>
        <v>0</v>
      </c>
      <c r="AC316" s="350"/>
    </row>
    <row r="317" ht="24" spans="1:29">
      <c r="A317" s="284" t="s">
        <v>540</v>
      </c>
      <c r="B317" s="284" t="s">
        <v>199</v>
      </c>
      <c r="C317" s="284" t="s">
        <v>601</v>
      </c>
      <c r="D317" s="284" t="s">
        <v>594</v>
      </c>
      <c r="E317" s="348">
        <f t="shared" si="118"/>
        <v>70.3</v>
      </c>
      <c r="F317" s="348">
        <v>26.16</v>
      </c>
      <c r="G317" s="348">
        <v>13.08</v>
      </c>
      <c r="H317" s="348">
        <v>9.81</v>
      </c>
      <c r="I317" s="348">
        <v>0.65</v>
      </c>
      <c r="J317" s="348">
        <v>0.98</v>
      </c>
      <c r="K317" s="348">
        <v>19.62</v>
      </c>
      <c r="L317" s="348"/>
      <c r="M317" s="348">
        <f t="shared" si="119"/>
        <v>6.40906032</v>
      </c>
      <c r="N317" s="348">
        <f>(SUM('工资福利（公务员、参公人员）'!R317:T317)+SUM('工资福利（事业）'!V317:X317,'工资福利（事业）'!AB317))*0.16</f>
        <v>2.3959104</v>
      </c>
      <c r="O317" s="348">
        <f>(SUM('工资福利（公务员、参公人员）'!R317:S317)+SUM('工资福利（事业）'!V317:X317,'工资福利（事业）'!AB317))*0.08</f>
        <v>1.1979552</v>
      </c>
      <c r="P317" s="348">
        <f>(SUM('工资福利（公务员、参公人员）'!R317:S317)+SUM('工资福利（事业）'!V317:X317,'工资福利（事业）'!AB317))*0.06</f>
        <v>0.8984664</v>
      </c>
      <c r="Q317" s="348">
        <f>(SUM('工资福利（公务员、参公人员）'!R317:S317)+SUM('工资福利（事业）'!V317:X317,'工资福利（事业）'!AB317))*0.002</f>
        <v>0.02994888</v>
      </c>
      <c r="R317" s="348">
        <f>(SUM('工资福利（公务员、参公人员）'!R317:S317)+SUM('工资福利（事业）'!V317:X317,'工资福利（事业）'!AB317))*0.006</f>
        <v>0.08984664</v>
      </c>
      <c r="S317" s="348">
        <f>(SUM('工资福利（公务员、参公人员）'!R317:S317)+SUM('工资福利（事业）'!V317:X317,'工资福利（事业）'!AB317))*0.12</f>
        <v>1.7969328</v>
      </c>
      <c r="T317" s="348"/>
      <c r="U317" s="348">
        <f t="shared" si="120"/>
        <v>76.70906032</v>
      </c>
      <c r="V317" s="348">
        <f t="shared" si="121"/>
        <v>28.5559104</v>
      </c>
      <c r="W317" s="348">
        <f t="shared" si="122"/>
        <v>14.2779552</v>
      </c>
      <c r="X317" s="348">
        <f t="shared" si="123"/>
        <v>10.7084664</v>
      </c>
      <c r="Y317" s="348">
        <f t="shared" si="124"/>
        <v>0.67994888</v>
      </c>
      <c r="Z317" s="348">
        <f t="shared" si="125"/>
        <v>1.06984664</v>
      </c>
      <c r="AA317" s="348">
        <f t="shared" si="126"/>
        <v>21.4169328</v>
      </c>
      <c r="AB317" s="348">
        <f t="shared" si="127"/>
        <v>0</v>
      </c>
      <c r="AC317" s="350"/>
    </row>
    <row r="318" ht="24" spans="1:29">
      <c r="A318" s="284" t="s">
        <v>540</v>
      </c>
      <c r="B318" s="284" t="s">
        <v>199</v>
      </c>
      <c r="C318" s="284" t="s">
        <v>602</v>
      </c>
      <c r="D318" s="284" t="s">
        <v>594</v>
      </c>
      <c r="E318" s="348">
        <f t="shared" si="118"/>
        <v>40.35</v>
      </c>
      <c r="F318" s="348">
        <v>15.01</v>
      </c>
      <c r="G318" s="348">
        <v>7.51</v>
      </c>
      <c r="H318" s="348">
        <v>5.63</v>
      </c>
      <c r="I318" s="348">
        <v>0.38</v>
      </c>
      <c r="J318" s="348">
        <v>0.56</v>
      </c>
      <c r="K318" s="348">
        <v>11.26</v>
      </c>
      <c r="L318" s="348"/>
      <c r="M318" s="348">
        <f t="shared" si="119"/>
        <v>7.00656544</v>
      </c>
      <c r="N318" s="348">
        <f>(SUM('工资福利（公务员、参公人员）'!R318:T318)+SUM('工资福利（事业）'!V318:X318,'工资福利（事业）'!AB318))*0.16</f>
        <v>2.6192768</v>
      </c>
      <c r="O318" s="348">
        <f>(SUM('工资福利（公务员、参公人员）'!R318:S318)+SUM('工资福利（事业）'!V318:X318,'工资福利（事业）'!AB318))*0.08</f>
        <v>1.3096384</v>
      </c>
      <c r="P318" s="348">
        <f>(SUM('工资福利（公务员、参公人员）'!R318:S318)+SUM('工资福利（事业）'!V318:X318,'工资福利（事业）'!AB318))*0.06</f>
        <v>0.9822288</v>
      </c>
      <c r="Q318" s="348">
        <f>(SUM('工资福利（公务员、参公人员）'!R318:S318)+SUM('工资福利（事业）'!V318:X318,'工资福利（事业）'!AB318))*0.002</f>
        <v>0.03274096</v>
      </c>
      <c r="R318" s="348">
        <f>(SUM('工资福利（公务员、参公人员）'!R318:S318)+SUM('工资福利（事业）'!V318:X318,'工资福利（事业）'!AB318))*0.006</f>
        <v>0.09822288</v>
      </c>
      <c r="S318" s="348">
        <f>(SUM('工资福利（公务员、参公人员）'!R318:S318)+SUM('工资福利（事业）'!V318:X318,'工资福利（事业）'!AB318))*0.12</f>
        <v>1.9644576</v>
      </c>
      <c r="T318" s="348"/>
      <c r="U318" s="348">
        <f t="shared" si="120"/>
        <v>47.35656544</v>
      </c>
      <c r="V318" s="348">
        <f t="shared" si="121"/>
        <v>17.6292768</v>
      </c>
      <c r="W318" s="348">
        <f t="shared" si="122"/>
        <v>8.8196384</v>
      </c>
      <c r="X318" s="348">
        <f t="shared" si="123"/>
        <v>6.6122288</v>
      </c>
      <c r="Y318" s="348">
        <f t="shared" si="124"/>
        <v>0.41274096</v>
      </c>
      <c r="Z318" s="348">
        <f t="shared" si="125"/>
        <v>0.65822288</v>
      </c>
      <c r="AA318" s="348">
        <f t="shared" si="126"/>
        <v>13.2244576</v>
      </c>
      <c r="AB318" s="348">
        <f t="shared" si="127"/>
        <v>0</v>
      </c>
      <c r="AC318" s="350"/>
    </row>
    <row r="319" ht="24" spans="1:29">
      <c r="A319" s="284" t="s">
        <v>540</v>
      </c>
      <c r="B319" s="284" t="s">
        <v>199</v>
      </c>
      <c r="C319" s="284" t="s">
        <v>603</v>
      </c>
      <c r="D319" s="284" t="s">
        <v>594</v>
      </c>
      <c r="E319" s="348">
        <f t="shared" si="118"/>
        <v>127.55</v>
      </c>
      <c r="F319" s="348">
        <v>47.46</v>
      </c>
      <c r="G319" s="348">
        <v>23.73</v>
      </c>
      <c r="H319" s="348">
        <v>17.8</v>
      </c>
      <c r="I319" s="348">
        <v>1.19</v>
      </c>
      <c r="J319" s="348">
        <v>1.78</v>
      </c>
      <c r="K319" s="348">
        <v>35.59</v>
      </c>
      <c r="L319" s="348"/>
      <c r="M319" s="348">
        <f t="shared" si="119"/>
        <v>16.984324</v>
      </c>
      <c r="N319" s="348">
        <f>(SUM('工资福利（公务员、参公人员）'!R319:T319)+SUM('工资福利（事业）'!V319:X319,'工资福利（事业）'!AB319))*0.16</f>
        <v>6.34928</v>
      </c>
      <c r="O319" s="348">
        <f>(SUM('工资福利（公务员、参公人员）'!R319:S319)+SUM('工资福利（事业）'!V319:X319,'工资福利（事业）'!AB319))*0.08</f>
        <v>3.17464</v>
      </c>
      <c r="P319" s="348">
        <f>(SUM('工资福利（公务员、参公人员）'!R319:S319)+SUM('工资福利（事业）'!V319:X319,'工资福利（事业）'!AB319))*0.06</f>
        <v>2.38098</v>
      </c>
      <c r="Q319" s="348">
        <f>(SUM('工资福利（公务员、参公人员）'!R319:S319)+SUM('工资福利（事业）'!V319:X319,'工资福利（事业）'!AB319))*0.002</f>
        <v>0.079366</v>
      </c>
      <c r="R319" s="348">
        <f>(SUM('工资福利（公务员、参公人员）'!R319:S319)+SUM('工资福利（事业）'!V319:X319,'工资福利（事业）'!AB319))*0.006</f>
        <v>0.238098</v>
      </c>
      <c r="S319" s="348">
        <f>(SUM('工资福利（公务员、参公人员）'!R319:S319)+SUM('工资福利（事业）'!V319:X319,'工资福利（事业）'!AB319))*0.12</f>
        <v>4.76196</v>
      </c>
      <c r="T319" s="348"/>
      <c r="U319" s="348">
        <f t="shared" si="120"/>
        <v>144.534324</v>
      </c>
      <c r="V319" s="348">
        <f t="shared" si="121"/>
        <v>53.80928</v>
      </c>
      <c r="W319" s="348">
        <f t="shared" si="122"/>
        <v>26.90464</v>
      </c>
      <c r="X319" s="348">
        <f t="shared" si="123"/>
        <v>20.18098</v>
      </c>
      <c r="Y319" s="348">
        <f t="shared" si="124"/>
        <v>1.269366</v>
      </c>
      <c r="Z319" s="348">
        <f t="shared" si="125"/>
        <v>2.018098</v>
      </c>
      <c r="AA319" s="348">
        <f t="shared" si="126"/>
        <v>40.35196</v>
      </c>
      <c r="AB319" s="348">
        <f t="shared" si="127"/>
        <v>0</v>
      </c>
      <c r="AC319" s="350"/>
    </row>
    <row r="320" ht="24" spans="1:29">
      <c r="A320" s="284" t="s">
        <v>540</v>
      </c>
      <c r="B320" s="284" t="s">
        <v>199</v>
      </c>
      <c r="C320" s="284" t="s">
        <v>604</v>
      </c>
      <c r="D320" s="284" t="s">
        <v>594</v>
      </c>
      <c r="E320" s="348">
        <f t="shared" si="118"/>
        <v>103.5297</v>
      </c>
      <c r="F320" s="348">
        <v>38.5269</v>
      </c>
      <c r="G320" s="348">
        <v>19.26</v>
      </c>
      <c r="H320" s="348">
        <v>14.4476</v>
      </c>
      <c r="I320" s="348">
        <v>0.96</v>
      </c>
      <c r="J320" s="348">
        <v>1.44</v>
      </c>
      <c r="K320" s="348">
        <v>28.8952</v>
      </c>
      <c r="L320" s="348"/>
      <c r="M320" s="348">
        <f t="shared" si="119"/>
        <v>19.31186504</v>
      </c>
      <c r="N320" s="348">
        <f>(SUM('工资福利（公务员、参公人员）'!R320:T320)+SUM('工资福利（事业）'!V320:X320,'工资福利（事业）'!AB320))*0.16</f>
        <v>7.2193888</v>
      </c>
      <c r="O320" s="348">
        <f>(SUM('工资福利（公务员、参公人员）'!R320:S320)+SUM('工资福利（事业）'!V320:X320,'工资福利（事业）'!AB320))*0.08</f>
        <v>3.6096944</v>
      </c>
      <c r="P320" s="348">
        <f>(SUM('工资福利（公务员、参公人员）'!R320:S320)+SUM('工资福利（事业）'!V320:X320,'工资福利（事业）'!AB320))*0.06</f>
        <v>2.7072708</v>
      </c>
      <c r="Q320" s="348">
        <f>(SUM('工资福利（公务员、参公人员）'!R320:S320)+SUM('工资福利（事业）'!V320:X320,'工资福利（事业）'!AB320))*0.002</f>
        <v>0.09024236</v>
      </c>
      <c r="R320" s="348">
        <f>(SUM('工资福利（公务员、参公人员）'!R320:S320)+SUM('工资福利（事业）'!V320:X320,'工资福利（事业）'!AB320))*0.006</f>
        <v>0.27072708</v>
      </c>
      <c r="S320" s="348">
        <f>(SUM('工资福利（公务员、参公人员）'!R320:S320)+SUM('工资福利（事业）'!V320:X320,'工资福利（事业）'!AB320))*0.12</f>
        <v>5.4145416</v>
      </c>
      <c r="T320" s="348"/>
      <c r="U320" s="348">
        <f t="shared" si="120"/>
        <v>122.84156504</v>
      </c>
      <c r="V320" s="348">
        <f t="shared" si="121"/>
        <v>45.7462888</v>
      </c>
      <c r="W320" s="348">
        <f t="shared" si="122"/>
        <v>22.8696944</v>
      </c>
      <c r="X320" s="348">
        <f t="shared" si="123"/>
        <v>17.1548708</v>
      </c>
      <c r="Y320" s="348">
        <f t="shared" si="124"/>
        <v>1.05024236</v>
      </c>
      <c r="Z320" s="348">
        <f t="shared" si="125"/>
        <v>1.71072708</v>
      </c>
      <c r="AA320" s="348">
        <f t="shared" si="126"/>
        <v>34.3097416</v>
      </c>
      <c r="AB320" s="348">
        <f t="shared" si="127"/>
        <v>0</v>
      </c>
      <c r="AC320" s="350"/>
    </row>
    <row r="321" ht="24" spans="1:29">
      <c r="A321" s="284" t="s">
        <v>540</v>
      </c>
      <c r="B321" s="284" t="s">
        <v>199</v>
      </c>
      <c r="C321" s="284" t="s">
        <v>605</v>
      </c>
      <c r="D321" s="284" t="s">
        <v>594</v>
      </c>
      <c r="E321" s="348">
        <f t="shared" si="118"/>
        <v>34.17</v>
      </c>
      <c r="F321" s="348">
        <v>12.71</v>
      </c>
      <c r="G321" s="348">
        <v>6.36</v>
      </c>
      <c r="H321" s="348">
        <v>4.77</v>
      </c>
      <c r="I321" s="348">
        <v>0.32</v>
      </c>
      <c r="J321" s="348">
        <v>0.48</v>
      </c>
      <c r="K321" s="348">
        <v>9.53</v>
      </c>
      <c r="L321" s="348"/>
      <c r="M321" s="348">
        <f t="shared" si="119"/>
        <v>1.56796944</v>
      </c>
      <c r="N321" s="348">
        <f>(SUM('工资福利（公务员、参公人员）'!R321:T321)+SUM('工资福利（事业）'!V321:X321,'工资福利（事业）'!AB321))*0.16</f>
        <v>0.5861568</v>
      </c>
      <c r="O321" s="348">
        <f>(SUM('工资福利（公务员、参公人员）'!R321:S321)+SUM('工资福利（事业）'!V321:X321,'工资福利（事业）'!AB321))*0.08</f>
        <v>0.2930784</v>
      </c>
      <c r="P321" s="348">
        <f>(SUM('工资福利（公务员、参公人员）'!R321:S321)+SUM('工资福利（事业）'!V321:X321,'工资福利（事业）'!AB321))*0.06</f>
        <v>0.2198088</v>
      </c>
      <c r="Q321" s="348">
        <f>(SUM('工资福利（公务员、参公人员）'!R321:S321)+SUM('工资福利（事业）'!V321:X321,'工资福利（事业）'!AB321))*0.002</f>
        <v>0.00732696</v>
      </c>
      <c r="R321" s="348">
        <f>(SUM('工资福利（公务员、参公人员）'!R321:S321)+SUM('工资福利（事业）'!V321:X321,'工资福利（事业）'!AB321))*0.006</f>
        <v>0.02198088</v>
      </c>
      <c r="S321" s="348">
        <f>(SUM('工资福利（公务员、参公人员）'!R321:S321)+SUM('工资福利（事业）'!V321:X321,'工资福利（事业）'!AB321))*0.12</f>
        <v>0.4396176</v>
      </c>
      <c r="T321" s="348"/>
      <c r="U321" s="348">
        <f t="shared" si="120"/>
        <v>35.73796944</v>
      </c>
      <c r="V321" s="348">
        <f t="shared" si="121"/>
        <v>13.2961568</v>
      </c>
      <c r="W321" s="348">
        <f t="shared" si="122"/>
        <v>6.6530784</v>
      </c>
      <c r="X321" s="348">
        <f t="shared" si="123"/>
        <v>4.9898088</v>
      </c>
      <c r="Y321" s="348">
        <f t="shared" si="124"/>
        <v>0.32732696</v>
      </c>
      <c r="Z321" s="348">
        <f t="shared" si="125"/>
        <v>0.50198088</v>
      </c>
      <c r="AA321" s="348">
        <f t="shared" si="126"/>
        <v>9.9696176</v>
      </c>
      <c r="AB321" s="348">
        <f t="shared" si="127"/>
        <v>0</v>
      </c>
      <c r="AC321" s="350"/>
    </row>
    <row r="322" ht="24" spans="1:29">
      <c r="A322" s="284" t="s">
        <v>540</v>
      </c>
      <c r="B322" s="284" t="s">
        <v>199</v>
      </c>
      <c r="C322" s="284" t="s">
        <v>606</v>
      </c>
      <c r="D322" s="284" t="s">
        <v>594</v>
      </c>
      <c r="E322" s="348">
        <f t="shared" si="118"/>
        <v>35.79</v>
      </c>
      <c r="F322" s="348">
        <v>13.32</v>
      </c>
      <c r="G322" s="348">
        <v>6.66</v>
      </c>
      <c r="H322" s="348">
        <v>4.99</v>
      </c>
      <c r="I322" s="348">
        <v>0.33</v>
      </c>
      <c r="J322" s="348">
        <v>0.5</v>
      </c>
      <c r="K322" s="348">
        <v>9.99</v>
      </c>
      <c r="L322" s="348"/>
      <c r="M322" s="348">
        <f t="shared" si="119"/>
        <v>5.82232368</v>
      </c>
      <c r="N322" s="348">
        <f>(SUM('工资福利（公务员、参公人员）'!R322:T322)+SUM('工资福利（事业）'!V322:X322,'工资福利（事业）'!AB322))*0.16</f>
        <v>2.1765696</v>
      </c>
      <c r="O322" s="348">
        <f>(SUM('工资福利（公务员、参公人员）'!R322:S322)+SUM('工资福利（事业）'!V322:X322,'工资福利（事业）'!AB322))*0.08</f>
        <v>1.0882848</v>
      </c>
      <c r="P322" s="348">
        <f>(SUM('工资福利（公务员、参公人员）'!R322:S322)+SUM('工资福利（事业）'!V322:X322,'工资福利（事业）'!AB322))*0.06</f>
        <v>0.8162136</v>
      </c>
      <c r="Q322" s="348">
        <f>(SUM('工资福利（公务员、参公人员）'!R322:S322)+SUM('工资福利（事业）'!V322:X322,'工资福利（事业）'!AB322))*0.002</f>
        <v>0.02720712</v>
      </c>
      <c r="R322" s="348">
        <f>(SUM('工资福利（公务员、参公人员）'!R322:S322)+SUM('工资福利（事业）'!V322:X322,'工资福利（事业）'!AB322))*0.006</f>
        <v>0.08162136</v>
      </c>
      <c r="S322" s="348">
        <f>(SUM('工资福利（公务员、参公人员）'!R322:S322)+SUM('工资福利（事业）'!V322:X322,'工资福利（事业）'!AB322))*0.12</f>
        <v>1.6324272</v>
      </c>
      <c r="T322" s="348"/>
      <c r="U322" s="348">
        <f t="shared" si="120"/>
        <v>41.61232368</v>
      </c>
      <c r="V322" s="348">
        <f t="shared" si="121"/>
        <v>15.4965696</v>
      </c>
      <c r="W322" s="348">
        <f t="shared" si="122"/>
        <v>7.7482848</v>
      </c>
      <c r="X322" s="348">
        <f t="shared" si="123"/>
        <v>5.8062136</v>
      </c>
      <c r="Y322" s="348">
        <f t="shared" si="124"/>
        <v>0.35720712</v>
      </c>
      <c r="Z322" s="348">
        <f t="shared" si="125"/>
        <v>0.58162136</v>
      </c>
      <c r="AA322" s="348">
        <f t="shared" si="126"/>
        <v>11.6224272</v>
      </c>
      <c r="AB322" s="348">
        <f t="shared" si="127"/>
        <v>0</v>
      </c>
      <c r="AC322" s="350"/>
    </row>
    <row r="323" ht="24" spans="1:29">
      <c r="A323" s="284" t="s">
        <v>540</v>
      </c>
      <c r="B323" s="284" t="s">
        <v>199</v>
      </c>
      <c r="C323" s="284" t="s">
        <v>607</v>
      </c>
      <c r="D323" s="284" t="s">
        <v>594</v>
      </c>
      <c r="E323" s="348">
        <f t="shared" si="118"/>
        <v>59.31</v>
      </c>
      <c r="F323" s="348">
        <v>22.07</v>
      </c>
      <c r="G323" s="348">
        <v>11.03</v>
      </c>
      <c r="H323" s="348">
        <v>8.28</v>
      </c>
      <c r="I323" s="348">
        <v>0.55</v>
      </c>
      <c r="J323" s="348">
        <v>0.83</v>
      </c>
      <c r="K323" s="348">
        <v>16.55</v>
      </c>
      <c r="L323" s="348"/>
      <c r="M323" s="348">
        <f t="shared" si="119"/>
        <v>9.99671896</v>
      </c>
      <c r="N323" s="348">
        <f>(SUM('工资福利（公务员、参公人员）'!R323:T323)+SUM('工资福利（事业）'!V323:X323,'工资福利（事业）'!AB323))*0.16</f>
        <v>3.7370912</v>
      </c>
      <c r="O323" s="348">
        <f>(SUM('工资福利（公务员、参公人员）'!R323:S323)+SUM('工资福利（事业）'!V323:X323,'工资福利（事业）'!AB323))*0.08</f>
        <v>1.8685456</v>
      </c>
      <c r="P323" s="348">
        <f>(SUM('工资福利（公务员、参公人员）'!R323:S323)+SUM('工资福利（事业）'!V323:X323,'工资福利（事业）'!AB323))*0.06</f>
        <v>1.4014092</v>
      </c>
      <c r="Q323" s="348">
        <f>(SUM('工资福利（公务员、参公人员）'!R323:S323)+SUM('工资福利（事业）'!V323:X323,'工资福利（事业）'!AB323))*0.002</f>
        <v>0.04671364</v>
      </c>
      <c r="R323" s="348">
        <f>(SUM('工资福利（公务员、参公人员）'!R323:S323)+SUM('工资福利（事业）'!V323:X323,'工资福利（事业）'!AB323))*0.006</f>
        <v>0.14014092</v>
      </c>
      <c r="S323" s="348">
        <f>(SUM('工资福利（公务员、参公人员）'!R323:S323)+SUM('工资福利（事业）'!V323:X323,'工资福利（事业）'!AB323))*0.12</f>
        <v>2.8028184</v>
      </c>
      <c r="T323" s="348"/>
      <c r="U323" s="348">
        <f t="shared" si="120"/>
        <v>69.30671896</v>
      </c>
      <c r="V323" s="348">
        <f t="shared" si="121"/>
        <v>25.8070912</v>
      </c>
      <c r="W323" s="348">
        <f t="shared" si="122"/>
        <v>12.8985456</v>
      </c>
      <c r="X323" s="348">
        <f t="shared" si="123"/>
        <v>9.6814092</v>
      </c>
      <c r="Y323" s="348">
        <f t="shared" si="124"/>
        <v>0.59671364</v>
      </c>
      <c r="Z323" s="348">
        <f t="shared" si="125"/>
        <v>0.97014092</v>
      </c>
      <c r="AA323" s="348">
        <f t="shared" si="126"/>
        <v>19.3528184</v>
      </c>
      <c r="AB323" s="348">
        <f t="shared" si="127"/>
        <v>0</v>
      </c>
      <c r="AC323" s="350"/>
    </row>
    <row r="324" ht="24" spans="1:29">
      <c r="A324" s="284" t="s">
        <v>540</v>
      </c>
      <c r="B324" s="284" t="s">
        <v>199</v>
      </c>
      <c r="C324" s="284" t="s">
        <v>608</v>
      </c>
      <c r="D324" s="284" t="s">
        <v>594</v>
      </c>
      <c r="E324" s="348">
        <f t="shared" si="118"/>
        <v>42.86</v>
      </c>
      <c r="F324" s="348">
        <v>15.95</v>
      </c>
      <c r="G324" s="348">
        <v>7.97</v>
      </c>
      <c r="H324" s="348">
        <v>5.98</v>
      </c>
      <c r="I324" s="348">
        <v>0.4</v>
      </c>
      <c r="J324" s="348">
        <v>0.6</v>
      </c>
      <c r="K324" s="348">
        <v>11.96</v>
      </c>
      <c r="L324" s="348"/>
      <c r="M324" s="348">
        <f t="shared" si="119"/>
        <v>9.282464</v>
      </c>
      <c r="N324" s="348">
        <f>(SUM('工资福利（公务员、参公人员）'!R324:T324)+SUM('工资福利（事业）'!V324:X324,'工资福利（事业）'!AB324))*0.16</f>
        <v>3.47008</v>
      </c>
      <c r="O324" s="348">
        <f>(SUM('工资福利（公务员、参公人员）'!R324:S324)+SUM('工资福利（事业）'!V324:X324,'工资福利（事业）'!AB324))*0.08</f>
        <v>1.73504</v>
      </c>
      <c r="P324" s="348">
        <f>(SUM('工资福利（公务员、参公人员）'!R324:S324)+SUM('工资福利（事业）'!V324:X324,'工资福利（事业）'!AB324))*0.06</f>
        <v>1.30128</v>
      </c>
      <c r="Q324" s="348">
        <f>(SUM('工资福利（公务员、参公人员）'!R324:S324)+SUM('工资福利（事业）'!V324:X324,'工资福利（事业）'!AB324))*0.002</f>
        <v>0.043376</v>
      </c>
      <c r="R324" s="348">
        <f>(SUM('工资福利（公务员、参公人员）'!R324:S324)+SUM('工资福利（事业）'!V324:X324,'工资福利（事业）'!AB324))*0.006</f>
        <v>0.130128</v>
      </c>
      <c r="S324" s="348">
        <f>(SUM('工资福利（公务员、参公人员）'!R324:S324)+SUM('工资福利（事业）'!V324:X324,'工资福利（事业）'!AB324))*0.12</f>
        <v>2.60256</v>
      </c>
      <c r="T324" s="348"/>
      <c r="U324" s="348">
        <f t="shared" si="120"/>
        <v>52.142464</v>
      </c>
      <c r="V324" s="348">
        <f t="shared" si="121"/>
        <v>19.42008</v>
      </c>
      <c r="W324" s="348">
        <f t="shared" si="122"/>
        <v>9.70504</v>
      </c>
      <c r="X324" s="348">
        <f t="shared" si="123"/>
        <v>7.28128</v>
      </c>
      <c r="Y324" s="348">
        <f t="shared" si="124"/>
        <v>0.443376</v>
      </c>
      <c r="Z324" s="348">
        <f t="shared" si="125"/>
        <v>0.730128</v>
      </c>
      <c r="AA324" s="348">
        <f t="shared" si="126"/>
        <v>14.56256</v>
      </c>
      <c r="AB324" s="348">
        <f t="shared" si="127"/>
        <v>0</v>
      </c>
      <c r="AC324" s="350"/>
    </row>
    <row r="325" ht="36" spans="1:29">
      <c r="A325" s="284" t="s">
        <v>540</v>
      </c>
      <c r="B325" s="284" t="s">
        <v>199</v>
      </c>
      <c r="C325" s="284" t="s">
        <v>609</v>
      </c>
      <c r="D325" s="284" t="s">
        <v>610</v>
      </c>
      <c r="E325" s="348">
        <f t="shared" si="118"/>
        <v>102.13</v>
      </c>
      <c r="F325" s="348">
        <v>38</v>
      </c>
      <c r="G325" s="348">
        <v>19</v>
      </c>
      <c r="H325" s="348">
        <v>14.25</v>
      </c>
      <c r="I325" s="348">
        <v>0.95</v>
      </c>
      <c r="J325" s="348">
        <v>1.43</v>
      </c>
      <c r="K325" s="348">
        <v>28.5</v>
      </c>
      <c r="L325" s="348"/>
      <c r="M325" s="348">
        <f t="shared" si="119"/>
        <v>7.61876808</v>
      </c>
      <c r="N325" s="348">
        <f>(SUM('工资福利（公务员、参公人员）'!R325:T325)+SUM('工资福利（事业）'!V325:X325,'工资福利（事业）'!AB325))*0.16</f>
        <v>2.8481376</v>
      </c>
      <c r="O325" s="348">
        <f>(SUM('工资福利（公务员、参公人员）'!R325:S325)+SUM('工资福利（事业）'!V325:X325,'工资福利（事业）'!AB325))*0.08</f>
        <v>1.4240688</v>
      </c>
      <c r="P325" s="348">
        <f>(SUM('工资福利（公务员、参公人员）'!R325:S325)+SUM('工资福利（事业）'!V325:X325,'工资福利（事业）'!AB325))*0.06</f>
        <v>1.0680516</v>
      </c>
      <c r="Q325" s="348">
        <f>(SUM('工资福利（公务员、参公人员）'!R325:S325)+SUM('工资福利（事业）'!V325:X325,'工资福利（事业）'!AB325))*0.002</f>
        <v>0.03560172</v>
      </c>
      <c r="R325" s="348">
        <f>(SUM('工资福利（公务员、参公人员）'!R325:S325)+SUM('工资福利（事业）'!V325:X325,'工资福利（事业）'!AB325))*0.006</f>
        <v>0.10680516</v>
      </c>
      <c r="S325" s="348">
        <f>(SUM('工资福利（公务员、参公人员）'!R325:S325)+SUM('工资福利（事业）'!V325:X325,'工资福利（事业）'!AB325))*0.12</f>
        <v>2.1361032</v>
      </c>
      <c r="T325" s="348"/>
      <c r="U325" s="348">
        <f t="shared" si="120"/>
        <v>109.74876808</v>
      </c>
      <c r="V325" s="348">
        <f t="shared" si="121"/>
        <v>40.8481376</v>
      </c>
      <c r="W325" s="348">
        <f t="shared" si="122"/>
        <v>20.4240688</v>
      </c>
      <c r="X325" s="348">
        <f t="shared" si="123"/>
        <v>15.3180516</v>
      </c>
      <c r="Y325" s="348">
        <f t="shared" si="124"/>
        <v>0.98560172</v>
      </c>
      <c r="Z325" s="348">
        <f t="shared" si="125"/>
        <v>1.53680516</v>
      </c>
      <c r="AA325" s="348">
        <f t="shared" si="126"/>
        <v>30.6361032</v>
      </c>
      <c r="AB325" s="348">
        <f t="shared" si="127"/>
        <v>0</v>
      </c>
      <c r="AC325" s="350"/>
    </row>
    <row r="326" ht="36" spans="1:29">
      <c r="A326" s="284" t="s">
        <v>540</v>
      </c>
      <c r="B326" s="284" t="s">
        <v>196</v>
      </c>
      <c r="C326" s="284" t="s">
        <v>795</v>
      </c>
      <c r="D326" s="284" t="s">
        <v>612</v>
      </c>
      <c r="E326" s="348">
        <f t="shared" si="118"/>
        <v>24.8</v>
      </c>
      <c r="F326" s="348">
        <v>9.51</v>
      </c>
      <c r="G326" s="348">
        <v>4.53</v>
      </c>
      <c r="H326" s="348">
        <v>3.4</v>
      </c>
      <c r="I326" s="348">
        <v>0.22</v>
      </c>
      <c r="J326" s="348">
        <v>0.34</v>
      </c>
      <c r="K326" s="348">
        <v>6.8</v>
      </c>
      <c r="L326" s="348"/>
      <c r="M326" s="348">
        <f t="shared" si="119"/>
        <v>3.5176162</v>
      </c>
      <c r="N326" s="348">
        <f>(SUM('工资福利（公务员、参公人员）'!R326:T326)+SUM('工资福利（事业）'!V326:X326,'工资福利（事业）'!AB326))*0.16</f>
        <v>1.337128</v>
      </c>
      <c r="O326" s="348">
        <f>(SUM('工资福利（公务员、参公人员）'!R326:S326)+SUM('工资福利（事业）'!V326:X326,'工资福利（事业）'!AB326))*0.08</f>
        <v>0.650892</v>
      </c>
      <c r="P326" s="348">
        <f>(SUM('工资福利（公务员、参公人员）'!R326:S326)+SUM('工资福利（事业）'!V326:X326,'工资福利（事业）'!AB326))*0.06</f>
        <v>0.488169</v>
      </c>
      <c r="Q326" s="348">
        <f>(SUM('工资福利（公务员、参公人员）'!R326:S326)+SUM('工资福利（事业）'!V326:X326,'工资福利（事业）'!AB326))*0.002</f>
        <v>0.0162723</v>
      </c>
      <c r="R326" s="348">
        <f>(SUM('工资福利（公务员、参公人员）'!R326:S326)+SUM('工资福利（事业）'!V326:X326,'工资福利（事业）'!AB326))*0.006</f>
        <v>0.0488169</v>
      </c>
      <c r="S326" s="348">
        <f>(SUM('工资福利（公务员、参公人员）'!R326:S326)+SUM('工资福利（事业）'!V326:X326,'工资福利（事业）'!AB326))*0.12</f>
        <v>0.976338</v>
      </c>
      <c r="T326" s="348"/>
      <c r="U326" s="348">
        <f t="shared" si="120"/>
        <v>28.3176162</v>
      </c>
      <c r="V326" s="348">
        <f t="shared" si="121"/>
        <v>10.847128</v>
      </c>
      <c r="W326" s="348">
        <f t="shared" si="122"/>
        <v>5.180892</v>
      </c>
      <c r="X326" s="348">
        <f t="shared" si="123"/>
        <v>3.888169</v>
      </c>
      <c r="Y326" s="348">
        <f t="shared" si="124"/>
        <v>0.2362723</v>
      </c>
      <c r="Z326" s="348">
        <f t="shared" si="125"/>
        <v>0.3888169</v>
      </c>
      <c r="AA326" s="348">
        <f t="shared" si="126"/>
        <v>7.776338</v>
      </c>
      <c r="AB326" s="348">
        <f t="shared" si="127"/>
        <v>0</v>
      </c>
      <c r="AC326" s="350"/>
    </row>
    <row r="327" ht="36" spans="1:29">
      <c r="A327" s="284" t="s">
        <v>540</v>
      </c>
      <c r="B327" s="284" t="s">
        <v>199</v>
      </c>
      <c r="C327" s="284" t="s">
        <v>613</v>
      </c>
      <c r="D327" s="284" t="s">
        <v>614</v>
      </c>
      <c r="E327" s="348">
        <f t="shared" si="118"/>
        <v>182.82</v>
      </c>
      <c r="F327" s="348">
        <v>68.03</v>
      </c>
      <c r="G327" s="348">
        <v>34.01</v>
      </c>
      <c r="H327" s="348">
        <v>25.51</v>
      </c>
      <c r="I327" s="348">
        <v>1.7</v>
      </c>
      <c r="J327" s="348">
        <v>2.55</v>
      </c>
      <c r="K327" s="348">
        <v>51.02</v>
      </c>
      <c r="L327" s="348"/>
      <c r="M327" s="348">
        <f t="shared" si="119"/>
        <v>27.7869584</v>
      </c>
      <c r="N327" s="348">
        <f>(SUM('工资福利（公务员、参公人员）'!R327:T327)+SUM('工资福利（事业）'!V327:X327,'工资福利（事业）'!AB327))*0.16</f>
        <v>10.387648</v>
      </c>
      <c r="O327" s="348">
        <f>(SUM('工资福利（公务员、参公人员）'!R327:S327)+SUM('工资福利（事业）'!V327:X327,'工资福利（事业）'!AB327))*0.08</f>
        <v>5.193824</v>
      </c>
      <c r="P327" s="348">
        <f>(SUM('工资福利（公务员、参公人员）'!R327:S327)+SUM('工资福利（事业）'!V327:X327,'工资福利（事业）'!AB327))*0.06</f>
        <v>3.895368</v>
      </c>
      <c r="Q327" s="348">
        <f>(SUM('工资福利（公务员、参公人员）'!R327:S327)+SUM('工资福利（事业）'!V327:X327,'工资福利（事业）'!AB327))*0.002</f>
        <v>0.1298456</v>
      </c>
      <c r="R327" s="348">
        <f>(SUM('工资福利（公务员、参公人员）'!R327:S327)+SUM('工资福利（事业）'!V327:X327,'工资福利（事业）'!AB327))*0.006</f>
        <v>0.3895368</v>
      </c>
      <c r="S327" s="348">
        <f>(SUM('工资福利（公务员、参公人员）'!R327:S327)+SUM('工资福利（事业）'!V327:X327,'工资福利（事业）'!AB327))*0.12</f>
        <v>7.790736</v>
      </c>
      <c r="T327" s="348"/>
      <c r="U327" s="348">
        <f t="shared" si="120"/>
        <v>210.6069584</v>
      </c>
      <c r="V327" s="348">
        <f t="shared" si="121"/>
        <v>78.417648</v>
      </c>
      <c r="W327" s="348">
        <f t="shared" si="122"/>
        <v>39.203824</v>
      </c>
      <c r="X327" s="348">
        <f t="shared" si="123"/>
        <v>29.405368</v>
      </c>
      <c r="Y327" s="348">
        <f t="shared" si="124"/>
        <v>1.8298456</v>
      </c>
      <c r="Z327" s="348">
        <f t="shared" si="125"/>
        <v>2.9395368</v>
      </c>
      <c r="AA327" s="348">
        <f t="shared" si="126"/>
        <v>58.810736</v>
      </c>
      <c r="AB327" s="348">
        <f t="shared" si="127"/>
        <v>0</v>
      </c>
      <c r="AC327" s="350"/>
    </row>
    <row r="328" ht="36" spans="1:29">
      <c r="A328" s="284" t="s">
        <v>540</v>
      </c>
      <c r="B328" s="284" t="s">
        <v>196</v>
      </c>
      <c r="C328" s="284" t="s">
        <v>615</v>
      </c>
      <c r="D328" s="284" t="s">
        <v>616</v>
      </c>
      <c r="E328" s="348">
        <f t="shared" si="118"/>
        <v>17.95</v>
      </c>
      <c r="F328" s="348">
        <v>6.91</v>
      </c>
      <c r="G328" s="348">
        <v>3.3</v>
      </c>
      <c r="H328" s="348">
        <v>2.47</v>
      </c>
      <c r="I328" s="348">
        <v>0.08</v>
      </c>
      <c r="J328" s="348">
        <v>0.25</v>
      </c>
      <c r="K328" s="348">
        <v>4.94</v>
      </c>
      <c r="L328" s="348"/>
      <c r="M328" s="348">
        <f t="shared" si="119"/>
        <v>-1.4732268</v>
      </c>
      <c r="N328" s="348">
        <f>(SUM('工资福利（公务员、参公人员）'!R328:T328)+SUM('工资福利（事业）'!V328:X328,'工资福利（事业）'!AB328))*0.16</f>
        <v>-0.52448</v>
      </c>
      <c r="O328" s="348">
        <f>(SUM('工资福利（公务员、参公人员）'!R328:S328)+SUM('工资福利（事业）'!V328:X328,'工资福利（事业）'!AB328))*0.08</f>
        <v>-0.283208</v>
      </c>
      <c r="P328" s="348">
        <f>(SUM('工资福利（公务员、参公人员）'!R328:S328)+SUM('工资福利（事业）'!V328:X328,'工资福利（事业）'!AB328))*0.06</f>
        <v>-0.212406</v>
      </c>
      <c r="Q328" s="348">
        <f>(SUM('工资福利（公务员、参公人员）'!R328:S328)+SUM('工资福利（事业）'!V328:X328,'工资福利（事业）'!AB328))*0.002</f>
        <v>-0.0070802</v>
      </c>
      <c r="R328" s="348">
        <f>(SUM('工资福利（公务员、参公人员）'!R328:S328)+SUM('工资福利（事业）'!V328:X328,'工资福利（事业）'!AB328))*0.006</f>
        <v>-0.0212406</v>
      </c>
      <c r="S328" s="348">
        <f>(SUM('工资福利（公务员、参公人员）'!R328:S328)+SUM('工资福利（事业）'!V328:X328,'工资福利（事业）'!AB328))*0.12</f>
        <v>-0.424812</v>
      </c>
      <c r="T328" s="348"/>
      <c r="U328" s="348">
        <f t="shared" si="120"/>
        <v>16.4767732</v>
      </c>
      <c r="V328" s="348">
        <f t="shared" si="121"/>
        <v>6.38552</v>
      </c>
      <c r="W328" s="348">
        <f t="shared" si="122"/>
        <v>3.016792</v>
      </c>
      <c r="X328" s="348">
        <f t="shared" si="123"/>
        <v>2.257594</v>
      </c>
      <c r="Y328" s="348">
        <f t="shared" si="124"/>
        <v>0.0729198</v>
      </c>
      <c r="Z328" s="348">
        <f t="shared" si="125"/>
        <v>0.2287594</v>
      </c>
      <c r="AA328" s="348">
        <f t="shared" si="126"/>
        <v>4.515188</v>
      </c>
      <c r="AB328" s="348">
        <f t="shared" si="127"/>
        <v>0</v>
      </c>
      <c r="AC328" s="350"/>
    </row>
    <row r="329" s="311" customFormat="1" ht="21" customHeight="1" spans="1:29">
      <c r="A329" s="328"/>
      <c r="B329" s="329" t="s">
        <v>751</v>
      </c>
      <c r="C329" s="329" t="s">
        <v>140</v>
      </c>
      <c r="D329" s="329">
        <v>212</v>
      </c>
      <c r="E329" s="358">
        <f t="shared" ref="E329:L329" si="128">SUM(E330:E344)</f>
        <v>356.58</v>
      </c>
      <c r="F329" s="358">
        <f t="shared" si="128"/>
        <v>134.51</v>
      </c>
      <c r="G329" s="358">
        <f t="shared" si="128"/>
        <v>66.16</v>
      </c>
      <c r="H329" s="358">
        <f t="shared" si="128"/>
        <v>49.61</v>
      </c>
      <c r="I329" s="358">
        <f t="shared" si="128"/>
        <v>1.66</v>
      </c>
      <c r="J329" s="358">
        <f t="shared" si="128"/>
        <v>4.96</v>
      </c>
      <c r="K329" s="358">
        <f t="shared" si="128"/>
        <v>99.25</v>
      </c>
      <c r="L329" s="358">
        <f t="shared" si="128"/>
        <v>0.43</v>
      </c>
      <c r="M329" s="358">
        <f t="shared" ref="M329:AB329" si="129">SUM(M330:M344)</f>
        <v>22.78642468</v>
      </c>
      <c r="N329" s="358">
        <f t="shared" si="129"/>
        <v>8.5182896</v>
      </c>
      <c r="O329" s="358">
        <f t="shared" si="129"/>
        <v>4.2591448</v>
      </c>
      <c r="P329" s="358">
        <f t="shared" si="129"/>
        <v>3.1943586</v>
      </c>
      <c r="Q329" s="358">
        <f t="shared" si="129"/>
        <v>0.10647862</v>
      </c>
      <c r="R329" s="358">
        <f t="shared" si="129"/>
        <v>0.31943586</v>
      </c>
      <c r="S329" s="358">
        <f t="shared" si="129"/>
        <v>6.3887172</v>
      </c>
      <c r="T329" s="358">
        <f t="shared" si="129"/>
        <v>0</v>
      </c>
      <c r="U329" s="358">
        <f t="shared" si="129"/>
        <v>379.36642468</v>
      </c>
      <c r="V329" s="358">
        <f t="shared" si="129"/>
        <v>143.0282896</v>
      </c>
      <c r="W329" s="358">
        <f t="shared" si="129"/>
        <v>70.4191448</v>
      </c>
      <c r="X329" s="358">
        <f t="shared" si="129"/>
        <v>52.8043586</v>
      </c>
      <c r="Y329" s="358">
        <f t="shared" si="129"/>
        <v>1.76647862</v>
      </c>
      <c r="Z329" s="358">
        <f t="shared" si="129"/>
        <v>5.27943586</v>
      </c>
      <c r="AA329" s="358">
        <f t="shared" si="129"/>
        <v>105.6387172</v>
      </c>
      <c r="AB329" s="358">
        <f t="shared" si="129"/>
        <v>0.43</v>
      </c>
      <c r="AC329" s="362"/>
    </row>
    <row r="330" ht="24" spans="1:29">
      <c r="A330" s="284" t="s">
        <v>290</v>
      </c>
      <c r="B330" s="284" t="s">
        <v>196</v>
      </c>
      <c r="C330" s="284" t="s">
        <v>617</v>
      </c>
      <c r="D330" s="284" t="s">
        <v>618</v>
      </c>
      <c r="E330" s="348">
        <f t="shared" ref="E330:E344" si="130">SUM(F330:L330)</f>
        <v>45.83</v>
      </c>
      <c r="F330" s="348">
        <v>17.65</v>
      </c>
      <c r="G330" s="348">
        <v>8.41</v>
      </c>
      <c r="H330" s="348">
        <v>6.31</v>
      </c>
      <c r="I330" s="348">
        <v>0.21</v>
      </c>
      <c r="J330" s="348">
        <v>0.63</v>
      </c>
      <c r="K330" s="348">
        <v>12.62</v>
      </c>
      <c r="L330" s="348"/>
      <c r="M330" s="348">
        <f t="shared" ref="M330:M344" si="131">SUM(N330:T330)</f>
        <v>-7.551418</v>
      </c>
      <c r="N330" s="348">
        <f>(SUM('工资福利（公务员、参公人员）'!R330:T330)+SUM('工资福利（事业）'!V330:X330,'工资福利（事业）'!AB330))*0.16</f>
        <v>-2.82296</v>
      </c>
      <c r="O330" s="348">
        <f>(SUM('工资福利（公务员、参公人员）'!R330:S330)+SUM('工资福利（事业）'!V330:X330,'工资福利（事业）'!AB330))*0.08</f>
        <v>-1.41148</v>
      </c>
      <c r="P330" s="348">
        <f>(SUM('工资福利（公务员、参公人员）'!R330:S330)+SUM('工资福利（事业）'!V330:X330,'工资福利（事业）'!AB330))*0.06</f>
        <v>-1.05861</v>
      </c>
      <c r="Q330" s="348">
        <f>(SUM('工资福利（公务员、参公人员）'!R330:S330)+SUM('工资福利（事业）'!V330:X330,'工资福利（事业）'!AB330))*0.002</f>
        <v>-0.035287</v>
      </c>
      <c r="R330" s="348">
        <f>(SUM('工资福利（公务员、参公人员）'!R330:S330)+SUM('工资福利（事业）'!V330:X330,'工资福利（事业）'!AB330))*0.006</f>
        <v>-0.105861</v>
      </c>
      <c r="S330" s="348">
        <f>(SUM('工资福利（公务员、参公人员）'!R330:S330)+SUM('工资福利（事业）'!V330:X330,'工资福利（事业）'!AB330))*0.12</f>
        <v>-2.11722</v>
      </c>
      <c r="T330" s="348"/>
      <c r="U330" s="348">
        <f t="shared" ref="U330:U344" si="132">SUM(V330:AB330)</f>
        <v>38.278582</v>
      </c>
      <c r="V330" s="348">
        <f t="shared" ref="V330:V344" si="133">F330+N330</f>
        <v>14.82704</v>
      </c>
      <c r="W330" s="348">
        <f t="shared" ref="W330:W344" si="134">G330+O330</f>
        <v>6.99852</v>
      </c>
      <c r="X330" s="348">
        <f t="shared" ref="X330:X344" si="135">H330+P330</f>
        <v>5.25139</v>
      </c>
      <c r="Y330" s="348">
        <f t="shared" ref="Y330:Y344" si="136">I330+Q330</f>
        <v>0.174713</v>
      </c>
      <c r="Z330" s="348">
        <f t="shared" ref="Z330:Z344" si="137">J330+R330</f>
        <v>0.524139</v>
      </c>
      <c r="AA330" s="348">
        <f t="shared" ref="AA330:AA344" si="138">K330+S330</f>
        <v>10.50278</v>
      </c>
      <c r="AB330" s="348">
        <f t="shared" ref="AB330:AB344" si="139">L330+T330</f>
        <v>0</v>
      </c>
      <c r="AC330" s="350"/>
    </row>
    <row r="331" ht="24" spans="1:29">
      <c r="A331" s="284" t="s">
        <v>290</v>
      </c>
      <c r="B331" s="284" t="s">
        <v>196</v>
      </c>
      <c r="C331" s="284" t="s">
        <v>619</v>
      </c>
      <c r="D331" s="284" t="s">
        <v>620</v>
      </c>
      <c r="E331" s="348">
        <f t="shared" si="130"/>
        <v>21.41</v>
      </c>
      <c r="F331" s="348">
        <v>8.25</v>
      </c>
      <c r="G331" s="348">
        <v>3.93</v>
      </c>
      <c r="H331" s="348">
        <v>2.95</v>
      </c>
      <c r="I331" s="348">
        <v>0.1</v>
      </c>
      <c r="J331" s="348">
        <v>0.29</v>
      </c>
      <c r="K331" s="348">
        <v>5.89</v>
      </c>
      <c r="L331" s="348"/>
      <c r="M331" s="348">
        <f t="shared" si="131"/>
        <v>2.19564</v>
      </c>
      <c r="N331" s="348">
        <f>(SUM('工资福利（公务员、参公人员）'!R331:T331)+SUM('工资福利（事业）'!V331:X331,'工资福利（事业）'!AB331))*0.16</f>
        <v>0.8208</v>
      </c>
      <c r="O331" s="348">
        <f>(SUM('工资福利（公务员、参公人员）'!R331:S331)+SUM('工资福利（事业）'!V331:X331,'工资福利（事业）'!AB331))*0.08</f>
        <v>0.4104</v>
      </c>
      <c r="P331" s="348">
        <f>(SUM('工资福利（公务员、参公人员）'!R331:S331)+SUM('工资福利（事业）'!V331:X331,'工资福利（事业）'!AB331))*0.06</f>
        <v>0.3078</v>
      </c>
      <c r="Q331" s="348">
        <f>(SUM('工资福利（公务员、参公人员）'!R331:S331)+SUM('工资福利（事业）'!V331:X331,'工资福利（事业）'!AB331))*0.002</f>
        <v>0.01026</v>
      </c>
      <c r="R331" s="348">
        <f>(SUM('工资福利（公务员、参公人员）'!R331:S331)+SUM('工资福利（事业）'!V331:X331,'工资福利（事业）'!AB331))*0.006</f>
        <v>0.03078</v>
      </c>
      <c r="S331" s="348">
        <f>(SUM('工资福利（公务员、参公人员）'!R331:S331)+SUM('工资福利（事业）'!V331:X331,'工资福利（事业）'!AB331))*0.12</f>
        <v>0.6156</v>
      </c>
      <c r="T331" s="348"/>
      <c r="U331" s="348">
        <f t="shared" si="132"/>
        <v>23.60564</v>
      </c>
      <c r="V331" s="348">
        <f t="shared" si="133"/>
        <v>9.0708</v>
      </c>
      <c r="W331" s="348">
        <f t="shared" si="134"/>
        <v>4.3404</v>
      </c>
      <c r="X331" s="348">
        <f t="shared" si="135"/>
        <v>3.2578</v>
      </c>
      <c r="Y331" s="348">
        <f t="shared" si="136"/>
        <v>0.11026</v>
      </c>
      <c r="Z331" s="348">
        <f t="shared" si="137"/>
        <v>0.32078</v>
      </c>
      <c r="AA331" s="348">
        <f t="shared" si="138"/>
        <v>6.5056</v>
      </c>
      <c r="AB331" s="348">
        <f t="shared" si="139"/>
        <v>0</v>
      </c>
      <c r="AC331" s="363"/>
    </row>
    <row r="332" ht="24" spans="1:29">
      <c r="A332" s="284" t="s">
        <v>290</v>
      </c>
      <c r="B332" s="284" t="s">
        <v>196</v>
      </c>
      <c r="C332" s="284" t="s">
        <v>622</v>
      </c>
      <c r="D332" s="284" t="s">
        <v>620</v>
      </c>
      <c r="E332" s="348">
        <f t="shared" si="130"/>
        <v>52.32</v>
      </c>
      <c r="F332" s="348">
        <v>20.16</v>
      </c>
      <c r="G332" s="348">
        <v>9.6</v>
      </c>
      <c r="H332" s="348">
        <v>7.2</v>
      </c>
      <c r="I332" s="348">
        <v>0.24</v>
      </c>
      <c r="J332" s="348">
        <v>0.72</v>
      </c>
      <c r="K332" s="348">
        <v>14.4</v>
      </c>
      <c r="L332" s="348"/>
      <c r="M332" s="348">
        <f t="shared" si="131"/>
        <v>3.9369152</v>
      </c>
      <c r="N332" s="348">
        <f>(SUM('工资福利（公务员、参公人员）'!R332:T332)+SUM('工资福利（事业）'!V332:X332,'工资福利（事业）'!AB332))*0.16</f>
        <v>1.471744</v>
      </c>
      <c r="O332" s="348">
        <f>(SUM('工资福利（公务员、参公人员）'!R332:S332)+SUM('工资福利（事业）'!V332:X332,'工资福利（事业）'!AB332))*0.08</f>
        <v>0.735872</v>
      </c>
      <c r="P332" s="348">
        <f>(SUM('工资福利（公务员、参公人员）'!R332:S332)+SUM('工资福利（事业）'!V332:X332,'工资福利（事业）'!AB332))*0.06</f>
        <v>0.551904</v>
      </c>
      <c r="Q332" s="348">
        <f>(SUM('工资福利（公务员、参公人员）'!R332:S332)+SUM('工资福利（事业）'!V332:X332,'工资福利（事业）'!AB332))*0.002</f>
        <v>0.0183968</v>
      </c>
      <c r="R332" s="348">
        <f>(SUM('工资福利（公务员、参公人员）'!R332:S332)+SUM('工资福利（事业）'!V332:X332,'工资福利（事业）'!AB332))*0.006</f>
        <v>0.0551904</v>
      </c>
      <c r="S332" s="348">
        <f>(SUM('工资福利（公务员、参公人员）'!R332:S332)+SUM('工资福利（事业）'!V332:X332,'工资福利（事业）'!AB332))*0.12</f>
        <v>1.103808</v>
      </c>
      <c r="T332" s="348"/>
      <c r="U332" s="348">
        <f t="shared" si="132"/>
        <v>56.2569152</v>
      </c>
      <c r="V332" s="348">
        <f t="shared" si="133"/>
        <v>21.631744</v>
      </c>
      <c r="W332" s="348">
        <f t="shared" si="134"/>
        <v>10.335872</v>
      </c>
      <c r="X332" s="348">
        <f t="shared" si="135"/>
        <v>7.751904</v>
      </c>
      <c r="Y332" s="348">
        <f t="shared" si="136"/>
        <v>0.2583968</v>
      </c>
      <c r="Z332" s="348">
        <f t="shared" si="137"/>
        <v>0.7751904</v>
      </c>
      <c r="AA332" s="348">
        <f t="shared" si="138"/>
        <v>15.503808</v>
      </c>
      <c r="AB332" s="348">
        <f t="shared" si="139"/>
        <v>0</v>
      </c>
      <c r="AC332" s="350"/>
    </row>
    <row r="333" ht="24" spans="1:29">
      <c r="A333" s="284" t="s">
        <v>290</v>
      </c>
      <c r="B333" s="284" t="s">
        <v>199</v>
      </c>
      <c r="C333" s="284" t="s">
        <v>623</v>
      </c>
      <c r="D333" s="284" t="s">
        <v>620</v>
      </c>
      <c r="E333" s="348">
        <f t="shared" si="130"/>
        <v>59.81</v>
      </c>
      <c r="F333" s="348">
        <v>22.36</v>
      </c>
      <c r="G333" s="348">
        <v>11.18</v>
      </c>
      <c r="H333" s="348">
        <v>8.38</v>
      </c>
      <c r="I333" s="348">
        <v>0.28</v>
      </c>
      <c r="J333" s="348">
        <v>0.84</v>
      </c>
      <c r="K333" s="348">
        <v>16.77</v>
      </c>
      <c r="L333" s="348"/>
      <c r="M333" s="348">
        <f t="shared" si="131"/>
        <v>3.6701428</v>
      </c>
      <c r="N333" s="348">
        <f>(SUM('工资福利（公务员、参公人员）'!R333:T333)+SUM('工资福利（事业）'!V333:X333,'工资福利（事业）'!AB333))*0.16</f>
        <v>1.372016</v>
      </c>
      <c r="O333" s="348">
        <f>(SUM('工资福利（公务员、参公人员）'!R333:S333)+SUM('工资福利（事业）'!V333:X333,'工资福利（事业）'!AB333))*0.08</f>
        <v>0.686008</v>
      </c>
      <c r="P333" s="348">
        <f>(SUM('工资福利（公务员、参公人员）'!R333:S333)+SUM('工资福利（事业）'!V333:X333,'工资福利（事业）'!AB333))*0.06</f>
        <v>0.514506</v>
      </c>
      <c r="Q333" s="348">
        <f>(SUM('工资福利（公务员、参公人员）'!R333:S333)+SUM('工资福利（事业）'!V333:X333,'工资福利（事业）'!AB333))*0.002</f>
        <v>0.0171502</v>
      </c>
      <c r="R333" s="348">
        <f>(SUM('工资福利（公务员、参公人员）'!R333:S333)+SUM('工资福利（事业）'!V333:X333,'工资福利（事业）'!AB333))*0.006</f>
        <v>0.0514506</v>
      </c>
      <c r="S333" s="348">
        <f>(SUM('工资福利（公务员、参公人员）'!R333:S333)+SUM('工资福利（事业）'!V333:X333,'工资福利（事业）'!AB333))*0.12</f>
        <v>1.029012</v>
      </c>
      <c r="T333" s="348"/>
      <c r="U333" s="348">
        <f t="shared" si="132"/>
        <v>63.4801428</v>
      </c>
      <c r="V333" s="348">
        <f t="shared" si="133"/>
        <v>23.732016</v>
      </c>
      <c r="W333" s="348">
        <f t="shared" si="134"/>
        <v>11.866008</v>
      </c>
      <c r="X333" s="348">
        <f t="shared" si="135"/>
        <v>8.894506</v>
      </c>
      <c r="Y333" s="348">
        <f t="shared" si="136"/>
        <v>0.2971502</v>
      </c>
      <c r="Z333" s="348">
        <f t="shared" si="137"/>
        <v>0.8914506</v>
      </c>
      <c r="AA333" s="348">
        <f t="shared" si="138"/>
        <v>17.799012</v>
      </c>
      <c r="AB333" s="348">
        <f t="shared" si="139"/>
        <v>0</v>
      </c>
      <c r="AC333" s="350"/>
    </row>
    <row r="334" ht="24" spans="1:29">
      <c r="A334" s="284" t="s">
        <v>290</v>
      </c>
      <c r="B334" s="284" t="s">
        <v>199</v>
      </c>
      <c r="C334" s="284" t="s">
        <v>624</v>
      </c>
      <c r="D334" s="284" t="s">
        <v>620</v>
      </c>
      <c r="E334" s="348">
        <f t="shared" si="130"/>
        <v>6.15</v>
      </c>
      <c r="F334" s="348">
        <v>2.3</v>
      </c>
      <c r="G334" s="348">
        <v>1.15</v>
      </c>
      <c r="H334" s="348">
        <v>0.86</v>
      </c>
      <c r="I334" s="348">
        <v>0.03</v>
      </c>
      <c r="J334" s="348">
        <v>0.09</v>
      </c>
      <c r="K334" s="348">
        <v>1.72</v>
      </c>
      <c r="L334" s="348"/>
      <c r="M334" s="348">
        <f t="shared" si="131"/>
        <v>1.75623808</v>
      </c>
      <c r="N334" s="348">
        <f>(SUM('工资福利（公务员、参公人员）'!R334:T334)+SUM('工资福利（事业）'!V334:X334,'工资福利（事业）'!AB334))*0.16</f>
        <v>0.6565376</v>
      </c>
      <c r="O334" s="348">
        <f>(SUM('工资福利（公务员、参公人员）'!R334:S334)+SUM('工资福利（事业）'!V334:X334,'工资福利（事业）'!AB334))*0.08</f>
        <v>0.3282688</v>
      </c>
      <c r="P334" s="348">
        <f>(SUM('工资福利（公务员、参公人员）'!R334:S334)+SUM('工资福利（事业）'!V334:X334,'工资福利（事业）'!AB334))*0.06</f>
        <v>0.2462016</v>
      </c>
      <c r="Q334" s="348">
        <f>(SUM('工资福利（公务员、参公人员）'!R334:S334)+SUM('工资福利（事业）'!V334:X334,'工资福利（事业）'!AB334))*0.002</f>
        <v>0.00820672</v>
      </c>
      <c r="R334" s="348">
        <f>(SUM('工资福利（公务员、参公人员）'!R334:S334)+SUM('工资福利（事业）'!V334:X334,'工资福利（事业）'!AB334))*0.006</f>
        <v>0.02462016</v>
      </c>
      <c r="S334" s="348">
        <f>(SUM('工资福利（公务员、参公人员）'!R334:S334)+SUM('工资福利（事业）'!V334:X334,'工资福利（事业）'!AB334))*0.12</f>
        <v>0.4924032</v>
      </c>
      <c r="T334" s="348"/>
      <c r="U334" s="348">
        <f t="shared" si="132"/>
        <v>7.90623808</v>
      </c>
      <c r="V334" s="348">
        <f t="shared" si="133"/>
        <v>2.9565376</v>
      </c>
      <c r="W334" s="348">
        <f t="shared" si="134"/>
        <v>1.4782688</v>
      </c>
      <c r="X334" s="348">
        <f t="shared" si="135"/>
        <v>1.1062016</v>
      </c>
      <c r="Y334" s="348">
        <f t="shared" si="136"/>
        <v>0.03820672</v>
      </c>
      <c r="Z334" s="348">
        <f t="shared" si="137"/>
        <v>0.11462016</v>
      </c>
      <c r="AA334" s="348">
        <f t="shared" si="138"/>
        <v>2.2124032</v>
      </c>
      <c r="AB334" s="348">
        <f t="shared" si="139"/>
        <v>0</v>
      </c>
      <c r="AC334" s="350"/>
    </row>
    <row r="335" ht="24" spans="1:29">
      <c r="A335" s="284" t="s">
        <v>290</v>
      </c>
      <c r="B335" s="284" t="s">
        <v>199</v>
      </c>
      <c r="C335" s="284" t="s">
        <v>625</v>
      </c>
      <c r="D335" s="284" t="s">
        <v>620</v>
      </c>
      <c r="E335" s="348">
        <f t="shared" si="130"/>
        <v>9.95</v>
      </c>
      <c r="F335" s="348">
        <v>3.72</v>
      </c>
      <c r="G335" s="348">
        <v>1.86</v>
      </c>
      <c r="H335" s="348">
        <v>1.39</v>
      </c>
      <c r="I335" s="348">
        <v>0.05</v>
      </c>
      <c r="J335" s="348">
        <v>0.14</v>
      </c>
      <c r="K335" s="348">
        <v>2.79</v>
      </c>
      <c r="L335" s="348"/>
      <c r="M335" s="348">
        <f t="shared" si="131"/>
        <v>3.468298</v>
      </c>
      <c r="N335" s="348">
        <f>(SUM('工资福利（公务员、参公人员）'!R335:T335)+SUM('工资福利（事业）'!V335:X335,'工资福利（事业）'!AB335))*0.16</f>
        <v>1.29656</v>
      </c>
      <c r="O335" s="348">
        <f>(SUM('工资福利（公务员、参公人员）'!R335:S335)+SUM('工资福利（事业）'!V335:X335,'工资福利（事业）'!AB335))*0.08</f>
        <v>0.64828</v>
      </c>
      <c r="P335" s="348">
        <f>(SUM('工资福利（公务员、参公人员）'!R335:S335)+SUM('工资福利（事业）'!V335:X335,'工资福利（事业）'!AB335))*0.06</f>
        <v>0.48621</v>
      </c>
      <c r="Q335" s="348">
        <f>(SUM('工资福利（公务员、参公人员）'!R335:S335)+SUM('工资福利（事业）'!V335:X335,'工资福利（事业）'!AB335))*0.002</f>
        <v>0.016207</v>
      </c>
      <c r="R335" s="348">
        <f>(SUM('工资福利（公务员、参公人员）'!R335:S335)+SUM('工资福利（事业）'!V335:X335,'工资福利（事业）'!AB335))*0.006</f>
        <v>0.048621</v>
      </c>
      <c r="S335" s="348">
        <f>(SUM('工资福利（公务员、参公人员）'!R335:S335)+SUM('工资福利（事业）'!V335:X335,'工资福利（事业）'!AB335))*0.12</f>
        <v>0.97242</v>
      </c>
      <c r="T335" s="348"/>
      <c r="U335" s="348">
        <f t="shared" si="132"/>
        <v>13.418298</v>
      </c>
      <c r="V335" s="348">
        <f t="shared" si="133"/>
        <v>5.01656</v>
      </c>
      <c r="W335" s="348">
        <f t="shared" si="134"/>
        <v>2.50828</v>
      </c>
      <c r="X335" s="348">
        <f t="shared" si="135"/>
        <v>1.87621</v>
      </c>
      <c r="Y335" s="348">
        <f t="shared" si="136"/>
        <v>0.066207</v>
      </c>
      <c r="Z335" s="348">
        <f t="shared" si="137"/>
        <v>0.188621</v>
      </c>
      <c r="AA335" s="348">
        <f t="shared" si="138"/>
        <v>3.76242</v>
      </c>
      <c r="AB335" s="348">
        <f t="shared" si="139"/>
        <v>0</v>
      </c>
      <c r="AC335" s="350"/>
    </row>
    <row r="336" ht="48" spans="1:29">
      <c r="A336" s="284" t="s">
        <v>290</v>
      </c>
      <c r="B336" s="284" t="s">
        <v>199</v>
      </c>
      <c r="C336" s="284" t="s">
        <v>626</v>
      </c>
      <c r="D336" s="284" t="s">
        <v>627</v>
      </c>
      <c r="E336" s="348">
        <f t="shared" si="130"/>
        <v>19.69</v>
      </c>
      <c r="F336" s="348">
        <v>7.36</v>
      </c>
      <c r="G336" s="348">
        <v>3.68</v>
      </c>
      <c r="H336" s="348">
        <v>2.76</v>
      </c>
      <c r="I336" s="348">
        <v>0.09</v>
      </c>
      <c r="J336" s="348">
        <v>0.28</v>
      </c>
      <c r="K336" s="348">
        <v>5.52</v>
      </c>
      <c r="L336" s="348"/>
      <c r="M336" s="348">
        <f t="shared" si="131"/>
        <v>1.2414996</v>
      </c>
      <c r="N336" s="348">
        <f>(SUM('工资福利（公务员、参公人员）'!R336:T336)+SUM('工资福利（事业）'!V336:X336,'工资福利（事业）'!AB336))*0.16</f>
        <v>0.464112</v>
      </c>
      <c r="O336" s="348">
        <f>(SUM('工资福利（公务员、参公人员）'!R336:S336)+SUM('工资福利（事业）'!V336:X336,'工资福利（事业）'!AB336))*0.08</f>
        <v>0.232056</v>
      </c>
      <c r="P336" s="348">
        <f>(SUM('工资福利（公务员、参公人员）'!R336:S336)+SUM('工资福利（事业）'!V336:X336,'工资福利（事业）'!AB336))*0.06</f>
        <v>0.174042</v>
      </c>
      <c r="Q336" s="348">
        <f>(SUM('工资福利（公务员、参公人员）'!R336:S336)+SUM('工资福利（事业）'!V336:X336,'工资福利（事业）'!AB336))*0.002</f>
        <v>0.0058014</v>
      </c>
      <c r="R336" s="348">
        <f>(SUM('工资福利（公务员、参公人员）'!R336:S336)+SUM('工资福利（事业）'!V336:X336,'工资福利（事业）'!AB336))*0.006</f>
        <v>0.0174042</v>
      </c>
      <c r="S336" s="348">
        <f>(SUM('工资福利（公务员、参公人员）'!R336:S336)+SUM('工资福利（事业）'!V336:X336,'工资福利（事业）'!AB336))*0.12</f>
        <v>0.348084</v>
      </c>
      <c r="T336" s="348"/>
      <c r="U336" s="348">
        <f t="shared" si="132"/>
        <v>20.9314996</v>
      </c>
      <c r="V336" s="348">
        <f t="shared" si="133"/>
        <v>7.824112</v>
      </c>
      <c r="W336" s="348">
        <f t="shared" si="134"/>
        <v>3.912056</v>
      </c>
      <c r="X336" s="348">
        <f t="shared" si="135"/>
        <v>2.934042</v>
      </c>
      <c r="Y336" s="348">
        <f t="shared" si="136"/>
        <v>0.0958014</v>
      </c>
      <c r="Z336" s="348">
        <f t="shared" si="137"/>
        <v>0.2974042</v>
      </c>
      <c r="AA336" s="348">
        <f t="shared" si="138"/>
        <v>5.868084</v>
      </c>
      <c r="AB336" s="348">
        <f t="shared" si="139"/>
        <v>0</v>
      </c>
      <c r="AC336" s="350"/>
    </row>
    <row r="337" ht="48" spans="1:29">
      <c r="A337" s="284" t="s">
        <v>290</v>
      </c>
      <c r="B337" s="284" t="s">
        <v>199</v>
      </c>
      <c r="C337" s="284" t="s">
        <v>628</v>
      </c>
      <c r="D337" s="284" t="s">
        <v>629</v>
      </c>
      <c r="E337" s="348">
        <f t="shared" si="130"/>
        <v>8.02</v>
      </c>
      <c r="F337" s="348">
        <v>3</v>
      </c>
      <c r="G337" s="348">
        <v>1.5</v>
      </c>
      <c r="H337" s="348">
        <v>1.12</v>
      </c>
      <c r="I337" s="348">
        <v>0.04</v>
      </c>
      <c r="J337" s="348">
        <v>0.11</v>
      </c>
      <c r="K337" s="348">
        <v>2.25</v>
      </c>
      <c r="L337" s="348"/>
      <c r="M337" s="348">
        <f t="shared" si="131"/>
        <v>0.4785468</v>
      </c>
      <c r="N337" s="348">
        <f>(SUM('工资福利（公务员、参公人员）'!R337:T337)+SUM('工资福利（事业）'!V337:X337,'工资福利（事业）'!AB337))*0.16</f>
        <v>0.178896</v>
      </c>
      <c r="O337" s="348">
        <f>(SUM('工资福利（公务员、参公人员）'!R337:S337)+SUM('工资福利（事业）'!V337:X337,'工资福利（事业）'!AB337))*0.08</f>
        <v>0.089448</v>
      </c>
      <c r="P337" s="348">
        <f>(SUM('工资福利（公务员、参公人员）'!R337:S337)+SUM('工资福利（事业）'!V337:X337,'工资福利（事业）'!AB337))*0.06</f>
        <v>0.067086</v>
      </c>
      <c r="Q337" s="348">
        <f>(SUM('工资福利（公务员、参公人员）'!R337:S337)+SUM('工资福利（事业）'!V337:X337,'工资福利（事业）'!AB337))*0.002</f>
        <v>0.0022362</v>
      </c>
      <c r="R337" s="348">
        <f>(SUM('工资福利（公务员、参公人员）'!R337:S337)+SUM('工资福利（事业）'!V337:X337,'工资福利（事业）'!AB337))*0.006</f>
        <v>0.0067086</v>
      </c>
      <c r="S337" s="348">
        <f>(SUM('工资福利（公务员、参公人员）'!R337:S337)+SUM('工资福利（事业）'!V337:X337,'工资福利（事业）'!AB337))*0.12</f>
        <v>0.134172</v>
      </c>
      <c r="T337" s="348"/>
      <c r="U337" s="348">
        <f t="shared" si="132"/>
        <v>8.4985468</v>
      </c>
      <c r="V337" s="348">
        <f t="shared" si="133"/>
        <v>3.178896</v>
      </c>
      <c r="W337" s="348">
        <f t="shared" si="134"/>
        <v>1.589448</v>
      </c>
      <c r="X337" s="348">
        <f t="shared" si="135"/>
        <v>1.187086</v>
      </c>
      <c r="Y337" s="348">
        <f t="shared" si="136"/>
        <v>0.0422362</v>
      </c>
      <c r="Z337" s="348">
        <f t="shared" si="137"/>
        <v>0.1167086</v>
      </c>
      <c r="AA337" s="348">
        <f t="shared" si="138"/>
        <v>2.384172</v>
      </c>
      <c r="AB337" s="348">
        <f t="shared" si="139"/>
        <v>0</v>
      </c>
      <c r="AC337" s="350"/>
    </row>
    <row r="338" ht="48" spans="1:29">
      <c r="A338" s="284" t="s">
        <v>290</v>
      </c>
      <c r="B338" s="284" t="s">
        <v>199</v>
      </c>
      <c r="C338" s="284" t="s">
        <v>630</v>
      </c>
      <c r="D338" s="284" t="s">
        <v>629</v>
      </c>
      <c r="E338" s="348">
        <f t="shared" si="130"/>
        <v>17.65</v>
      </c>
      <c r="F338" s="348">
        <v>6.6</v>
      </c>
      <c r="G338" s="348">
        <v>3.3</v>
      </c>
      <c r="H338" s="348">
        <v>2.47</v>
      </c>
      <c r="I338" s="348">
        <v>0.08</v>
      </c>
      <c r="J338" s="348">
        <v>0.25</v>
      </c>
      <c r="K338" s="348">
        <v>4.95</v>
      </c>
      <c r="L338" s="348"/>
      <c r="M338" s="348">
        <f t="shared" si="131"/>
        <v>4.32708</v>
      </c>
      <c r="N338" s="348">
        <f>(SUM('工资福利（公务员、参公人员）'!R338:T338)+SUM('工资福利（事业）'!V338:X338,'工资福利（事业）'!AB338))*0.16</f>
        <v>1.6176</v>
      </c>
      <c r="O338" s="348">
        <f>(SUM('工资福利（公务员、参公人员）'!R338:S338)+SUM('工资福利（事业）'!V338:X338,'工资福利（事业）'!AB338))*0.08</f>
        <v>0.8088</v>
      </c>
      <c r="P338" s="348">
        <f>(SUM('工资福利（公务员、参公人员）'!R338:S338)+SUM('工资福利（事业）'!V338:X338,'工资福利（事业）'!AB338))*0.06</f>
        <v>0.6066</v>
      </c>
      <c r="Q338" s="348">
        <f>(SUM('工资福利（公务员、参公人员）'!R338:S338)+SUM('工资福利（事业）'!V338:X338,'工资福利（事业）'!AB338))*0.002</f>
        <v>0.02022</v>
      </c>
      <c r="R338" s="348">
        <f>(SUM('工资福利（公务员、参公人员）'!R338:S338)+SUM('工资福利（事业）'!V338:X338,'工资福利（事业）'!AB338))*0.006</f>
        <v>0.06066</v>
      </c>
      <c r="S338" s="348">
        <f>(SUM('工资福利（公务员、参公人员）'!R338:S338)+SUM('工资福利（事业）'!V338:X338,'工资福利（事业）'!AB338))*0.12</f>
        <v>1.2132</v>
      </c>
      <c r="T338" s="348"/>
      <c r="U338" s="348">
        <f t="shared" si="132"/>
        <v>21.97708</v>
      </c>
      <c r="V338" s="348">
        <f t="shared" si="133"/>
        <v>8.2176</v>
      </c>
      <c r="W338" s="348">
        <f t="shared" si="134"/>
        <v>4.1088</v>
      </c>
      <c r="X338" s="348">
        <f t="shared" si="135"/>
        <v>3.0766</v>
      </c>
      <c r="Y338" s="348">
        <f t="shared" si="136"/>
        <v>0.10022</v>
      </c>
      <c r="Z338" s="348">
        <f t="shared" si="137"/>
        <v>0.31066</v>
      </c>
      <c r="AA338" s="348">
        <f t="shared" si="138"/>
        <v>6.1632</v>
      </c>
      <c r="AB338" s="348">
        <f t="shared" si="139"/>
        <v>0</v>
      </c>
      <c r="AC338" s="350"/>
    </row>
    <row r="339" ht="48" spans="1:29">
      <c r="A339" s="284" t="s">
        <v>290</v>
      </c>
      <c r="B339" s="284" t="s">
        <v>199</v>
      </c>
      <c r="C339" s="284" t="s">
        <v>631</v>
      </c>
      <c r="D339" s="284" t="s">
        <v>629</v>
      </c>
      <c r="E339" s="348">
        <f t="shared" si="130"/>
        <v>15.38</v>
      </c>
      <c r="F339" s="348">
        <v>5.59</v>
      </c>
      <c r="G339" s="348">
        <v>2.79</v>
      </c>
      <c r="H339" s="348">
        <v>2.1</v>
      </c>
      <c r="I339" s="348">
        <v>0.07</v>
      </c>
      <c r="J339" s="348">
        <v>0.21</v>
      </c>
      <c r="K339" s="348">
        <v>4.19</v>
      </c>
      <c r="L339" s="348">
        <v>0.43</v>
      </c>
      <c r="M339" s="348">
        <f t="shared" si="131"/>
        <v>1.9315854</v>
      </c>
      <c r="N339" s="348">
        <f>(SUM('工资福利（公务员、参公人员）'!R339:T339)+SUM('工资福利（事业）'!V339:X339,'工资福利（事业）'!AB339))*0.16</f>
        <v>0.722088</v>
      </c>
      <c r="O339" s="348">
        <f>(SUM('工资福利（公务员、参公人员）'!R339:S339)+SUM('工资福利（事业）'!V339:X339,'工资福利（事业）'!AB339))*0.08</f>
        <v>0.361044</v>
      </c>
      <c r="P339" s="348">
        <f>(SUM('工资福利（公务员、参公人员）'!R339:S339)+SUM('工资福利（事业）'!V339:X339,'工资福利（事业）'!AB339))*0.06</f>
        <v>0.270783</v>
      </c>
      <c r="Q339" s="348">
        <f>(SUM('工资福利（公务员、参公人员）'!R339:S339)+SUM('工资福利（事业）'!V339:X339,'工资福利（事业）'!AB339))*0.002</f>
        <v>0.0090261</v>
      </c>
      <c r="R339" s="348">
        <f>(SUM('工资福利（公务员、参公人员）'!R339:S339)+SUM('工资福利（事业）'!V339:X339,'工资福利（事业）'!AB339))*0.006</f>
        <v>0.0270783</v>
      </c>
      <c r="S339" s="348">
        <f>(SUM('工资福利（公务员、参公人员）'!R339:S339)+SUM('工资福利（事业）'!V339:X339,'工资福利（事业）'!AB339))*0.12</f>
        <v>0.541566</v>
      </c>
      <c r="T339" s="348"/>
      <c r="U339" s="348">
        <f t="shared" si="132"/>
        <v>17.3115854</v>
      </c>
      <c r="V339" s="348">
        <f t="shared" si="133"/>
        <v>6.312088</v>
      </c>
      <c r="W339" s="348">
        <f t="shared" si="134"/>
        <v>3.151044</v>
      </c>
      <c r="X339" s="348">
        <f t="shared" si="135"/>
        <v>2.370783</v>
      </c>
      <c r="Y339" s="348">
        <f t="shared" si="136"/>
        <v>0.0790261</v>
      </c>
      <c r="Z339" s="348">
        <f t="shared" si="137"/>
        <v>0.2370783</v>
      </c>
      <c r="AA339" s="348">
        <f t="shared" si="138"/>
        <v>4.731566</v>
      </c>
      <c r="AB339" s="348">
        <f t="shared" si="139"/>
        <v>0.43</v>
      </c>
      <c r="AC339" s="350"/>
    </row>
    <row r="340" ht="36" spans="1:29">
      <c r="A340" s="284" t="s">
        <v>290</v>
      </c>
      <c r="B340" s="284" t="s">
        <v>199</v>
      </c>
      <c r="C340" s="284" t="s">
        <v>632</v>
      </c>
      <c r="D340" s="284" t="s">
        <v>633</v>
      </c>
      <c r="E340" s="348">
        <f t="shared" si="130"/>
        <v>38.44</v>
      </c>
      <c r="F340" s="348">
        <v>14.37</v>
      </c>
      <c r="G340" s="348">
        <v>7.18</v>
      </c>
      <c r="H340" s="348">
        <v>5.39</v>
      </c>
      <c r="I340" s="348">
        <v>0.18</v>
      </c>
      <c r="J340" s="348">
        <v>0.54</v>
      </c>
      <c r="K340" s="348">
        <v>10.78</v>
      </c>
      <c r="L340" s="348"/>
      <c r="M340" s="348">
        <f t="shared" si="131"/>
        <v>3.3812</v>
      </c>
      <c r="N340" s="348">
        <f>(SUM('工资福利（公务员、参公人员）'!R340:T340)+SUM('工资福利（事业）'!V340:X340,'工资福利（事业）'!AB340))*0.16</f>
        <v>1.264</v>
      </c>
      <c r="O340" s="348">
        <f>(SUM('工资福利（公务员、参公人员）'!R340:S340)+SUM('工资福利（事业）'!V340:X340,'工资福利（事业）'!AB340))*0.08</f>
        <v>0.632</v>
      </c>
      <c r="P340" s="348">
        <f>(SUM('工资福利（公务员、参公人员）'!R340:S340)+SUM('工资福利（事业）'!V340:X340,'工资福利（事业）'!AB340))*0.06</f>
        <v>0.474</v>
      </c>
      <c r="Q340" s="348">
        <f>(SUM('工资福利（公务员、参公人员）'!R340:S340)+SUM('工资福利（事业）'!V340:X340,'工资福利（事业）'!AB340))*0.002</f>
        <v>0.0158</v>
      </c>
      <c r="R340" s="348">
        <f>(SUM('工资福利（公务员、参公人员）'!R340:S340)+SUM('工资福利（事业）'!V340:X340,'工资福利（事业）'!AB340))*0.006</f>
        <v>0.0474</v>
      </c>
      <c r="S340" s="348">
        <f>(SUM('工资福利（公务员、参公人员）'!R340:S340)+SUM('工资福利（事业）'!V340:X340,'工资福利（事业）'!AB340))*0.12</f>
        <v>0.948</v>
      </c>
      <c r="T340" s="348"/>
      <c r="U340" s="348">
        <f t="shared" si="132"/>
        <v>41.8212</v>
      </c>
      <c r="V340" s="348">
        <f t="shared" si="133"/>
        <v>15.634</v>
      </c>
      <c r="W340" s="348">
        <f t="shared" si="134"/>
        <v>7.812</v>
      </c>
      <c r="X340" s="348">
        <f t="shared" si="135"/>
        <v>5.864</v>
      </c>
      <c r="Y340" s="348">
        <f t="shared" si="136"/>
        <v>0.1958</v>
      </c>
      <c r="Z340" s="348">
        <f t="shared" si="137"/>
        <v>0.5874</v>
      </c>
      <c r="AA340" s="348">
        <f t="shared" si="138"/>
        <v>11.728</v>
      </c>
      <c r="AB340" s="348">
        <f t="shared" si="139"/>
        <v>0</v>
      </c>
      <c r="AC340" s="350"/>
    </row>
    <row r="341" ht="36" spans="1:29">
      <c r="A341" s="284" t="s">
        <v>290</v>
      </c>
      <c r="B341" s="284" t="s">
        <v>199</v>
      </c>
      <c r="C341" s="284" t="s">
        <v>634</v>
      </c>
      <c r="D341" s="284" t="s">
        <v>635</v>
      </c>
      <c r="E341" s="348">
        <f t="shared" si="130"/>
        <v>15.09</v>
      </c>
      <c r="F341" s="348">
        <v>5.64</v>
      </c>
      <c r="G341" s="348">
        <v>2.82</v>
      </c>
      <c r="H341" s="348">
        <v>2.12</v>
      </c>
      <c r="I341" s="348">
        <v>0.07</v>
      </c>
      <c r="J341" s="348">
        <v>0.21</v>
      </c>
      <c r="K341" s="348">
        <v>4.23</v>
      </c>
      <c r="L341" s="348"/>
      <c r="M341" s="348">
        <f t="shared" si="131"/>
        <v>3.2101284</v>
      </c>
      <c r="N341" s="348">
        <f>(SUM('工资福利（公务员、参公人员）'!R341:T341)+SUM('工资福利（事业）'!V341:X341,'工资福利（事业）'!AB341))*0.16</f>
        <v>1.200048</v>
      </c>
      <c r="O341" s="348">
        <f>(SUM('工资福利（公务员、参公人员）'!R341:S341)+SUM('工资福利（事业）'!V341:X341,'工资福利（事业）'!AB341))*0.08</f>
        <v>0.600024</v>
      </c>
      <c r="P341" s="348">
        <f>(SUM('工资福利（公务员、参公人员）'!R341:S341)+SUM('工资福利（事业）'!V341:X341,'工资福利（事业）'!AB341))*0.06</f>
        <v>0.450018</v>
      </c>
      <c r="Q341" s="348">
        <f>(SUM('工资福利（公务员、参公人员）'!R341:S341)+SUM('工资福利（事业）'!V341:X341,'工资福利（事业）'!AB341))*0.002</f>
        <v>0.0150006</v>
      </c>
      <c r="R341" s="348">
        <f>(SUM('工资福利（公务员、参公人员）'!R341:S341)+SUM('工资福利（事业）'!V341:X341,'工资福利（事业）'!AB341))*0.006</f>
        <v>0.0450018</v>
      </c>
      <c r="S341" s="348">
        <f>(SUM('工资福利（公务员、参公人员）'!R341:S341)+SUM('工资福利（事业）'!V341:X341,'工资福利（事业）'!AB341))*0.12</f>
        <v>0.900036</v>
      </c>
      <c r="T341" s="348"/>
      <c r="U341" s="348">
        <f t="shared" si="132"/>
        <v>18.3001284</v>
      </c>
      <c r="V341" s="348">
        <f t="shared" si="133"/>
        <v>6.840048</v>
      </c>
      <c r="W341" s="348">
        <f t="shared" si="134"/>
        <v>3.420024</v>
      </c>
      <c r="X341" s="348">
        <f t="shared" si="135"/>
        <v>2.570018</v>
      </c>
      <c r="Y341" s="348">
        <f t="shared" si="136"/>
        <v>0.0850006</v>
      </c>
      <c r="Z341" s="348">
        <f t="shared" si="137"/>
        <v>0.2550018</v>
      </c>
      <c r="AA341" s="348">
        <f t="shared" si="138"/>
        <v>5.130036</v>
      </c>
      <c r="AB341" s="348">
        <f t="shared" si="139"/>
        <v>0</v>
      </c>
      <c r="AC341" s="350"/>
    </row>
    <row r="342" ht="36" spans="1:29">
      <c r="A342" s="284" t="s">
        <v>290</v>
      </c>
      <c r="B342" s="284" t="s">
        <v>199</v>
      </c>
      <c r="C342" s="284" t="s">
        <v>636</v>
      </c>
      <c r="D342" s="284" t="s">
        <v>635</v>
      </c>
      <c r="E342" s="348">
        <f t="shared" si="130"/>
        <v>14.23</v>
      </c>
      <c r="F342" s="348">
        <v>5.32</v>
      </c>
      <c r="G342" s="348">
        <v>2.66</v>
      </c>
      <c r="H342" s="348">
        <v>1.99</v>
      </c>
      <c r="I342" s="348">
        <v>0.07</v>
      </c>
      <c r="J342" s="348">
        <v>0.2</v>
      </c>
      <c r="K342" s="348">
        <v>3.99</v>
      </c>
      <c r="L342" s="348"/>
      <c r="M342" s="348">
        <f t="shared" si="131"/>
        <v>1.3490988</v>
      </c>
      <c r="N342" s="348">
        <f>(SUM('工资福利（公务员、参公人员）'!R342:T342)+SUM('工资福利（事业）'!V342:X342,'工资福利（事业）'!AB342))*0.16</f>
        <v>0.504336</v>
      </c>
      <c r="O342" s="348">
        <f>(SUM('工资福利（公务员、参公人员）'!R342:S342)+SUM('工资福利（事业）'!V342:X342,'工资福利（事业）'!AB342))*0.08</f>
        <v>0.252168</v>
      </c>
      <c r="P342" s="348">
        <f>(SUM('工资福利（公务员、参公人员）'!R342:S342)+SUM('工资福利（事业）'!V342:X342,'工资福利（事业）'!AB342))*0.06</f>
        <v>0.189126</v>
      </c>
      <c r="Q342" s="348">
        <f>(SUM('工资福利（公务员、参公人员）'!R342:S342)+SUM('工资福利（事业）'!V342:X342,'工资福利（事业）'!AB342))*0.002</f>
        <v>0.0063042</v>
      </c>
      <c r="R342" s="348">
        <f>(SUM('工资福利（公务员、参公人员）'!R342:S342)+SUM('工资福利（事业）'!V342:X342,'工资福利（事业）'!AB342))*0.006</f>
        <v>0.0189126</v>
      </c>
      <c r="S342" s="348">
        <f>(SUM('工资福利（公务员、参公人员）'!R342:S342)+SUM('工资福利（事业）'!V342:X342,'工资福利（事业）'!AB342))*0.12</f>
        <v>0.378252</v>
      </c>
      <c r="T342" s="348"/>
      <c r="U342" s="348">
        <f t="shared" si="132"/>
        <v>15.5790988</v>
      </c>
      <c r="V342" s="348">
        <f t="shared" si="133"/>
        <v>5.824336</v>
      </c>
      <c r="W342" s="348">
        <f t="shared" si="134"/>
        <v>2.912168</v>
      </c>
      <c r="X342" s="348">
        <f t="shared" si="135"/>
        <v>2.179126</v>
      </c>
      <c r="Y342" s="348">
        <f t="shared" si="136"/>
        <v>0.0763042</v>
      </c>
      <c r="Z342" s="348">
        <f t="shared" si="137"/>
        <v>0.2189126</v>
      </c>
      <c r="AA342" s="348">
        <f t="shared" si="138"/>
        <v>4.368252</v>
      </c>
      <c r="AB342" s="348">
        <f t="shared" si="139"/>
        <v>0</v>
      </c>
      <c r="AC342" s="350"/>
    </row>
    <row r="343" ht="36" spans="1:29">
      <c r="A343" s="284" t="s">
        <v>290</v>
      </c>
      <c r="B343" s="284" t="s">
        <v>199</v>
      </c>
      <c r="C343" s="284" t="s">
        <v>637</v>
      </c>
      <c r="D343" s="284" t="s">
        <v>638</v>
      </c>
      <c r="E343" s="348">
        <f t="shared" si="130"/>
        <v>5.92</v>
      </c>
      <c r="F343" s="348">
        <v>2.21</v>
      </c>
      <c r="G343" s="348">
        <v>1.11</v>
      </c>
      <c r="H343" s="348">
        <v>0.83</v>
      </c>
      <c r="I343" s="348">
        <v>0.03</v>
      </c>
      <c r="J343" s="348">
        <v>0.08</v>
      </c>
      <c r="K343" s="348">
        <v>1.66</v>
      </c>
      <c r="L343" s="348"/>
      <c r="M343" s="348">
        <f t="shared" si="131"/>
        <v>0.7038888</v>
      </c>
      <c r="N343" s="348">
        <f>(SUM('工资福利（公务员、参公人员）'!R343:T343)+SUM('工资福利（事业）'!V343:X343,'工资福利（事业）'!AB343))*0.16</f>
        <v>0.263136</v>
      </c>
      <c r="O343" s="348">
        <f>(SUM('工资福利（公务员、参公人员）'!R343:S343)+SUM('工资福利（事业）'!V343:X343,'工资福利（事业）'!AB343))*0.08</f>
        <v>0.131568</v>
      </c>
      <c r="P343" s="348">
        <f>(SUM('工资福利（公务员、参公人员）'!R343:S343)+SUM('工资福利（事业）'!V343:X343,'工资福利（事业）'!AB343))*0.06</f>
        <v>0.098676</v>
      </c>
      <c r="Q343" s="348">
        <f>(SUM('工资福利（公务员、参公人员）'!R343:S343)+SUM('工资福利（事业）'!V343:X343,'工资福利（事业）'!AB343))*0.002</f>
        <v>0.0032892</v>
      </c>
      <c r="R343" s="348">
        <f>(SUM('工资福利（公务员、参公人员）'!R343:S343)+SUM('工资福利（事业）'!V343:X343,'工资福利（事业）'!AB343))*0.006</f>
        <v>0.0098676</v>
      </c>
      <c r="S343" s="348">
        <f>(SUM('工资福利（公务员、参公人员）'!R343:S343)+SUM('工资福利（事业）'!V343:X343,'工资福利（事业）'!AB343))*0.12</f>
        <v>0.197352</v>
      </c>
      <c r="T343" s="348"/>
      <c r="U343" s="348">
        <f t="shared" si="132"/>
        <v>6.6238888</v>
      </c>
      <c r="V343" s="348">
        <f t="shared" si="133"/>
        <v>2.473136</v>
      </c>
      <c r="W343" s="348">
        <f t="shared" si="134"/>
        <v>1.241568</v>
      </c>
      <c r="X343" s="348">
        <f t="shared" si="135"/>
        <v>0.928676</v>
      </c>
      <c r="Y343" s="348">
        <f t="shared" si="136"/>
        <v>0.0332892</v>
      </c>
      <c r="Z343" s="348">
        <f t="shared" si="137"/>
        <v>0.0898676</v>
      </c>
      <c r="AA343" s="348">
        <f t="shared" si="138"/>
        <v>1.857352</v>
      </c>
      <c r="AB343" s="348">
        <f t="shared" si="139"/>
        <v>0</v>
      </c>
      <c r="AC343" s="350"/>
    </row>
    <row r="344" ht="36" spans="1:29">
      <c r="A344" s="284" t="s">
        <v>290</v>
      </c>
      <c r="B344" s="284" t="s">
        <v>199</v>
      </c>
      <c r="C344" s="284" t="s">
        <v>639</v>
      </c>
      <c r="D344" s="284" t="s">
        <v>638</v>
      </c>
      <c r="E344" s="348">
        <f t="shared" si="130"/>
        <v>26.69</v>
      </c>
      <c r="F344" s="348">
        <v>9.98</v>
      </c>
      <c r="G344" s="348">
        <v>4.99</v>
      </c>
      <c r="H344" s="348">
        <v>3.74</v>
      </c>
      <c r="I344" s="348">
        <v>0.12</v>
      </c>
      <c r="J344" s="348">
        <v>0.37</v>
      </c>
      <c r="K344" s="348">
        <v>7.49</v>
      </c>
      <c r="L344" s="348"/>
      <c r="M344" s="348">
        <f t="shared" si="131"/>
        <v>-1.3124192</v>
      </c>
      <c r="N344" s="348">
        <f>(SUM('工资福利（公务员、参公人员）'!R344:T344)+SUM('工资福利（事业）'!V344:X344,'工资福利（事业）'!AB344))*0.16</f>
        <v>-0.490624</v>
      </c>
      <c r="O344" s="348">
        <f>(SUM('工资福利（公务员、参公人员）'!R344:S344)+SUM('工资福利（事业）'!V344:X344,'工资福利（事业）'!AB344))*0.08</f>
        <v>-0.245312</v>
      </c>
      <c r="P344" s="348">
        <f>(SUM('工资福利（公务员、参公人员）'!R344:S344)+SUM('工资福利（事业）'!V344:X344,'工资福利（事业）'!AB344))*0.06</f>
        <v>-0.183984</v>
      </c>
      <c r="Q344" s="348">
        <f>(SUM('工资福利（公务员、参公人员）'!R344:S344)+SUM('工资福利（事业）'!V344:X344,'工资福利（事业）'!AB344))*0.002</f>
        <v>-0.0061328</v>
      </c>
      <c r="R344" s="348">
        <f>(SUM('工资福利（公务员、参公人员）'!R344:S344)+SUM('工资福利（事业）'!V344:X344,'工资福利（事业）'!AB344))*0.006</f>
        <v>-0.0183984</v>
      </c>
      <c r="S344" s="348">
        <f>(SUM('工资福利（公务员、参公人员）'!R344:S344)+SUM('工资福利（事业）'!V344:X344,'工资福利（事业）'!AB344))*0.12</f>
        <v>-0.367968</v>
      </c>
      <c r="T344" s="348"/>
      <c r="U344" s="348">
        <f t="shared" si="132"/>
        <v>25.3775808</v>
      </c>
      <c r="V344" s="348">
        <f t="shared" si="133"/>
        <v>9.489376</v>
      </c>
      <c r="W344" s="348">
        <f t="shared" si="134"/>
        <v>4.744688</v>
      </c>
      <c r="X344" s="348">
        <f t="shared" si="135"/>
        <v>3.556016</v>
      </c>
      <c r="Y344" s="348">
        <f t="shared" si="136"/>
        <v>0.1138672</v>
      </c>
      <c r="Z344" s="348">
        <f t="shared" si="137"/>
        <v>0.3516016</v>
      </c>
      <c r="AA344" s="348">
        <f t="shared" si="138"/>
        <v>7.122032</v>
      </c>
      <c r="AB344" s="348">
        <f t="shared" si="139"/>
        <v>0</v>
      </c>
      <c r="AC344" s="350"/>
    </row>
    <row r="345" s="311" customFormat="1" ht="21" customHeight="1" spans="1:29">
      <c r="A345" s="328"/>
      <c r="B345" s="329" t="s">
        <v>752</v>
      </c>
      <c r="C345" s="329" t="s">
        <v>141</v>
      </c>
      <c r="D345" s="329">
        <v>213</v>
      </c>
      <c r="E345" s="358">
        <f t="shared" ref="E345:L345" si="140">SUM(E346:E389)</f>
        <v>1166.53</v>
      </c>
      <c r="F345" s="358">
        <f t="shared" si="140"/>
        <v>438.96</v>
      </c>
      <c r="G345" s="358">
        <f t="shared" si="140"/>
        <v>216.82</v>
      </c>
      <c r="H345" s="358">
        <f t="shared" si="140"/>
        <v>162.62</v>
      </c>
      <c r="I345" s="358">
        <f t="shared" si="140"/>
        <v>5.42</v>
      </c>
      <c r="J345" s="358">
        <f t="shared" si="140"/>
        <v>16.27</v>
      </c>
      <c r="K345" s="358">
        <f t="shared" si="140"/>
        <v>325.29</v>
      </c>
      <c r="L345" s="358">
        <f t="shared" si="140"/>
        <v>1.15</v>
      </c>
      <c r="M345" s="358">
        <f t="shared" ref="M345:AB345" si="141">SUM(M346:M389)</f>
        <v>97.251424</v>
      </c>
      <c r="N345" s="358">
        <f t="shared" si="141"/>
        <v>36.556928</v>
      </c>
      <c r="O345" s="358">
        <f t="shared" si="141"/>
        <v>18.11776</v>
      </c>
      <c r="P345" s="358">
        <f t="shared" si="141"/>
        <v>13.58832</v>
      </c>
      <c r="Q345" s="358">
        <f t="shared" si="141"/>
        <v>0.452944</v>
      </c>
      <c r="R345" s="358">
        <f t="shared" si="141"/>
        <v>1.358832</v>
      </c>
      <c r="S345" s="358">
        <f t="shared" si="141"/>
        <v>27.17664</v>
      </c>
      <c r="T345" s="358">
        <f t="shared" si="141"/>
        <v>0</v>
      </c>
      <c r="U345" s="358">
        <f t="shared" si="141"/>
        <v>1263.781424</v>
      </c>
      <c r="V345" s="358">
        <f t="shared" si="141"/>
        <v>475.516928</v>
      </c>
      <c r="W345" s="358">
        <f t="shared" si="141"/>
        <v>234.93776</v>
      </c>
      <c r="X345" s="358">
        <f t="shared" si="141"/>
        <v>176.20832</v>
      </c>
      <c r="Y345" s="358">
        <f t="shared" si="141"/>
        <v>5.872944</v>
      </c>
      <c r="Z345" s="358">
        <f t="shared" si="141"/>
        <v>17.628832</v>
      </c>
      <c r="AA345" s="358">
        <f t="shared" si="141"/>
        <v>352.46664</v>
      </c>
      <c r="AB345" s="358">
        <f t="shared" si="141"/>
        <v>1.15</v>
      </c>
      <c r="AC345" s="362"/>
    </row>
    <row r="346" ht="24" spans="1:29">
      <c r="A346" s="284" t="s">
        <v>640</v>
      </c>
      <c r="B346" s="284" t="s">
        <v>196</v>
      </c>
      <c r="C346" s="284" t="s">
        <v>641</v>
      </c>
      <c r="D346" s="284" t="s">
        <v>642</v>
      </c>
      <c r="E346" s="348">
        <f t="shared" ref="E346:E389" si="142">SUM(F346:L346)</f>
        <v>82</v>
      </c>
      <c r="F346" s="348">
        <v>31.64</v>
      </c>
      <c r="G346" s="348">
        <v>15.03</v>
      </c>
      <c r="H346" s="348">
        <v>11.27</v>
      </c>
      <c r="I346" s="348">
        <v>0.38</v>
      </c>
      <c r="J346" s="348">
        <v>1.13</v>
      </c>
      <c r="K346" s="348">
        <v>22.55</v>
      </c>
      <c r="L346" s="348"/>
      <c r="M346" s="348">
        <f t="shared" ref="M346:M389" si="143">SUM(N346:T346)</f>
        <v>-11.32552</v>
      </c>
      <c r="N346" s="348">
        <f>(SUM('工资福利（公务员、参公人员）'!R346:T346)+SUM('工资福利（事业）'!V346:X346,'工资福利（事业）'!AB346))*0.16</f>
        <v>-4.32</v>
      </c>
      <c r="O346" s="348">
        <f>(SUM('工资福利（公务员、参公人员）'!R346:S346)+SUM('工资福利（事业）'!V346:X346,'工资福利（事业）'!AB346))*0.08</f>
        <v>-2.0912</v>
      </c>
      <c r="P346" s="348">
        <f>(SUM('工资福利（公务员、参公人员）'!R346:S346)+SUM('工资福利（事业）'!V346:X346,'工资福利（事业）'!AB346))*0.06</f>
        <v>-1.5684</v>
      </c>
      <c r="Q346" s="348">
        <f>(SUM('工资福利（公务员、参公人员）'!R346:S346)+SUM('工资福利（事业）'!V346:X346,'工资福利（事业）'!AB346))*0.002</f>
        <v>-0.05228</v>
      </c>
      <c r="R346" s="348">
        <f>(SUM('工资福利（公务员、参公人员）'!R346:S346)+SUM('工资福利（事业）'!V346:X346,'工资福利（事业）'!AB346))*0.006</f>
        <v>-0.15684</v>
      </c>
      <c r="S346" s="348">
        <f>(SUM('工资福利（公务员、参公人员）'!R346:S346)+SUM('工资福利（事业）'!V346:X346,'工资福利（事业）'!AB346))*0.12</f>
        <v>-3.1368</v>
      </c>
      <c r="T346" s="348"/>
      <c r="U346" s="348">
        <f t="shared" ref="U346:U389" si="144">SUM(V346:AB346)</f>
        <v>70.67448</v>
      </c>
      <c r="V346" s="348">
        <f t="shared" ref="V346:V389" si="145">F346+N346</f>
        <v>27.32</v>
      </c>
      <c r="W346" s="348">
        <f t="shared" ref="W346:W389" si="146">G346+O346</f>
        <v>12.9388</v>
      </c>
      <c r="X346" s="348">
        <f t="shared" ref="X346:X389" si="147">H346+P346</f>
        <v>9.7016</v>
      </c>
      <c r="Y346" s="348">
        <f t="shared" ref="Y346:Y389" si="148">I346+Q346</f>
        <v>0.32772</v>
      </c>
      <c r="Z346" s="348">
        <f t="shared" ref="Z346:Z389" si="149">J346+R346</f>
        <v>0.97316</v>
      </c>
      <c r="AA346" s="348">
        <f t="shared" ref="AA346:AA389" si="150">K346+S346</f>
        <v>19.4132</v>
      </c>
      <c r="AB346" s="348">
        <f t="shared" ref="AB346:AB389" si="151">L346+T346</f>
        <v>0</v>
      </c>
      <c r="AC346" s="350"/>
    </row>
    <row r="347" ht="24" spans="1:29">
      <c r="A347" s="284" t="s">
        <v>640</v>
      </c>
      <c r="B347" s="284" t="s">
        <v>196</v>
      </c>
      <c r="C347" s="284" t="s">
        <v>643</v>
      </c>
      <c r="D347" s="284" t="s">
        <v>642</v>
      </c>
      <c r="E347" s="348">
        <f t="shared" si="142"/>
        <v>35.38</v>
      </c>
      <c r="F347" s="348">
        <v>13.63</v>
      </c>
      <c r="G347" s="348">
        <v>6.49</v>
      </c>
      <c r="H347" s="348">
        <v>4.87</v>
      </c>
      <c r="I347" s="348">
        <v>0.16</v>
      </c>
      <c r="J347" s="348">
        <v>0.49</v>
      </c>
      <c r="K347" s="348">
        <v>9.74</v>
      </c>
      <c r="L347" s="348"/>
      <c r="M347" s="348">
        <f t="shared" si="143"/>
        <v>3.485856</v>
      </c>
      <c r="N347" s="348">
        <f>(SUM('工资福利（公务员、参公人员）'!R347:T347)+SUM('工资福利（事业）'!V347:X347,'工资福利（事业）'!AB347))*0.16</f>
        <v>1.336496</v>
      </c>
      <c r="O347" s="348">
        <f>(SUM('工资福利（公务员、参公人员）'!R347:S347)+SUM('工资福利（事业）'!V347:X347,'工资福利（事业）'!AB347))*0.08</f>
        <v>0.6416</v>
      </c>
      <c r="P347" s="348">
        <f>(SUM('工资福利（公务员、参公人员）'!R347:S347)+SUM('工资福利（事业）'!V347:X347,'工资福利（事业）'!AB347))*0.06</f>
        <v>0.4812</v>
      </c>
      <c r="Q347" s="348">
        <f>(SUM('工资福利（公务员、参公人员）'!R347:S347)+SUM('工资福利（事业）'!V347:X347,'工资福利（事业）'!AB347))*0.002</f>
        <v>0.01604</v>
      </c>
      <c r="R347" s="348">
        <f>(SUM('工资福利（公务员、参公人员）'!R347:S347)+SUM('工资福利（事业）'!V347:X347,'工资福利（事业）'!AB347))*0.006</f>
        <v>0.04812</v>
      </c>
      <c r="S347" s="348">
        <f>(SUM('工资福利（公务员、参公人员）'!R347:S347)+SUM('工资福利（事业）'!V347:X347,'工资福利（事业）'!AB347))*0.12</f>
        <v>0.9624</v>
      </c>
      <c r="T347" s="348"/>
      <c r="U347" s="348">
        <f t="shared" si="144"/>
        <v>38.865856</v>
      </c>
      <c r="V347" s="348">
        <f t="shared" si="145"/>
        <v>14.966496</v>
      </c>
      <c r="W347" s="348">
        <f t="shared" si="146"/>
        <v>7.1316</v>
      </c>
      <c r="X347" s="348">
        <f t="shared" si="147"/>
        <v>5.3512</v>
      </c>
      <c r="Y347" s="348">
        <f t="shared" si="148"/>
        <v>0.17604</v>
      </c>
      <c r="Z347" s="348">
        <f t="shared" si="149"/>
        <v>0.53812</v>
      </c>
      <c r="AA347" s="348">
        <f t="shared" si="150"/>
        <v>10.7024</v>
      </c>
      <c r="AB347" s="348">
        <f t="shared" si="151"/>
        <v>0</v>
      </c>
      <c r="AC347" s="350"/>
    </row>
    <row r="348" ht="24" spans="1:29">
      <c r="A348" s="284" t="s">
        <v>640</v>
      </c>
      <c r="B348" s="284" t="s">
        <v>196</v>
      </c>
      <c r="C348" s="284" t="s">
        <v>644</v>
      </c>
      <c r="D348" s="284" t="s">
        <v>642</v>
      </c>
      <c r="E348" s="348">
        <f t="shared" si="142"/>
        <v>4.21</v>
      </c>
      <c r="F348" s="348">
        <v>1.62</v>
      </c>
      <c r="G348" s="348">
        <v>0.77</v>
      </c>
      <c r="H348" s="348">
        <v>0.58</v>
      </c>
      <c r="I348" s="348">
        <v>0.02</v>
      </c>
      <c r="J348" s="348">
        <v>0.06</v>
      </c>
      <c r="K348" s="348">
        <v>1.16</v>
      </c>
      <c r="L348" s="348"/>
      <c r="M348" s="348">
        <f t="shared" si="143"/>
        <v>0.342482</v>
      </c>
      <c r="N348" s="348">
        <f>(SUM('工资福利（公务员、参公人员）'!R348:T348)+SUM('工资福利（事业）'!V348:X348,'工资福利（事业）'!AB348))*0.16</f>
        <v>0.13304</v>
      </c>
      <c r="O348" s="348">
        <f>(SUM('工资福利（公务员、参公人员）'!R348:S348)+SUM('工资福利（事业）'!V348:X348,'工资福利（事业）'!AB348))*0.08</f>
        <v>0.06252</v>
      </c>
      <c r="P348" s="348">
        <f>(SUM('工资福利（公务员、参公人员）'!R348:S348)+SUM('工资福利（事业）'!V348:X348,'工资福利（事业）'!AB348))*0.06</f>
        <v>0.04689</v>
      </c>
      <c r="Q348" s="348">
        <f>(SUM('工资福利（公务员、参公人员）'!R348:S348)+SUM('工资福利（事业）'!V348:X348,'工资福利（事业）'!AB348))*0.002</f>
        <v>0.001563</v>
      </c>
      <c r="R348" s="348">
        <f>(SUM('工资福利（公务员、参公人员）'!R348:S348)+SUM('工资福利（事业）'!V348:X348,'工资福利（事业）'!AB348))*0.006</f>
        <v>0.004689</v>
      </c>
      <c r="S348" s="348">
        <f>(SUM('工资福利（公务员、参公人员）'!R348:S348)+SUM('工资福利（事业）'!V348:X348,'工资福利（事业）'!AB348))*0.12</f>
        <v>0.09378</v>
      </c>
      <c r="T348" s="348"/>
      <c r="U348" s="348">
        <f t="shared" si="144"/>
        <v>4.552482</v>
      </c>
      <c r="V348" s="348">
        <f t="shared" si="145"/>
        <v>1.75304</v>
      </c>
      <c r="W348" s="348">
        <f t="shared" si="146"/>
        <v>0.83252</v>
      </c>
      <c r="X348" s="348">
        <f t="shared" si="147"/>
        <v>0.62689</v>
      </c>
      <c r="Y348" s="348">
        <f t="shared" si="148"/>
        <v>0.021563</v>
      </c>
      <c r="Z348" s="348">
        <f t="shared" si="149"/>
        <v>0.064689</v>
      </c>
      <c r="AA348" s="348">
        <f t="shared" si="150"/>
        <v>1.25378</v>
      </c>
      <c r="AB348" s="348">
        <f t="shared" si="151"/>
        <v>0</v>
      </c>
      <c r="AC348" s="350"/>
    </row>
    <row r="349" ht="24" spans="1:29">
      <c r="A349" s="284" t="s">
        <v>640</v>
      </c>
      <c r="B349" s="284" t="s">
        <v>196</v>
      </c>
      <c r="C349" s="284" t="s">
        <v>645</v>
      </c>
      <c r="D349" s="284" t="s">
        <v>642</v>
      </c>
      <c r="E349" s="348">
        <f t="shared" si="142"/>
        <v>8.75</v>
      </c>
      <c r="F349" s="348">
        <v>3.37</v>
      </c>
      <c r="G349" s="348">
        <v>1.61</v>
      </c>
      <c r="H349" s="348">
        <v>1.2</v>
      </c>
      <c r="I349" s="348">
        <v>0.04</v>
      </c>
      <c r="J349" s="348">
        <v>0.12</v>
      </c>
      <c r="K349" s="348">
        <v>2.41</v>
      </c>
      <c r="L349" s="348"/>
      <c r="M349" s="348">
        <f t="shared" si="143"/>
        <v>0.74936</v>
      </c>
      <c r="N349" s="348">
        <f>(SUM('工资福利（公务员、参公人员）'!R349:T349)+SUM('工资福利（事业）'!V349:X349,'工资福利（事业）'!AB349))*0.16</f>
        <v>0.2884</v>
      </c>
      <c r="O349" s="348">
        <f>(SUM('工资福利（公务员、参公人员）'!R349:S349)+SUM('工资福利（事业）'!V349:X349,'工资福利（事业）'!AB349))*0.08</f>
        <v>0.1376</v>
      </c>
      <c r="P349" s="348">
        <f>(SUM('工资福利（公务员、参公人员）'!R349:S349)+SUM('工资福利（事业）'!V349:X349,'工资福利（事业）'!AB349))*0.06</f>
        <v>0.1032</v>
      </c>
      <c r="Q349" s="348">
        <f>(SUM('工资福利（公务员、参公人员）'!R349:S349)+SUM('工资福利（事业）'!V349:X349,'工资福利（事业）'!AB349))*0.002</f>
        <v>0.00344</v>
      </c>
      <c r="R349" s="348">
        <f>(SUM('工资福利（公务员、参公人员）'!R349:S349)+SUM('工资福利（事业）'!V349:X349,'工资福利（事业）'!AB349))*0.006</f>
        <v>0.01032</v>
      </c>
      <c r="S349" s="348">
        <f>(SUM('工资福利（公务员、参公人员）'!R349:S349)+SUM('工资福利（事业）'!V349:X349,'工资福利（事业）'!AB349))*0.12</f>
        <v>0.2064</v>
      </c>
      <c r="T349" s="348"/>
      <c r="U349" s="348">
        <f t="shared" si="144"/>
        <v>9.49936</v>
      </c>
      <c r="V349" s="348">
        <f t="shared" si="145"/>
        <v>3.6584</v>
      </c>
      <c r="W349" s="348">
        <f t="shared" si="146"/>
        <v>1.7476</v>
      </c>
      <c r="X349" s="348">
        <f t="shared" si="147"/>
        <v>1.3032</v>
      </c>
      <c r="Y349" s="348">
        <f t="shared" si="148"/>
        <v>0.04344</v>
      </c>
      <c r="Z349" s="348">
        <f t="shared" si="149"/>
        <v>0.13032</v>
      </c>
      <c r="AA349" s="348">
        <f t="shared" si="150"/>
        <v>2.6164</v>
      </c>
      <c r="AB349" s="348">
        <f t="shared" si="151"/>
        <v>0</v>
      </c>
      <c r="AC349" s="350"/>
    </row>
    <row r="350" ht="24" spans="1:29">
      <c r="A350" s="284" t="s">
        <v>640</v>
      </c>
      <c r="B350" s="284" t="s">
        <v>199</v>
      </c>
      <c r="C350" s="284" t="s">
        <v>646</v>
      </c>
      <c r="D350" s="284" t="s">
        <v>647</v>
      </c>
      <c r="E350" s="348">
        <f t="shared" si="142"/>
        <v>51.49</v>
      </c>
      <c r="F350" s="348">
        <v>19.25</v>
      </c>
      <c r="G350" s="348">
        <v>9.62</v>
      </c>
      <c r="H350" s="348">
        <v>7.22</v>
      </c>
      <c r="I350" s="348">
        <v>0.24</v>
      </c>
      <c r="J350" s="348">
        <v>0.72</v>
      </c>
      <c r="K350" s="348">
        <v>14.44</v>
      </c>
      <c r="L350" s="348"/>
      <c r="M350" s="348">
        <f t="shared" si="143"/>
        <v>4.494</v>
      </c>
      <c r="N350" s="348">
        <f>(SUM('工资福利（公务员、参公人员）'!R350:T350)+SUM('工资福利（事业）'!V350:X350,'工资福利（事业）'!AB350))*0.16</f>
        <v>1.68</v>
      </c>
      <c r="O350" s="348">
        <f>(SUM('工资福利（公务员、参公人员）'!R350:S350)+SUM('工资福利（事业）'!V350:X350,'工资福利（事业）'!AB350))*0.08</f>
        <v>0.84</v>
      </c>
      <c r="P350" s="348">
        <f>(SUM('工资福利（公务员、参公人员）'!R350:S350)+SUM('工资福利（事业）'!V350:X350,'工资福利（事业）'!AB350))*0.06</f>
        <v>0.63</v>
      </c>
      <c r="Q350" s="348">
        <f>(SUM('工资福利（公务员、参公人员）'!R350:S350)+SUM('工资福利（事业）'!V350:X350,'工资福利（事业）'!AB350))*0.002</f>
        <v>0.021</v>
      </c>
      <c r="R350" s="348">
        <f>(SUM('工资福利（公务员、参公人员）'!R350:S350)+SUM('工资福利（事业）'!V350:X350,'工资福利（事业）'!AB350))*0.006</f>
        <v>0.063</v>
      </c>
      <c r="S350" s="348">
        <f>(SUM('工资福利（公务员、参公人员）'!R350:S350)+SUM('工资福利（事业）'!V350:X350,'工资福利（事业）'!AB350))*0.12</f>
        <v>1.26</v>
      </c>
      <c r="T350" s="348"/>
      <c r="U350" s="348">
        <f t="shared" si="144"/>
        <v>55.984</v>
      </c>
      <c r="V350" s="348">
        <f t="shared" si="145"/>
        <v>20.93</v>
      </c>
      <c r="W350" s="348">
        <f t="shared" si="146"/>
        <v>10.46</v>
      </c>
      <c r="X350" s="348">
        <f t="shared" si="147"/>
        <v>7.85</v>
      </c>
      <c r="Y350" s="348">
        <f t="shared" si="148"/>
        <v>0.261</v>
      </c>
      <c r="Z350" s="348">
        <f t="shared" si="149"/>
        <v>0.783</v>
      </c>
      <c r="AA350" s="348">
        <f t="shared" si="150"/>
        <v>15.7</v>
      </c>
      <c r="AB350" s="348">
        <f t="shared" si="151"/>
        <v>0</v>
      </c>
      <c r="AC350" s="350"/>
    </row>
    <row r="351" ht="24" spans="1:29">
      <c r="A351" s="284" t="s">
        <v>640</v>
      </c>
      <c r="B351" s="284" t="s">
        <v>199</v>
      </c>
      <c r="C351" s="284" t="s">
        <v>648</v>
      </c>
      <c r="D351" s="284" t="s">
        <v>647</v>
      </c>
      <c r="E351" s="348">
        <f t="shared" si="142"/>
        <v>34.99</v>
      </c>
      <c r="F351" s="348">
        <v>13.08</v>
      </c>
      <c r="G351" s="348">
        <v>6.54</v>
      </c>
      <c r="H351" s="348">
        <v>4.91</v>
      </c>
      <c r="I351" s="348">
        <v>0.16</v>
      </c>
      <c r="J351" s="348">
        <v>0.49</v>
      </c>
      <c r="K351" s="348">
        <v>9.81</v>
      </c>
      <c r="L351" s="348"/>
      <c r="M351" s="348">
        <f t="shared" si="143"/>
        <v>6.5888888</v>
      </c>
      <c r="N351" s="348">
        <f>(SUM('工资福利（公务员、参公人员）'!R351:T351)+SUM('工资福利（事业）'!V351:X351,'工资福利（事业）'!AB351))*0.16</f>
        <v>2.463136</v>
      </c>
      <c r="O351" s="348">
        <f>(SUM('工资福利（公务员、参公人员）'!R351:S351)+SUM('工资福利（事业）'!V351:X351,'工资福利（事业）'!AB351))*0.08</f>
        <v>1.231568</v>
      </c>
      <c r="P351" s="348">
        <f>(SUM('工资福利（公务员、参公人员）'!R351:S351)+SUM('工资福利（事业）'!V351:X351,'工资福利（事业）'!AB351))*0.06</f>
        <v>0.923676</v>
      </c>
      <c r="Q351" s="348">
        <f>(SUM('工资福利（公务员、参公人员）'!R351:S351)+SUM('工资福利（事业）'!V351:X351,'工资福利（事业）'!AB351))*0.002</f>
        <v>0.0307892</v>
      </c>
      <c r="R351" s="348">
        <f>(SUM('工资福利（公务员、参公人员）'!R351:S351)+SUM('工资福利（事业）'!V351:X351,'工资福利（事业）'!AB351))*0.006</f>
        <v>0.0923676</v>
      </c>
      <c r="S351" s="348">
        <f>(SUM('工资福利（公务员、参公人员）'!R351:S351)+SUM('工资福利（事业）'!V351:X351,'工资福利（事业）'!AB351))*0.12</f>
        <v>1.847352</v>
      </c>
      <c r="T351" s="348"/>
      <c r="U351" s="348">
        <f t="shared" si="144"/>
        <v>41.5788888</v>
      </c>
      <c r="V351" s="348">
        <f t="shared" si="145"/>
        <v>15.543136</v>
      </c>
      <c r="W351" s="348">
        <f t="shared" si="146"/>
        <v>7.771568</v>
      </c>
      <c r="X351" s="348">
        <f t="shared" si="147"/>
        <v>5.833676</v>
      </c>
      <c r="Y351" s="348">
        <f t="shared" si="148"/>
        <v>0.1907892</v>
      </c>
      <c r="Z351" s="348">
        <f t="shared" si="149"/>
        <v>0.5823676</v>
      </c>
      <c r="AA351" s="348">
        <f t="shared" si="150"/>
        <v>11.657352</v>
      </c>
      <c r="AB351" s="348">
        <f t="shared" si="151"/>
        <v>0</v>
      </c>
      <c r="AC351" s="350"/>
    </row>
    <row r="352" ht="24" spans="1:29">
      <c r="A352" s="284" t="s">
        <v>640</v>
      </c>
      <c r="B352" s="284" t="s">
        <v>199</v>
      </c>
      <c r="C352" s="284" t="s">
        <v>649</v>
      </c>
      <c r="D352" s="284" t="s">
        <v>647</v>
      </c>
      <c r="E352" s="348">
        <f t="shared" si="142"/>
        <v>21.42</v>
      </c>
      <c r="F352" s="348">
        <v>8.01</v>
      </c>
      <c r="G352" s="348">
        <v>4</v>
      </c>
      <c r="H352" s="348">
        <v>3</v>
      </c>
      <c r="I352" s="348">
        <v>0.1</v>
      </c>
      <c r="J352" s="348">
        <v>0.3</v>
      </c>
      <c r="K352" s="348">
        <v>6.01</v>
      </c>
      <c r="L352" s="348"/>
      <c r="M352" s="348">
        <f t="shared" si="143"/>
        <v>2.0056508</v>
      </c>
      <c r="N352" s="348">
        <f>(SUM('工资福利（公务员、参公人员）'!R352:T352)+SUM('工资福利（事业）'!V352:X352,'工资福利（事业）'!AB352))*0.16</f>
        <v>0.749776</v>
      </c>
      <c r="O352" s="348">
        <f>(SUM('工资福利（公务员、参公人员）'!R352:S352)+SUM('工资福利（事业）'!V352:X352,'工资福利（事业）'!AB352))*0.08</f>
        <v>0.374888</v>
      </c>
      <c r="P352" s="348">
        <f>(SUM('工资福利（公务员、参公人员）'!R352:S352)+SUM('工资福利（事业）'!V352:X352,'工资福利（事业）'!AB352))*0.06</f>
        <v>0.281166</v>
      </c>
      <c r="Q352" s="348">
        <f>(SUM('工资福利（公务员、参公人员）'!R352:S352)+SUM('工资福利（事业）'!V352:X352,'工资福利（事业）'!AB352))*0.002</f>
        <v>0.0093722</v>
      </c>
      <c r="R352" s="348">
        <f>(SUM('工资福利（公务员、参公人员）'!R352:S352)+SUM('工资福利（事业）'!V352:X352,'工资福利（事业）'!AB352))*0.006</f>
        <v>0.0281166</v>
      </c>
      <c r="S352" s="348">
        <f>(SUM('工资福利（公务员、参公人员）'!R352:S352)+SUM('工资福利（事业）'!V352:X352,'工资福利（事业）'!AB352))*0.12</f>
        <v>0.562332</v>
      </c>
      <c r="T352" s="348"/>
      <c r="U352" s="348">
        <f t="shared" si="144"/>
        <v>23.4256508</v>
      </c>
      <c r="V352" s="348">
        <f t="shared" si="145"/>
        <v>8.759776</v>
      </c>
      <c r="W352" s="348">
        <f t="shared" si="146"/>
        <v>4.374888</v>
      </c>
      <c r="X352" s="348">
        <f t="shared" si="147"/>
        <v>3.281166</v>
      </c>
      <c r="Y352" s="348">
        <f t="shared" si="148"/>
        <v>0.1093722</v>
      </c>
      <c r="Z352" s="348">
        <f t="shared" si="149"/>
        <v>0.3281166</v>
      </c>
      <c r="AA352" s="348">
        <f t="shared" si="150"/>
        <v>6.572332</v>
      </c>
      <c r="AB352" s="348">
        <f t="shared" si="151"/>
        <v>0</v>
      </c>
      <c r="AC352" s="350"/>
    </row>
    <row r="353" ht="24" spans="1:29">
      <c r="A353" s="284" t="s">
        <v>640</v>
      </c>
      <c r="B353" s="284" t="s">
        <v>199</v>
      </c>
      <c r="C353" s="284" t="s">
        <v>650</v>
      </c>
      <c r="D353" s="284" t="s">
        <v>647</v>
      </c>
      <c r="E353" s="348">
        <f t="shared" si="142"/>
        <v>22.66</v>
      </c>
      <c r="F353" s="348">
        <v>8.47</v>
      </c>
      <c r="G353" s="348">
        <v>4.23</v>
      </c>
      <c r="H353" s="348">
        <v>3.18</v>
      </c>
      <c r="I353" s="348">
        <v>0.11</v>
      </c>
      <c r="J353" s="348">
        <v>0.32</v>
      </c>
      <c r="K353" s="348">
        <v>6.35</v>
      </c>
      <c r="L353" s="348"/>
      <c r="M353" s="348">
        <f t="shared" si="143"/>
        <v>2.26412</v>
      </c>
      <c r="N353" s="348">
        <f>(SUM('工资福利（公务员、参公人员）'!R353:T353)+SUM('工资福利（事业）'!V353:X353,'工资福利（事业）'!AB353))*0.16</f>
        <v>0.8464</v>
      </c>
      <c r="O353" s="348">
        <f>(SUM('工资福利（公务员、参公人员）'!R353:S353)+SUM('工资福利（事业）'!V353:X353,'工资福利（事业）'!AB353))*0.08</f>
        <v>0.4232</v>
      </c>
      <c r="P353" s="348">
        <f>(SUM('工资福利（公务员、参公人员）'!R353:S353)+SUM('工资福利（事业）'!V353:X353,'工资福利（事业）'!AB353))*0.06</f>
        <v>0.3174</v>
      </c>
      <c r="Q353" s="348">
        <f>(SUM('工资福利（公务员、参公人员）'!R353:S353)+SUM('工资福利（事业）'!V353:X353,'工资福利（事业）'!AB353))*0.002</f>
        <v>0.01058</v>
      </c>
      <c r="R353" s="348">
        <f>(SUM('工资福利（公务员、参公人员）'!R353:S353)+SUM('工资福利（事业）'!V353:X353,'工资福利（事业）'!AB353))*0.006</f>
        <v>0.03174</v>
      </c>
      <c r="S353" s="348">
        <f>(SUM('工资福利（公务员、参公人员）'!R353:S353)+SUM('工资福利（事业）'!V353:X353,'工资福利（事业）'!AB353))*0.12</f>
        <v>0.6348</v>
      </c>
      <c r="T353" s="348"/>
      <c r="U353" s="348">
        <f t="shared" si="144"/>
        <v>24.92412</v>
      </c>
      <c r="V353" s="348">
        <f t="shared" si="145"/>
        <v>9.3164</v>
      </c>
      <c r="W353" s="348">
        <f t="shared" si="146"/>
        <v>4.6532</v>
      </c>
      <c r="X353" s="348">
        <f t="shared" si="147"/>
        <v>3.4974</v>
      </c>
      <c r="Y353" s="348">
        <f t="shared" si="148"/>
        <v>0.12058</v>
      </c>
      <c r="Z353" s="348">
        <f t="shared" si="149"/>
        <v>0.35174</v>
      </c>
      <c r="AA353" s="348">
        <f t="shared" si="150"/>
        <v>6.9848</v>
      </c>
      <c r="AB353" s="348">
        <f t="shared" si="151"/>
        <v>0</v>
      </c>
      <c r="AC353" s="350"/>
    </row>
    <row r="354" ht="24" spans="1:29">
      <c r="A354" s="284" t="s">
        <v>640</v>
      </c>
      <c r="B354" s="284" t="s">
        <v>199</v>
      </c>
      <c r="C354" s="284" t="s">
        <v>651</v>
      </c>
      <c r="D354" s="284" t="s">
        <v>647</v>
      </c>
      <c r="E354" s="348">
        <f t="shared" si="142"/>
        <v>35.49</v>
      </c>
      <c r="F354" s="348">
        <v>13.27</v>
      </c>
      <c r="G354" s="348">
        <v>6.63</v>
      </c>
      <c r="H354" s="348">
        <v>4.97</v>
      </c>
      <c r="I354" s="348">
        <v>0.17</v>
      </c>
      <c r="J354" s="348">
        <v>0.5</v>
      </c>
      <c r="K354" s="348">
        <v>9.95</v>
      </c>
      <c r="L354" s="348"/>
      <c r="M354" s="348">
        <f t="shared" si="143"/>
        <v>2.783712</v>
      </c>
      <c r="N354" s="348">
        <f>(SUM('工资福利（公务员、参公人员）'!R354:T354)+SUM('工资福利（事业）'!V354:X354,'工资福利（事业）'!AB354))*0.16</f>
        <v>1.04064</v>
      </c>
      <c r="O354" s="348">
        <f>(SUM('工资福利（公务员、参公人员）'!R354:S354)+SUM('工资福利（事业）'!V354:X354,'工资福利（事业）'!AB354))*0.08</f>
        <v>0.52032</v>
      </c>
      <c r="P354" s="348">
        <f>(SUM('工资福利（公务员、参公人员）'!R354:S354)+SUM('工资福利（事业）'!V354:X354,'工资福利（事业）'!AB354))*0.06</f>
        <v>0.39024</v>
      </c>
      <c r="Q354" s="348">
        <f>(SUM('工资福利（公务员、参公人员）'!R354:S354)+SUM('工资福利（事业）'!V354:X354,'工资福利（事业）'!AB354))*0.002</f>
        <v>0.013008</v>
      </c>
      <c r="R354" s="348">
        <f>(SUM('工资福利（公务员、参公人员）'!R354:S354)+SUM('工资福利（事业）'!V354:X354,'工资福利（事业）'!AB354))*0.006</f>
        <v>0.039024</v>
      </c>
      <c r="S354" s="348">
        <f>(SUM('工资福利（公务员、参公人员）'!R354:S354)+SUM('工资福利（事业）'!V354:X354,'工资福利（事业）'!AB354))*0.12</f>
        <v>0.78048</v>
      </c>
      <c r="T354" s="348"/>
      <c r="U354" s="348">
        <f t="shared" si="144"/>
        <v>38.273712</v>
      </c>
      <c r="V354" s="348">
        <f t="shared" si="145"/>
        <v>14.31064</v>
      </c>
      <c r="W354" s="348">
        <f t="shared" si="146"/>
        <v>7.15032</v>
      </c>
      <c r="X354" s="348">
        <f t="shared" si="147"/>
        <v>5.36024</v>
      </c>
      <c r="Y354" s="348">
        <f t="shared" si="148"/>
        <v>0.183008</v>
      </c>
      <c r="Z354" s="348">
        <f t="shared" si="149"/>
        <v>0.539024</v>
      </c>
      <c r="AA354" s="348">
        <f t="shared" si="150"/>
        <v>10.73048</v>
      </c>
      <c r="AB354" s="348">
        <f t="shared" si="151"/>
        <v>0</v>
      </c>
      <c r="AC354" s="350"/>
    </row>
    <row r="355" ht="24" spans="1:29">
      <c r="A355" s="284" t="s">
        <v>640</v>
      </c>
      <c r="B355" s="284" t="s">
        <v>199</v>
      </c>
      <c r="C355" s="284" t="s">
        <v>652</v>
      </c>
      <c r="D355" s="284" t="s">
        <v>647</v>
      </c>
      <c r="E355" s="348">
        <f t="shared" si="142"/>
        <v>6.63</v>
      </c>
      <c r="F355" s="348">
        <v>2.48</v>
      </c>
      <c r="G355" s="348">
        <v>1.24</v>
      </c>
      <c r="H355" s="348">
        <v>0.93</v>
      </c>
      <c r="I355" s="348">
        <v>0.03</v>
      </c>
      <c r="J355" s="348">
        <v>0.09</v>
      </c>
      <c r="K355" s="348">
        <v>1.86</v>
      </c>
      <c r="L355" s="348"/>
      <c r="M355" s="348">
        <f t="shared" si="143"/>
        <v>0.52644</v>
      </c>
      <c r="N355" s="348">
        <f>(SUM('工资福利（公务员、参公人员）'!R355:T355)+SUM('工资福利（事业）'!V355:X355,'工资福利（事业）'!AB355))*0.16</f>
        <v>0.1968</v>
      </c>
      <c r="O355" s="348">
        <f>(SUM('工资福利（公务员、参公人员）'!R355:S355)+SUM('工资福利（事业）'!V355:X355,'工资福利（事业）'!AB355))*0.08</f>
        <v>0.0984</v>
      </c>
      <c r="P355" s="348">
        <f>(SUM('工资福利（公务员、参公人员）'!R355:S355)+SUM('工资福利（事业）'!V355:X355,'工资福利（事业）'!AB355))*0.06</f>
        <v>0.0738</v>
      </c>
      <c r="Q355" s="348">
        <f>(SUM('工资福利（公务员、参公人员）'!R355:S355)+SUM('工资福利（事业）'!V355:X355,'工资福利（事业）'!AB355))*0.002</f>
        <v>0.00246</v>
      </c>
      <c r="R355" s="348">
        <f>(SUM('工资福利（公务员、参公人员）'!R355:S355)+SUM('工资福利（事业）'!V355:X355,'工资福利（事业）'!AB355))*0.006</f>
        <v>0.00738</v>
      </c>
      <c r="S355" s="348">
        <f>(SUM('工资福利（公务员、参公人员）'!R355:S355)+SUM('工资福利（事业）'!V355:X355,'工资福利（事业）'!AB355))*0.12</f>
        <v>0.1476</v>
      </c>
      <c r="T355" s="348"/>
      <c r="U355" s="348">
        <f t="shared" si="144"/>
        <v>7.15644</v>
      </c>
      <c r="V355" s="348">
        <f t="shared" si="145"/>
        <v>2.6768</v>
      </c>
      <c r="W355" s="348">
        <f t="shared" si="146"/>
        <v>1.3384</v>
      </c>
      <c r="X355" s="348">
        <f t="shared" si="147"/>
        <v>1.0038</v>
      </c>
      <c r="Y355" s="348">
        <f t="shared" si="148"/>
        <v>0.03246</v>
      </c>
      <c r="Z355" s="348">
        <f t="shared" si="149"/>
        <v>0.09738</v>
      </c>
      <c r="AA355" s="348">
        <f t="shared" si="150"/>
        <v>2.0076</v>
      </c>
      <c r="AB355" s="348">
        <f t="shared" si="151"/>
        <v>0</v>
      </c>
      <c r="AC355" s="350"/>
    </row>
    <row r="356" ht="24" spans="1:29">
      <c r="A356" s="284" t="s">
        <v>640</v>
      </c>
      <c r="B356" s="284" t="s">
        <v>199</v>
      </c>
      <c r="C356" s="284" t="s">
        <v>653</v>
      </c>
      <c r="D356" s="284" t="s">
        <v>647</v>
      </c>
      <c r="E356" s="348">
        <f t="shared" si="142"/>
        <v>14.5</v>
      </c>
      <c r="F356" s="348">
        <v>5.42</v>
      </c>
      <c r="G356" s="348">
        <v>2.71</v>
      </c>
      <c r="H356" s="348">
        <v>2.03</v>
      </c>
      <c r="I356" s="348">
        <v>0.07</v>
      </c>
      <c r="J356" s="348">
        <v>0.2</v>
      </c>
      <c r="K356" s="348">
        <v>4.07</v>
      </c>
      <c r="L356" s="348"/>
      <c r="M356" s="348">
        <f t="shared" si="143"/>
        <v>1.15988</v>
      </c>
      <c r="N356" s="348">
        <f>(SUM('工资福利（公务员、参公人员）'!R356:T356)+SUM('工资福利（事业）'!V356:X356,'工资福利（事业）'!AB356))*0.16</f>
        <v>0.4336</v>
      </c>
      <c r="O356" s="348">
        <f>(SUM('工资福利（公务员、参公人员）'!R356:S356)+SUM('工资福利（事业）'!V356:X356,'工资福利（事业）'!AB356))*0.08</f>
        <v>0.2168</v>
      </c>
      <c r="P356" s="348">
        <f>(SUM('工资福利（公务员、参公人员）'!R356:S356)+SUM('工资福利（事业）'!V356:X356,'工资福利（事业）'!AB356))*0.06</f>
        <v>0.1626</v>
      </c>
      <c r="Q356" s="348">
        <f>(SUM('工资福利（公务员、参公人员）'!R356:S356)+SUM('工资福利（事业）'!V356:X356,'工资福利（事业）'!AB356))*0.002</f>
        <v>0.00542</v>
      </c>
      <c r="R356" s="348">
        <f>(SUM('工资福利（公务员、参公人员）'!R356:S356)+SUM('工资福利（事业）'!V356:X356,'工资福利（事业）'!AB356))*0.006</f>
        <v>0.01626</v>
      </c>
      <c r="S356" s="348">
        <f>(SUM('工资福利（公务员、参公人员）'!R356:S356)+SUM('工资福利（事业）'!V356:X356,'工资福利（事业）'!AB356))*0.12</f>
        <v>0.3252</v>
      </c>
      <c r="T356" s="348"/>
      <c r="U356" s="348">
        <f t="shared" si="144"/>
        <v>15.65988</v>
      </c>
      <c r="V356" s="348">
        <f t="shared" si="145"/>
        <v>5.8536</v>
      </c>
      <c r="W356" s="348">
        <f t="shared" si="146"/>
        <v>2.9268</v>
      </c>
      <c r="X356" s="348">
        <f t="shared" si="147"/>
        <v>2.1926</v>
      </c>
      <c r="Y356" s="348">
        <f t="shared" si="148"/>
        <v>0.07542</v>
      </c>
      <c r="Z356" s="348">
        <f t="shared" si="149"/>
        <v>0.21626</v>
      </c>
      <c r="AA356" s="348">
        <f t="shared" si="150"/>
        <v>4.3952</v>
      </c>
      <c r="AB356" s="348">
        <f t="shared" si="151"/>
        <v>0</v>
      </c>
      <c r="AC356" s="350"/>
    </row>
    <row r="357" ht="24" spans="1:29">
      <c r="A357" s="284" t="s">
        <v>640</v>
      </c>
      <c r="B357" s="284" t="s">
        <v>199</v>
      </c>
      <c r="C357" s="284" t="s">
        <v>654</v>
      </c>
      <c r="D357" s="284" t="s">
        <v>647</v>
      </c>
      <c r="E357" s="348">
        <f t="shared" si="142"/>
        <v>4.92</v>
      </c>
      <c r="F357" s="348">
        <v>1.84</v>
      </c>
      <c r="G357" s="348">
        <v>0.92</v>
      </c>
      <c r="H357" s="348">
        <v>0.69</v>
      </c>
      <c r="I357" s="348">
        <v>0.02</v>
      </c>
      <c r="J357" s="348">
        <v>0.07</v>
      </c>
      <c r="K357" s="348">
        <v>1.38</v>
      </c>
      <c r="L357" s="348"/>
      <c r="M357" s="348">
        <f t="shared" si="143"/>
        <v>2.40108</v>
      </c>
      <c r="N357" s="348">
        <f>(SUM('工资福利（公务员、参公人员）'!R357:T357)+SUM('工资福利（事业）'!V357:X357,'工资福利（事业）'!AB357))*0.16</f>
        <v>0.8976</v>
      </c>
      <c r="O357" s="348">
        <f>(SUM('工资福利（公务员、参公人员）'!R357:S357)+SUM('工资福利（事业）'!V357:X357,'工资福利（事业）'!AB357))*0.08</f>
        <v>0.4488</v>
      </c>
      <c r="P357" s="348">
        <f>(SUM('工资福利（公务员、参公人员）'!R357:S357)+SUM('工资福利（事业）'!V357:X357,'工资福利（事业）'!AB357))*0.06</f>
        <v>0.3366</v>
      </c>
      <c r="Q357" s="348">
        <f>(SUM('工资福利（公务员、参公人员）'!R357:S357)+SUM('工资福利（事业）'!V357:X357,'工资福利（事业）'!AB357))*0.002</f>
        <v>0.01122</v>
      </c>
      <c r="R357" s="348">
        <f>(SUM('工资福利（公务员、参公人员）'!R357:S357)+SUM('工资福利（事业）'!V357:X357,'工资福利（事业）'!AB357))*0.006</f>
        <v>0.03366</v>
      </c>
      <c r="S357" s="348">
        <f>(SUM('工资福利（公务员、参公人员）'!R357:S357)+SUM('工资福利（事业）'!V357:X357,'工资福利（事业）'!AB357))*0.12</f>
        <v>0.6732</v>
      </c>
      <c r="T357" s="348"/>
      <c r="U357" s="348">
        <f t="shared" si="144"/>
        <v>7.32108</v>
      </c>
      <c r="V357" s="348">
        <f t="shared" si="145"/>
        <v>2.7376</v>
      </c>
      <c r="W357" s="348">
        <f t="shared" si="146"/>
        <v>1.3688</v>
      </c>
      <c r="X357" s="348">
        <f t="shared" si="147"/>
        <v>1.0266</v>
      </c>
      <c r="Y357" s="348">
        <f t="shared" si="148"/>
        <v>0.03122</v>
      </c>
      <c r="Z357" s="348">
        <f t="shared" si="149"/>
        <v>0.10366</v>
      </c>
      <c r="AA357" s="348">
        <f t="shared" si="150"/>
        <v>2.0532</v>
      </c>
      <c r="AB357" s="348">
        <f t="shared" si="151"/>
        <v>0</v>
      </c>
      <c r="AC357" s="350"/>
    </row>
    <row r="358" ht="24" spans="1:29">
      <c r="A358" s="284" t="s">
        <v>640</v>
      </c>
      <c r="B358" s="284" t="s">
        <v>199</v>
      </c>
      <c r="C358" s="284" t="s">
        <v>655</v>
      </c>
      <c r="D358" s="284" t="s">
        <v>647</v>
      </c>
      <c r="E358" s="348">
        <f t="shared" si="142"/>
        <v>5.94</v>
      </c>
      <c r="F358" s="348">
        <v>2.22</v>
      </c>
      <c r="G358" s="348">
        <v>1.11</v>
      </c>
      <c r="H358" s="348">
        <v>0.83</v>
      </c>
      <c r="I358" s="348">
        <v>0.03</v>
      </c>
      <c r="J358" s="348">
        <v>0.08</v>
      </c>
      <c r="K358" s="348">
        <v>1.67</v>
      </c>
      <c r="L358" s="348"/>
      <c r="M358" s="348">
        <f t="shared" si="143"/>
        <v>0.45368</v>
      </c>
      <c r="N358" s="348">
        <f>(SUM('工资福利（公务员、参公人员）'!R358:T358)+SUM('工资福利（事业）'!V358:X358,'工资福利（事业）'!AB358))*0.16</f>
        <v>0.1696</v>
      </c>
      <c r="O358" s="348">
        <f>(SUM('工资福利（公务员、参公人员）'!R358:S358)+SUM('工资福利（事业）'!V358:X358,'工资福利（事业）'!AB358))*0.08</f>
        <v>0.0848</v>
      </c>
      <c r="P358" s="348">
        <f>(SUM('工资福利（公务员、参公人员）'!R358:S358)+SUM('工资福利（事业）'!V358:X358,'工资福利（事业）'!AB358))*0.06</f>
        <v>0.0636</v>
      </c>
      <c r="Q358" s="348">
        <f>(SUM('工资福利（公务员、参公人员）'!R358:S358)+SUM('工资福利（事业）'!V358:X358,'工资福利（事业）'!AB358))*0.002</f>
        <v>0.00212</v>
      </c>
      <c r="R358" s="348">
        <f>(SUM('工资福利（公务员、参公人员）'!R358:S358)+SUM('工资福利（事业）'!V358:X358,'工资福利（事业）'!AB358))*0.006</f>
        <v>0.00636</v>
      </c>
      <c r="S358" s="348">
        <f>(SUM('工资福利（公务员、参公人员）'!R358:S358)+SUM('工资福利（事业）'!V358:X358,'工资福利（事业）'!AB358))*0.12</f>
        <v>0.1272</v>
      </c>
      <c r="T358" s="348"/>
      <c r="U358" s="348">
        <f t="shared" si="144"/>
        <v>6.39368</v>
      </c>
      <c r="V358" s="348">
        <f t="shared" si="145"/>
        <v>2.3896</v>
      </c>
      <c r="W358" s="348">
        <f t="shared" si="146"/>
        <v>1.1948</v>
      </c>
      <c r="X358" s="348">
        <f t="shared" si="147"/>
        <v>0.8936</v>
      </c>
      <c r="Y358" s="348">
        <f t="shared" si="148"/>
        <v>0.03212</v>
      </c>
      <c r="Z358" s="348">
        <f t="shared" si="149"/>
        <v>0.08636</v>
      </c>
      <c r="AA358" s="348">
        <f t="shared" si="150"/>
        <v>1.7972</v>
      </c>
      <c r="AB358" s="348">
        <f t="shared" si="151"/>
        <v>0</v>
      </c>
      <c r="AC358" s="350"/>
    </row>
    <row r="359" ht="24" spans="1:29">
      <c r="A359" s="284" t="s">
        <v>640</v>
      </c>
      <c r="B359" s="284" t="s">
        <v>199</v>
      </c>
      <c r="C359" s="284" t="s">
        <v>656</v>
      </c>
      <c r="D359" s="284" t="s">
        <v>647</v>
      </c>
      <c r="E359" s="348">
        <f t="shared" si="142"/>
        <v>14.55</v>
      </c>
      <c r="F359" s="348">
        <v>5.44</v>
      </c>
      <c r="G359" s="348">
        <v>2.72</v>
      </c>
      <c r="H359" s="348">
        <v>2.04</v>
      </c>
      <c r="I359" s="348">
        <v>0.07</v>
      </c>
      <c r="J359" s="348">
        <v>0.2</v>
      </c>
      <c r="K359" s="348">
        <v>4.08</v>
      </c>
      <c r="L359" s="348"/>
      <c r="M359" s="348">
        <f t="shared" si="143"/>
        <v>2.00304</v>
      </c>
      <c r="N359" s="348">
        <f>(SUM('工资福利（公务员、参公人员）'!R359:T359)+SUM('工资福利（事业）'!V359:X359,'工资福利（事业）'!AB359))*0.16</f>
        <v>0.7488</v>
      </c>
      <c r="O359" s="348">
        <f>(SUM('工资福利（公务员、参公人员）'!R359:S359)+SUM('工资福利（事业）'!V359:X359,'工资福利（事业）'!AB359))*0.08</f>
        <v>0.3744</v>
      </c>
      <c r="P359" s="348">
        <f>(SUM('工资福利（公务员、参公人员）'!R359:S359)+SUM('工资福利（事业）'!V359:X359,'工资福利（事业）'!AB359))*0.06</f>
        <v>0.2808</v>
      </c>
      <c r="Q359" s="348">
        <f>(SUM('工资福利（公务员、参公人员）'!R359:S359)+SUM('工资福利（事业）'!V359:X359,'工资福利（事业）'!AB359))*0.002</f>
        <v>0.00936</v>
      </c>
      <c r="R359" s="348">
        <f>(SUM('工资福利（公务员、参公人员）'!R359:S359)+SUM('工资福利（事业）'!V359:X359,'工资福利（事业）'!AB359))*0.006</f>
        <v>0.02808</v>
      </c>
      <c r="S359" s="348">
        <f>(SUM('工资福利（公务员、参公人员）'!R359:S359)+SUM('工资福利（事业）'!V359:X359,'工资福利（事业）'!AB359))*0.12</f>
        <v>0.5616</v>
      </c>
      <c r="T359" s="348"/>
      <c r="U359" s="348">
        <f t="shared" si="144"/>
        <v>16.55304</v>
      </c>
      <c r="V359" s="348">
        <f t="shared" si="145"/>
        <v>6.1888</v>
      </c>
      <c r="W359" s="348">
        <f t="shared" si="146"/>
        <v>3.0944</v>
      </c>
      <c r="X359" s="348">
        <f t="shared" si="147"/>
        <v>2.3208</v>
      </c>
      <c r="Y359" s="348">
        <f t="shared" si="148"/>
        <v>0.07936</v>
      </c>
      <c r="Z359" s="348">
        <f t="shared" si="149"/>
        <v>0.22808</v>
      </c>
      <c r="AA359" s="348">
        <f t="shared" si="150"/>
        <v>4.6416</v>
      </c>
      <c r="AB359" s="348">
        <f t="shared" si="151"/>
        <v>0</v>
      </c>
      <c r="AC359" s="350"/>
    </row>
    <row r="360" ht="24" spans="1:29">
      <c r="A360" s="284" t="s">
        <v>640</v>
      </c>
      <c r="B360" s="284" t="s">
        <v>199</v>
      </c>
      <c r="C360" s="284" t="s">
        <v>657</v>
      </c>
      <c r="D360" s="284" t="s">
        <v>647</v>
      </c>
      <c r="E360" s="348">
        <f t="shared" si="142"/>
        <v>13.38</v>
      </c>
      <c r="F360" s="348">
        <v>5</v>
      </c>
      <c r="G360" s="348">
        <v>2.5</v>
      </c>
      <c r="H360" s="348">
        <v>1.88</v>
      </c>
      <c r="I360" s="348">
        <v>0.06</v>
      </c>
      <c r="J360" s="348">
        <v>0.19</v>
      </c>
      <c r="K360" s="348">
        <v>3.75</v>
      </c>
      <c r="L360" s="348"/>
      <c r="M360" s="348">
        <f t="shared" si="143"/>
        <v>1.07</v>
      </c>
      <c r="N360" s="348">
        <f>(SUM('工资福利（公务员、参公人员）'!R360:T360)+SUM('工资福利（事业）'!V360:X360,'工资福利（事业）'!AB360))*0.16</f>
        <v>0.4</v>
      </c>
      <c r="O360" s="348">
        <f>(SUM('工资福利（公务员、参公人员）'!R360:S360)+SUM('工资福利（事业）'!V360:X360,'工资福利（事业）'!AB360))*0.08</f>
        <v>0.2</v>
      </c>
      <c r="P360" s="348">
        <f>(SUM('工资福利（公务员、参公人员）'!R360:S360)+SUM('工资福利（事业）'!V360:X360,'工资福利（事业）'!AB360))*0.06</f>
        <v>0.15</v>
      </c>
      <c r="Q360" s="348">
        <f>(SUM('工资福利（公务员、参公人员）'!R360:S360)+SUM('工资福利（事业）'!V360:X360,'工资福利（事业）'!AB360))*0.002</f>
        <v>0.005</v>
      </c>
      <c r="R360" s="348">
        <f>(SUM('工资福利（公务员、参公人员）'!R360:S360)+SUM('工资福利（事业）'!V360:X360,'工资福利（事业）'!AB360))*0.006</f>
        <v>0.015</v>
      </c>
      <c r="S360" s="348">
        <f>(SUM('工资福利（公务员、参公人员）'!R360:S360)+SUM('工资福利（事业）'!V360:X360,'工资福利（事业）'!AB360))*0.12</f>
        <v>0.3</v>
      </c>
      <c r="T360" s="348"/>
      <c r="U360" s="348">
        <f t="shared" si="144"/>
        <v>14.45</v>
      </c>
      <c r="V360" s="348">
        <f t="shared" si="145"/>
        <v>5.4</v>
      </c>
      <c r="W360" s="348">
        <f t="shared" si="146"/>
        <v>2.7</v>
      </c>
      <c r="X360" s="348">
        <f t="shared" si="147"/>
        <v>2.03</v>
      </c>
      <c r="Y360" s="348">
        <f t="shared" si="148"/>
        <v>0.065</v>
      </c>
      <c r="Z360" s="348">
        <f t="shared" si="149"/>
        <v>0.205</v>
      </c>
      <c r="AA360" s="348">
        <f t="shared" si="150"/>
        <v>4.05</v>
      </c>
      <c r="AB360" s="348">
        <f t="shared" si="151"/>
        <v>0</v>
      </c>
      <c r="AC360" s="350"/>
    </row>
    <row r="361" ht="24" spans="1:29">
      <c r="A361" s="284" t="s">
        <v>640</v>
      </c>
      <c r="B361" s="284" t="s">
        <v>199</v>
      </c>
      <c r="C361" s="284" t="s">
        <v>658</v>
      </c>
      <c r="D361" s="284" t="s">
        <v>647</v>
      </c>
      <c r="E361" s="348">
        <f t="shared" si="142"/>
        <v>13.08</v>
      </c>
      <c r="F361" s="348">
        <v>4.89</v>
      </c>
      <c r="G361" s="348">
        <v>2.45</v>
      </c>
      <c r="H361" s="348">
        <v>1.83</v>
      </c>
      <c r="I361" s="348">
        <v>0.06</v>
      </c>
      <c r="J361" s="348">
        <v>0.18</v>
      </c>
      <c r="K361" s="348">
        <v>3.67</v>
      </c>
      <c r="L361" s="348"/>
      <c r="M361" s="348">
        <f t="shared" si="143"/>
        <v>1.4124</v>
      </c>
      <c r="N361" s="348">
        <f>(SUM('工资福利（公务员、参公人员）'!R361:T361)+SUM('工资福利（事业）'!V361:X361,'工资福利（事业）'!AB361))*0.16</f>
        <v>0.528</v>
      </c>
      <c r="O361" s="348">
        <f>(SUM('工资福利（公务员、参公人员）'!R361:S361)+SUM('工资福利（事业）'!V361:X361,'工资福利（事业）'!AB361))*0.08</f>
        <v>0.264</v>
      </c>
      <c r="P361" s="348">
        <f>(SUM('工资福利（公务员、参公人员）'!R361:S361)+SUM('工资福利（事业）'!V361:X361,'工资福利（事业）'!AB361))*0.06</f>
        <v>0.198</v>
      </c>
      <c r="Q361" s="348">
        <f>(SUM('工资福利（公务员、参公人员）'!R361:S361)+SUM('工资福利（事业）'!V361:X361,'工资福利（事业）'!AB361))*0.002</f>
        <v>0.0066</v>
      </c>
      <c r="R361" s="348">
        <f>(SUM('工资福利（公务员、参公人员）'!R361:S361)+SUM('工资福利（事业）'!V361:X361,'工资福利（事业）'!AB361))*0.006</f>
        <v>0.0198</v>
      </c>
      <c r="S361" s="348">
        <f>(SUM('工资福利（公务员、参公人员）'!R361:S361)+SUM('工资福利（事业）'!V361:X361,'工资福利（事业）'!AB361))*0.12</f>
        <v>0.396</v>
      </c>
      <c r="T361" s="348"/>
      <c r="U361" s="348">
        <f t="shared" si="144"/>
        <v>14.4924</v>
      </c>
      <c r="V361" s="348">
        <f t="shared" si="145"/>
        <v>5.418</v>
      </c>
      <c r="W361" s="348">
        <f t="shared" si="146"/>
        <v>2.714</v>
      </c>
      <c r="X361" s="348">
        <f t="shared" si="147"/>
        <v>2.028</v>
      </c>
      <c r="Y361" s="348">
        <f t="shared" si="148"/>
        <v>0.0666</v>
      </c>
      <c r="Z361" s="348">
        <f t="shared" si="149"/>
        <v>0.1998</v>
      </c>
      <c r="AA361" s="348">
        <f t="shared" si="150"/>
        <v>4.066</v>
      </c>
      <c r="AB361" s="348">
        <f t="shared" si="151"/>
        <v>0</v>
      </c>
      <c r="AC361" s="350"/>
    </row>
    <row r="362" ht="24" spans="1:29">
      <c r="A362" s="284" t="s">
        <v>640</v>
      </c>
      <c r="B362" s="284" t="s">
        <v>199</v>
      </c>
      <c r="C362" s="284" t="s">
        <v>659</v>
      </c>
      <c r="D362" s="284" t="s">
        <v>647</v>
      </c>
      <c r="E362" s="348">
        <f t="shared" si="142"/>
        <v>15.57</v>
      </c>
      <c r="F362" s="348">
        <v>5.82</v>
      </c>
      <c r="G362" s="348">
        <v>2.91</v>
      </c>
      <c r="H362" s="348">
        <v>2.18</v>
      </c>
      <c r="I362" s="348">
        <v>0.07</v>
      </c>
      <c r="J362" s="348">
        <v>0.22</v>
      </c>
      <c r="K362" s="348">
        <v>4.37</v>
      </c>
      <c r="L362" s="348"/>
      <c r="M362" s="348">
        <f t="shared" si="143"/>
        <v>1.5948136</v>
      </c>
      <c r="N362" s="348">
        <f>(SUM('工资福利（公务员、参公人员）'!R362:T362)+SUM('工资福利（事业）'!V362:X362,'工资福利（事业）'!AB362))*0.16</f>
        <v>0.596192</v>
      </c>
      <c r="O362" s="348">
        <f>(SUM('工资福利（公务员、参公人员）'!R362:S362)+SUM('工资福利（事业）'!V362:X362,'工资福利（事业）'!AB362))*0.08</f>
        <v>0.298096</v>
      </c>
      <c r="P362" s="348">
        <f>(SUM('工资福利（公务员、参公人员）'!R362:S362)+SUM('工资福利（事业）'!V362:X362,'工资福利（事业）'!AB362))*0.06</f>
        <v>0.223572</v>
      </c>
      <c r="Q362" s="348">
        <f>(SUM('工资福利（公务员、参公人员）'!R362:S362)+SUM('工资福利（事业）'!V362:X362,'工资福利（事业）'!AB362))*0.002</f>
        <v>0.0074524</v>
      </c>
      <c r="R362" s="348">
        <f>(SUM('工资福利（公务员、参公人员）'!R362:S362)+SUM('工资福利（事业）'!V362:X362,'工资福利（事业）'!AB362))*0.006</f>
        <v>0.0223572</v>
      </c>
      <c r="S362" s="348">
        <f>(SUM('工资福利（公务员、参公人员）'!R362:S362)+SUM('工资福利（事业）'!V362:X362,'工资福利（事业）'!AB362))*0.12</f>
        <v>0.447144</v>
      </c>
      <c r="T362" s="348"/>
      <c r="U362" s="348">
        <f t="shared" si="144"/>
        <v>17.1648136</v>
      </c>
      <c r="V362" s="348">
        <f t="shared" si="145"/>
        <v>6.416192</v>
      </c>
      <c r="W362" s="348">
        <f t="shared" si="146"/>
        <v>3.208096</v>
      </c>
      <c r="X362" s="348">
        <f t="shared" si="147"/>
        <v>2.403572</v>
      </c>
      <c r="Y362" s="348">
        <f t="shared" si="148"/>
        <v>0.0774524</v>
      </c>
      <c r="Z362" s="348">
        <f t="shared" si="149"/>
        <v>0.2423572</v>
      </c>
      <c r="AA362" s="348">
        <f t="shared" si="150"/>
        <v>4.817144</v>
      </c>
      <c r="AB362" s="348">
        <f t="shared" si="151"/>
        <v>0</v>
      </c>
      <c r="AC362" s="350"/>
    </row>
    <row r="363" ht="24" spans="1:29">
      <c r="A363" s="284" t="s">
        <v>640</v>
      </c>
      <c r="B363" s="284" t="s">
        <v>199</v>
      </c>
      <c r="C363" s="284" t="s">
        <v>660</v>
      </c>
      <c r="D363" s="284" t="s">
        <v>647</v>
      </c>
      <c r="E363" s="348">
        <f t="shared" si="142"/>
        <v>29.11</v>
      </c>
      <c r="F363" s="348">
        <v>10.88</v>
      </c>
      <c r="G363" s="348">
        <v>5.44</v>
      </c>
      <c r="H363" s="348">
        <v>4.08</v>
      </c>
      <c r="I363" s="348">
        <v>0.14</v>
      </c>
      <c r="J363" s="348">
        <v>0.41</v>
      </c>
      <c r="K363" s="348">
        <v>8.16</v>
      </c>
      <c r="L363" s="348"/>
      <c r="M363" s="348">
        <f t="shared" si="143"/>
        <v>2.3722328</v>
      </c>
      <c r="N363" s="348">
        <f>(SUM('工资福利（公务员、参公人员）'!R363:T363)+SUM('工资福利（事业）'!V363:X363,'工资福利（事业）'!AB363))*0.16</f>
        <v>0.886816</v>
      </c>
      <c r="O363" s="348">
        <f>(SUM('工资福利（公务员、参公人员）'!R363:S363)+SUM('工资福利（事业）'!V363:X363,'工资福利（事业）'!AB363))*0.08</f>
        <v>0.443408</v>
      </c>
      <c r="P363" s="348">
        <f>(SUM('工资福利（公务员、参公人员）'!R363:S363)+SUM('工资福利（事业）'!V363:X363,'工资福利（事业）'!AB363))*0.06</f>
        <v>0.332556</v>
      </c>
      <c r="Q363" s="348">
        <f>(SUM('工资福利（公务员、参公人员）'!R363:S363)+SUM('工资福利（事业）'!V363:X363,'工资福利（事业）'!AB363))*0.002</f>
        <v>0.0110852</v>
      </c>
      <c r="R363" s="348">
        <f>(SUM('工资福利（公务员、参公人员）'!R363:S363)+SUM('工资福利（事业）'!V363:X363,'工资福利（事业）'!AB363))*0.006</f>
        <v>0.0332556</v>
      </c>
      <c r="S363" s="348">
        <f>(SUM('工资福利（公务员、参公人员）'!R363:S363)+SUM('工资福利（事业）'!V363:X363,'工资福利（事业）'!AB363))*0.12</f>
        <v>0.665112</v>
      </c>
      <c r="T363" s="348"/>
      <c r="U363" s="348">
        <f t="shared" si="144"/>
        <v>31.4822328</v>
      </c>
      <c r="V363" s="348">
        <f t="shared" si="145"/>
        <v>11.766816</v>
      </c>
      <c r="W363" s="348">
        <f t="shared" si="146"/>
        <v>5.883408</v>
      </c>
      <c r="X363" s="348">
        <f t="shared" si="147"/>
        <v>4.412556</v>
      </c>
      <c r="Y363" s="348">
        <f t="shared" si="148"/>
        <v>0.1510852</v>
      </c>
      <c r="Z363" s="348">
        <f t="shared" si="149"/>
        <v>0.4432556</v>
      </c>
      <c r="AA363" s="348">
        <f t="shared" si="150"/>
        <v>8.825112</v>
      </c>
      <c r="AB363" s="348">
        <f t="shared" si="151"/>
        <v>0</v>
      </c>
      <c r="AC363" s="350"/>
    </row>
    <row r="364" ht="24" spans="1:29">
      <c r="A364" s="284" t="s">
        <v>640</v>
      </c>
      <c r="B364" s="284" t="s">
        <v>199</v>
      </c>
      <c r="C364" s="284" t="s">
        <v>661</v>
      </c>
      <c r="D364" s="284" t="s">
        <v>647</v>
      </c>
      <c r="E364" s="348">
        <f t="shared" si="142"/>
        <v>16.19</v>
      </c>
      <c r="F364" s="348">
        <v>6.05</v>
      </c>
      <c r="G364" s="348">
        <v>3.02</v>
      </c>
      <c r="H364" s="348">
        <v>2.27</v>
      </c>
      <c r="I364" s="348">
        <v>0.08</v>
      </c>
      <c r="J364" s="348">
        <v>0.23</v>
      </c>
      <c r="K364" s="348">
        <v>4.54</v>
      </c>
      <c r="L364" s="348"/>
      <c r="M364" s="348">
        <f t="shared" si="143"/>
        <v>1.6586284</v>
      </c>
      <c r="N364" s="348">
        <f>(SUM('工资福利（公务员、参公人员）'!R364:T364)+SUM('工资福利（事业）'!V364:X364,'工资福利（事业）'!AB364))*0.16</f>
        <v>0.620048</v>
      </c>
      <c r="O364" s="348">
        <f>(SUM('工资福利（公务员、参公人员）'!R364:S364)+SUM('工资福利（事业）'!V364:X364,'工资福利（事业）'!AB364))*0.08</f>
        <v>0.310024</v>
      </c>
      <c r="P364" s="348">
        <f>(SUM('工资福利（公务员、参公人员）'!R364:S364)+SUM('工资福利（事业）'!V364:X364,'工资福利（事业）'!AB364))*0.06</f>
        <v>0.232518</v>
      </c>
      <c r="Q364" s="348">
        <f>(SUM('工资福利（公务员、参公人员）'!R364:S364)+SUM('工资福利（事业）'!V364:X364,'工资福利（事业）'!AB364))*0.002</f>
        <v>0.0077506</v>
      </c>
      <c r="R364" s="348">
        <f>(SUM('工资福利（公务员、参公人员）'!R364:S364)+SUM('工资福利（事业）'!V364:X364,'工资福利（事业）'!AB364))*0.006</f>
        <v>0.0232518</v>
      </c>
      <c r="S364" s="348">
        <f>(SUM('工资福利（公务员、参公人员）'!R364:S364)+SUM('工资福利（事业）'!V364:X364,'工资福利（事业）'!AB364))*0.12</f>
        <v>0.465036</v>
      </c>
      <c r="T364" s="348"/>
      <c r="U364" s="348">
        <f t="shared" si="144"/>
        <v>17.8486284</v>
      </c>
      <c r="V364" s="348">
        <f t="shared" si="145"/>
        <v>6.670048</v>
      </c>
      <c r="W364" s="348">
        <f t="shared" si="146"/>
        <v>3.330024</v>
      </c>
      <c r="X364" s="348">
        <f t="shared" si="147"/>
        <v>2.502518</v>
      </c>
      <c r="Y364" s="348">
        <f t="shared" si="148"/>
        <v>0.0877506</v>
      </c>
      <c r="Z364" s="348">
        <f t="shared" si="149"/>
        <v>0.2532518</v>
      </c>
      <c r="AA364" s="348">
        <f t="shared" si="150"/>
        <v>5.005036</v>
      </c>
      <c r="AB364" s="348">
        <f t="shared" si="151"/>
        <v>0</v>
      </c>
      <c r="AC364" s="350"/>
    </row>
    <row r="365" ht="24" spans="1:29">
      <c r="A365" s="284" t="s">
        <v>640</v>
      </c>
      <c r="B365" s="284" t="s">
        <v>199</v>
      </c>
      <c r="C365" s="284" t="s">
        <v>662</v>
      </c>
      <c r="D365" s="284" t="s">
        <v>647</v>
      </c>
      <c r="E365" s="348">
        <f t="shared" si="142"/>
        <v>20.03</v>
      </c>
      <c r="F365" s="348">
        <v>7.49</v>
      </c>
      <c r="G365" s="348">
        <v>3.74</v>
      </c>
      <c r="H365" s="348">
        <v>2.81</v>
      </c>
      <c r="I365" s="348">
        <v>0.09</v>
      </c>
      <c r="J365" s="348">
        <v>0.28</v>
      </c>
      <c r="K365" s="348">
        <v>5.62</v>
      </c>
      <c r="L365" s="348"/>
      <c r="M365" s="348">
        <f t="shared" si="143"/>
        <v>0.1417108</v>
      </c>
      <c r="N365" s="348">
        <f>(SUM('工资福利（公务员、参公人员）'!R365:T365)+SUM('工资福利（事业）'!V365:X365,'工资福利（事业）'!AB365))*0.16</f>
        <v>0.052976</v>
      </c>
      <c r="O365" s="348">
        <f>(SUM('工资福利（公务员、参公人员）'!R365:S365)+SUM('工资福利（事业）'!V365:X365,'工资福利（事业）'!AB365))*0.08</f>
        <v>0.026488</v>
      </c>
      <c r="P365" s="348">
        <f>(SUM('工资福利（公务员、参公人员）'!R365:S365)+SUM('工资福利（事业）'!V365:X365,'工资福利（事业）'!AB365))*0.06</f>
        <v>0.019866</v>
      </c>
      <c r="Q365" s="348">
        <f>(SUM('工资福利（公务员、参公人员）'!R365:S365)+SUM('工资福利（事业）'!V365:X365,'工资福利（事业）'!AB365))*0.002</f>
        <v>0.0006622</v>
      </c>
      <c r="R365" s="348">
        <f>(SUM('工资福利（公务员、参公人员）'!R365:S365)+SUM('工资福利（事业）'!V365:X365,'工资福利（事业）'!AB365))*0.006</f>
        <v>0.0019866</v>
      </c>
      <c r="S365" s="348">
        <f>(SUM('工资福利（公务员、参公人员）'!R365:S365)+SUM('工资福利（事业）'!V365:X365,'工资福利（事业）'!AB365))*0.12</f>
        <v>0.039732</v>
      </c>
      <c r="T365" s="348"/>
      <c r="U365" s="348">
        <f t="shared" si="144"/>
        <v>20.1717108</v>
      </c>
      <c r="V365" s="348">
        <f t="shared" si="145"/>
        <v>7.542976</v>
      </c>
      <c r="W365" s="348">
        <f t="shared" si="146"/>
        <v>3.766488</v>
      </c>
      <c r="X365" s="348">
        <f t="shared" si="147"/>
        <v>2.829866</v>
      </c>
      <c r="Y365" s="348">
        <f t="shared" si="148"/>
        <v>0.0906622</v>
      </c>
      <c r="Z365" s="348">
        <f t="shared" si="149"/>
        <v>0.2819866</v>
      </c>
      <c r="AA365" s="348">
        <f t="shared" si="150"/>
        <v>5.659732</v>
      </c>
      <c r="AB365" s="348">
        <f t="shared" si="151"/>
        <v>0</v>
      </c>
      <c r="AC365" s="350"/>
    </row>
    <row r="366" ht="24" spans="1:29">
      <c r="A366" s="284" t="s">
        <v>640</v>
      </c>
      <c r="B366" s="284" t="s">
        <v>199</v>
      </c>
      <c r="C366" s="284" t="s">
        <v>663</v>
      </c>
      <c r="D366" s="284" t="s">
        <v>647</v>
      </c>
      <c r="E366" s="348">
        <f t="shared" si="142"/>
        <v>12.85</v>
      </c>
      <c r="F366" s="348">
        <v>4.81</v>
      </c>
      <c r="G366" s="348">
        <v>2.4</v>
      </c>
      <c r="H366" s="348">
        <v>1.8</v>
      </c>
      <c r="I366" s="348">
        <v>0.06</v>
      </c>
      <c r="J366" s="348">
        <v>0.18</v>
      </c>
      <c r="K366" s="348">
        <v>3.6</v>
      </c>
      <c r="L366" s="348"/>
      <c r="M366" s="348">
        <f t="shared" si="143"/>
        <v>1.370028</v>
      </c>
      <c r="N366" s="348">
        <f>(SUM('工资福利（公务员、参公人员）'!R366:T366)+SUM('工资福利（事业）'!V366:X366,'工资福利（事业）'!AB366))*0.16</f>
        <v>0.51216</v>
      </c>
      <c r="O366" s="348">
        <f>(SUM('工资福利（公务员、参公人员）'!R366:S366)+SUM('工资福利（事业）'!V366:X366,'工资福利（事业）'!AB366))*0.08</f>
        <v>0.25608</v>
      </c>
      <c r="P366" s="348">
        <f>(SUM('工资福利（公务员、参公人员）'!R366:S366)+SUM('工资福利（事业）'!V366:X366,'工资福利（事业）'!AB366))*0.06</f>
        <v>0.19206</v>
      </c>
      <c r="Q366" s="348">
        <f>(SUM('工资福利（公务员、参公人员）'!R366:S366)+SUM('工资福利（事业）'!V366:X366,'工资福利（事业）'!AB366))*0.002</f>
        <v>0.006402</v>
      </c>
      <c r="R366" s="348">
        <f>(SUM('工资福利（公务员、参公人员）'!R366:S366)+SUM('工资福利（事业）'!V366:X366,'工资福利（事业）'!AB366))*0.006</f>
        <v>0.019206</v>
      </c>
      <c r="S366" s="348">
        <f>(SUM('工资福利（公务员、参公人员）'!R366:S366)+SUM('工资福利（事业）'!V366:X366,'工资福利（事业）'!AB366))*0.12</f>
        <v>0.38412</v>
      </c>
      <c r="T366" s="348"/>
      <c r="U366" s="348">
        <f t="shared" si="144"/>
        <v>14.220028</v>
      </c>
      <c r="V366" s="348">
        <f t="shared" si="145"/>
        <v>5.32216</v>
      </c>
      <c r="W366" s="348">
        <f t="shared" si="146"/>
        <v>2.65608</v>
      </c>
      <c r="X366" s="348">
        <f t="shared" si="147"/>
        <v>1.99206</v>
      </c>
      <c r="Y366" s="348">
        <f t="shared" si="148"/>
        <v>0.066402</v>
      </c>
      <c r="Z366" s="348">
        <f t="shared" si="149"/>
        <v>0.199206</v>
      </c>
      <c r="AA366" s="348">
        <f t="shared" si="150"/>
        <v>3.98412</v>
      </c>
      <c r="AB366" s="348">
        <f t="shared" si="151"/>
        <v>0</v>
      </c>
      <c r="AC366" s="350"/>
    </row>
    <row r="367" ht="24" spans="1:29">
      <c r="A367" s="284" t="s">
        <v>640</v>
      </c>
      <c r="B367" s="284" t="s">
        <v>199</v>
      </c>
      <c r="C367" s="284" t="s">
        <v>664</v>
      </c>
      <c r="D367" s="284" t="s">
        <v>647</v>
      </c>
      <c r="E367" s="348">
        <f t="shared" si="142"/>
        <v>16.69</v>
      </c>
      <c r="F367" s="348">
        <v>6.24</v>
      </c>
      <c r="G367" s="348">
        <v>3.12</v>
      </c>
      <c r="H367" s="348">
        <v>2.34</v>
      </c>
      <c r="I367" s="348">
        <v>0.08</v>
      </c>
      <c r="J367" s="348">
        <v>0.23</v>
      </c>
      <c r="K367" s="348">
        <v>4.68</v>
      </c>
      <c r="L367" s="348"/>
      <c r="M367" s="348">
        <f t="shared" si="143"/>
        <v>3.7342144</v>
      </c>
      <c r="N367" s="348">
        <f>(SUM('工资福利（公务员、参公人员）'!R367:T367)+SUM('工资福利（事业）'!V367:X367,'工资福利（事业）'!AB367))*0.16</f>
        <v>1.395968</v>
      </c>
      <c r="O367" s="348">
        <f>(SUM('工资福利（公务员、参公人员）'!R367:S367)+SUM('工资福利（事业）'!V367:X367,'工资福利（事业）'!AB367))*0.08</f>
        <v>0.697984</v>
      </c>
      <c r="P367" s="348">
        <f>(SUM('工资福利（公务员、参公人员）'!R367:S367)+SUM('工资福利（事业）'!V367:X367,'工资福利（事业）'!AB367))*0.06</f>
        <v>0.523488</v>
      </c>
      <c r="Q367" s="348">
        <f>(SUM('工资福利（公务员、参公人员）'!R367:S367)+SUM('工资福利（事业）'!V367:X367,'工资福利（事业）'!AB367))*0.002</f>
        <v>0.0174496</v>
      </c>
      <c r="R367" s="348">
        <f>(SUM('工资福利（公务员、参公人员）'!R367:S367)+SUM('工资福利（事业）'!V367:X367,'工资福利（事业）'!AB367))*0.006</f>
        <v>0.0523488</v>
      </c>
      <c r="S367" s="348">
        <f>(SUM('工资福利（公务员、参公人员）'!R367:S367)+SUM('工资福利（事业）'!V367:X367,'工资福利（事业）'!AB367))*0.12</f>
        <v>1.046976</v>
      </c>
      <c r="T367" s="348"/>
      <c r="U367" s="348">
        <f t="shared" si="144"/>
        <v>20.4242144</v>
      </c>
      <c r="V367" s="348">
        <f t="shared" si="145"/>
        <v>7.635968</v>
      </c>
      <c r="W367" s="348">
        <f t="shared" si="146"/>
        <v>3.817984</v>
      </c>
      <c r="X367" s="348">
        <f t="shared" si="147"/>
        <v>2.863488</v>
      </c>
      <c r="Y367" s="348">
        <f t="shared" si="148"/>
        <v>0.0974496</v>
      </c>
      <c r="Z367" s="348">
        <f t="shared" si="149"/>
        <v>0.2823488</v>
      </c>
      <c r="AA367" s="348">
        <f t="shared" si="150"/>
        <v>5.726976</v>
      </c>
      <c r="AB367" s="348">
        <f t="shared" si="151"/>
        <v>0</v>
      </c>
      <c r="AC367" s="350"/>
    </row>
    <row r="368" ht="24" spans="1:29">
      <c r="A368" s="284" t="s">
        <v>665</v>
      </c>
      <c r="B368" s="284" t="s">
        <v>196</v>
      </c>
      <c r="C368" s="284" t="s">
        <v>666</v>
      </c>
      <c r="D368" s="284" t="s">
        <v>667</v>
      </c>
      <c r="E368" s="348">
        <f t="shared" si="142"/>
        <v>65.32</v>
      </c>
      <c r="F368" s="348">
        <v>25.18</v>
      </c>
      <c r="G368" s="348">
        <v>11.98</v>
      </c>
      <c r="H368" s="348">
        <v>8.99</v>
      </c>
      <c r="I368" s="348">
        <v>0.3</v>
      </c>
      <c r="J368" s="348">
        <v>0.9</v>
      </c>
      <c r="K368" s="348">
        <v>17.97</v>
      </c>
      <c r="L368" s="348"/>
      <c r="M368" s="348">
        <f t="shared" si="143"/>
        <v>3.666</v>
      </c>
      <c r="N368" s="348">
        <f>(SUM('工资福利（公务员、参公人员）'!R368:T368)+SUM('工资福利（事业）'!V368:X368,'工资福利（事业）'!AB368))*0.16</f>
        <v>1.4416</v>
      </c>
      <c r="O368" s="348">
        <f>(SUM('工资福利（公务员、参公人员）'!R368:S368)+SUM('工资福利（事业）'!V368:X368,'工资福利（事业）'!AB368))*0.08</f>
        <v>0.664</v>
      </c>
      <c r="P368" s="348">
        <f>(SUM('工资福利（公务员、参公人员）'!R368:S368)+SUM('工资福利（事业）'!V368:X368,'工资福利（事业）'!AB368))*0.06</f>
        <v>0.498</v>
      </c>
      <c r="Q368" s="348">
        <f>(SUM('工资福利（公务员、参公人员）'!R368:S368)+SUM('工资福利（事业）'!V368:X368,'工资福利（事业）'!AB368))*0.002</f>
        <v>0.0166</v>
      </c>
      <c r="R368" s="348">
        <f>(SUM('工资福利（公务员、参公人员）'!R368:S368)+SUM('工资福利（事业）'!V368:X368,'工资福利（事业）'!AB368))*0.006</f>
        <v>0.0498</v>
      </c>
      <c r="S368" s="348">
        <f>(SUM('工资福利（公务员、参公人员）'!R368:S368)+SUM('工资福利（事业）'!V368:X368,'工资福利（事业）'!AB368))*0.12</f>
        <v>0.996</v>
      </c>
      <c r="T368" s="348"/>
      <c r="U368" s="348">
        <f t="shared" si="144"/>
        <v>68.986</v>
      </c>
      <c r="V368" s="348">
        <f t="shared" si="145"/>
        <v>26.6216</v>
      </c>
      <c r="W368" s="348">
        <f t="shared" si="146"/>
        <v>12.644</v>
      </c>
      <c r="X368" s="348">
        <f t="shared" si="147"/>
        <v>9.488</v>
      </c>
      <c r="Y368" s="348">
        <f t="shared" si="148"/>
        <v>0.3166</v>
      </c>
      <c r="Z368" s="348">
        <f t="shared" si="149"/>
        <v>0.9498</v>
      </c>
      <c r="AA368" s="348">
        <f t="shared" si="150"/>
        <v>18.966</v>
      </c>
      <c r="AB368" s="348">
        <f t="shared" si="151"/>
        <v>0</v>
      </c>
      <c r="AC368" s="350"/>
    </row>
    <row r="369" ht="24" spans="1:29">
      <c r="A369" s="284" t="s">
        <v>665</v>
      </c>
      <c r="B369" s="284" t="s">
        <v>199</v>
      </c>
      <c r="C369" s="284" t="s">
        <v>680</v>
      </c>
      <c r="D369" s="284" t="s">
        <v>681</v>
      </c>
      <c r="E369" s="348">
        <f t="shared" si="142"/>
        <v>0</v>
      </c>
      <c r="F369" s="348"/>
      <c r="G369" s="348"/>
      <c r="H369" s="348"/>
      <c r="I369" s="348"/>
      <c r="J369" s="348"/>
      <c r="K369" s="348"/>
      <c r="L369" s="348"/>
      <c r="M369" s="348">
        <f t="shared" si="143"/>
        <v>7.09624</v>
      </c>
      <c r="N369" s="348">
        <f>(SUM('工资福利（公务员、参公人员）'!R369:T369)+SUM('工资福利（事业）'!V369:X369,'工资福利（事业）'!AB369))*0.16</f>
        <v>2.6528</v>
      </c>
      <c r="O369" s="348">
        <f>(SUM('工资福利（公务员、参公人员）'!R369:S369)+SUM('工资福利（事业）'!V369:X369,'工资福利（事业）'!AB369))*0.08</f>
        <v>1.3264</v>
      </c>
      <c r="P369" s="348">
        <f>(SUM('工资福利（公务员、参公人员）'!R369:S369)+SUM('工资福利（事业）'!V369:X369,'工资福利（事业）'!AB369))*0.06</f>
        <v>0.9948</v>
      </c>
      <c r="Q369" s="348">
        <f>(SUM('工资福利（公务员、参公人员）'!R369:S369)+SUM('工资福利（事业）'!V369:X369,'工资福利（事业）'!AB369))*0.002</f>
        <v>0.03316</v>
      </c>
      <c r="R369" s="348">
        <f>(SUM('工资福利（公务员、参公人员）'!R369:S369)+SUM('工资福利（事业）'!V369:X369,'工资福利（事业）'!AB369))*0.006</f>
        <v>0.09948</v>
      </c>
      <c r="S369" s="348">
        <f>(SUM('工资福利（公务员、参公人员）'!R369:S369)+SUM('工资福利（事业）'!V369:X369,'工资福利（事业）'!AB369))*0.12</f>
        <v>1.9896</v>
      </c>
      <c r="T369" s="348"/>
      <c r="U369" s="348">
        <f t="shared" si="144"/>
        <v>7.09624</v>
      </c>
      <c r="V369" s="348">
        <f t="shared" si="145"/>
        <v>2.6528</v>
      </c>
      <c r="W369" s="348">
        <f t="shared" si="146"/>
        <v>1.3264</v>
      </c>
      <c r="X369" s="348">
        <f t="shared" si="147"/>
        <v>0.9948</v>
      </c>
      <c r="Y369" s="348">
        <f t="shared" si="148"/>
        <v>0.03316</v>
      </c>
      <c r="Z369" s="348">
        <f t="shared" si="149"/>
        <v>0.09948</v>
      </c>
      <c r="AA369" s="348">
        <f t="shared" si="150"/>
        <v>1.9896</v>
      </c>
      <c r="AB369" s="348">
        <f t="shared" si="151"/>
        <v>0</v>
      </c>
      <c r="AC369" s="350"/>
    </row>
    <row r="370" ht="24" spans="1:29">
      <c r="A370" s="284" t="s">
        <v>665</v>
      </c>
      <c r="B370" s="284" t="s">
        <v>196</v>
      </c>
      <c r="C370" s="284" t="s">
        <v>668</v>
      </c>
      <c r="D370" s="284" t="s">
        <v>667</v>
      </c>
      <c r="E370" s="348">
        <f t="shared" si="142"/>
        <v>96.11</v>
      </c>
      <c r="F370" s="348">
        <v>36.68</v>
      </c>
      <c r="G370" s="348">
        <v>17.74</v>
      </c>
      <c r="H370" s="348">
        <v>13.31</v>
      </c>
      <c r="I370" s="348">
        <v>0.44</v>
      </c>
      <c r="J370" s="348">
        <v>1.33</v>
      </c>
      <c r="K370" s="348">
        <v>26.61</v>
      </c>
      <c r="L370" s="348"/>
      <c r="M370" s="348">
        <f t="shared" si="143"/>
        <v>16.66152</v>
      </c>
      <c r="N370" s="348">
        <f>(SUM('工资福利（公务员、参公人员）'!R370:T370)+SUM('工资福利（事业）'!V370:X370,'工资福利（事业）'!AB370))*0.16</f>
        <v>6.3328</v>
      </c>
      <c r="O370" s="348">
        <f>(SUM('工资福利（公务员、参公人员）'!R370:S370)+SUM('工资福利（事业）'!V370:X370,'工资福利（事业）'!AB370))*0.08</f>
        <v>3.0832</v>
      </c>
      <c r="P370" s="348">
        <f>(SUM('工资福利（公务员、参公人员）'!R370:S370)+SUM('工资福利（事业）'!V370:X370,'工资福利（事业）'!AB370))*0.06</f>
        <v>2.3124</v>
      </c>
      <c r="Q370" s="348">
        <f>(SUM('工资福利（公务员、参公人员）'!R370:S370)+SUM('工资福利（事业）'!V370:X370,'工资福利（事业）'!AB370))*0.002</f>
        <v>0.07708</v>
      </c>
      <c r="R370" s="348">
        <f>(SUM('工资福利（公务员、参公人员）'!R370:S370)+SUM('工资福利（事业）'!V370:X370,'工资福利（事业）'!AB370))*0.006</f>
        <v>0.23124</v>
      </c>
      <c r="S370" s="348">
        <f>(SUM('工资福利（公务员、参公人员）'!R370:S370)+SUM('工资福利（事业）'!V370:X370,'工资福利（事业）'!AB370))*0.12</f>
        <v>4.6248</v>
      </c>
      <c r="T370" s="348"/>
      <c r="U370" s="348">
        <f t="shared" si="144"/>
        <v>112.77152</v>
      </c>
      <c r="V370" s="348">
        <f t="shared" si="145"/>
        <v>43.0128</v>
      </c>
      <c r="W370" s="348">
        <f t="shared" si="146"/>
        <v>20.8232</v>
      </c>
      <c r="X370" s="348">
        <f t="shared" si="147"/>
        <v>15.6224</v>
      </c>
      <c r="Y370" s="348">
        <f t="shared" si="148"/>
        <v>0.51708</v>
      </c>
      <c r="Z370" s="348">
        <f t="shared" si="149"/>
        <v>1.56124</v>
      </c>
      <c r="AA370" s="348">
        <f t="shared" si="150"/>
        <v>31.2348</v>
      </c>
      <c r="AB370" s="348">
        <f t="shared" si="151"/>
        <v>0</v>
      </c>
      <c r="AC370" s="350"/>
    </row>
    <row r="371" ht="24" spans="1:29">
      <c r="A371" s="284" t="s">
        <v>665</v>
      </c>
      <c r="B371" s="284" t="s">
        <v>199</v>
      </c>
      <c r="C371" s="284" t="s">
        <v>669</v>
      </c>
      <c r="D371" s="284" t="s">
        <v>670</v>
      </c>
      <c r="E371" s="348">
        <f t="shared" si="142"/>
        <v>11.29</v>
      </c>
      <c r="F371" s="348">
        <v>4.22</v>
      </c>
      <c r="G371" s="348">
        <v>2.11</v>
      </c>
      <c r="H371" s="348">
        <v>1.58</v>
      </c>
      <c r="I371" s="348">
        <v>0.05</v>
      </c>
      <c r="J371" s="348">
        <v>0.16</v>
      </c>
      <c r="K371" s="348">
        <v>3.17</v>
      </c>
      <c r="L371" s="348"/>
      <c r="M371" s="348">
        <f t="shared" si="143"/>
        <v>0.97584</v>
      </c>
      <c r="N371" s="348">
        <f>(SUM('工资福利（公务员、参公人员）'!R371:T371)+SUM('工资福利（事业）'!V371:X371,'工资福利（事业）'!AB371))*0.16</f>
        <v>0.3648</v>
      </c>
      <c r="O371" s="348">
        <f>(SUM('工资福利（公务员、参公人员）'!R371:S371)+SUM('工资福利（事业）'!V371:X371,'工资福利（事业）'!AB371))*0.08</f>
        <v>0.1824</v>
      </c>
      <c r="P371" s="348">
        <f>(SUM('工资福利（公务员、参公人员）'!R371:S371)+SUM('工资福利（事业）'!V371:X371,'工资福利（事业）'!AB371))*0.06</f>
        <v>0.1368</v>
      </c>
      <c r="Q371" s="348">
        <f>(SUM('工资福利（公务员、参公人员）'!R371:S371)+SUM('工资福利（事业）'!V371:X371,'工资福利（事业）'!AB371))*0.002</f>
        <v>0.00456</v>
      </c>
      <c r="R371" s="348">
        <f>(SUM('工资福利（公务员、参公人员）'!R371:S371)+SUM('工资福利（事业）'!V371:X371,'工资福利（事业）'!AB371))*0.006</f>
        <v>0.01368</v>
      </c>
      <c r="S371" s="348">
        <f>(SUM('工资福利（公务员、参公人员）'!R371:S371)+SUM('工资福利（事业）'!V371:X371,'工资福利（事业）'!AB371))*0.12</f>
        <v>0.2736</v>
      </c>
      <c r="T371" s="348"/>
      <c r="U371" s="348">
        <f t="shared" si="144"/>
        <v>12.26584</v>
      </c>
      <c r="V371" s="348">
        <f t="shared" si="145"/>
        <v>4.5848</v>
      </c>
      <c r="W371" s="348">
        <f t="shared" si="146"/>
        <v>2.2924</v>
      </c>
      <c r="X371" s="348">
        <f t="shared" si="147"/>
        <v>1.7168</v>
      </c>
      <c r="Y371" s="348">
        <f t="shared" si="148"/>
        <v>0.05456</v>
      </c>
      <c r="Z371" s="348">
        <f t="shared" si="149"/>
        <v>0.17368</v>
      </c>
      <c r="AA371" s="348">
        <f t="shared" si="150"/>
        <v>3.4436</v>
      </c>
      <c r="AB371" s="348">
        <f t="shared" si="151"/>
        <v>0</v>
      </c>
      <c r="AC371" s="350"/>
    </row>
    <row r="372" ht="24" spans="1:29">
      <c r="A372" s="284" t="s">
        <v>665</v>
      </c>
      <c r="B372" s="284" t="s">
        <v>199</v>
      </c>
      <c r="C372" s="284" t="s">
        <v>671</v>
      </c>
      <c r="D372" s="284" t="s">
        <v>670</v>
      </c>
      <c r="E372" s="348">
        <f t="shared" si="142"/>
        <v>0</v>
      </c>
      <c r="F372" s="348"/>
      <c r="G372" s="348"/>
      <c r="H372" s="348"/>
      <c r="I372" s="348"/>
      <c r="J372" s="348"/>
      <c r="K372" s="348"/>
      <c r="L372" s="348"/>
      <c r="M372" s="348">
        <f t="shared" si="143"/>
        <v>-8.00788</v>
      </c>
      <c r="N372" s="348">
        <f>(SUM('工资福利（公务员、参公人员）'!R372:T372)+SUM('工资福利（事业）'!V372:X372,'工资福利（事业）'!AB372))*0.16</f>
        <v>-2.9936</v>
      </c>
      <c r="O372" s="348">
        <f>(SUM('工资福利（公务员、参公人员）'!R372:S372)+SUM('工资福利（事业）'!V372:X372,'工资福利（事业）'!AB372))*0.08</f>
        <v>-1.4968</v>
      </c>
      <c r="P372" s="348">
        <f>(SUM('工资福利（公务员、参公人员）'!R372:S372)+SUM('工资福利（事业）'!V372:X372,'工资福利（事业）'!AB372))*0.06</f>
        <v>-1.1226</v>
      </c>
      <c r="Q372" s="348">
        <f>(SUM('工资福利（公务员、参公人员）'!R372:S372)+SUM('工资福利（事业）'!V372:X372,'工资福利（事业）'!AB372))*0.002</f>
        <v>-0.03742</v>
      </c>
      <c r="R372" s="348">
        <f>(SUM('工资福利（公务员、参公人员）'!R372:S372)+SUM('工资福利（事业）'!V372:X372,'工资福利（事业）'!AB372))*0.006</f>
        <v>-0.11226</v>
      </c>
      <c r="S372" s="348">
        <f>(SUM('工资福利（公务员、参公人员）'!R372:S372)+SUM('工资福利（事业）'!V372:X372,'工资福利（事业）'!AB372))*0.12</f>
        <v>-2.2452</v>
      </c>
      <c r="T372" s="348"/>
      <c r="U372" s="348">
        <f t="shared" si="144"/>
        <v>-8.00788</v>
      </c>
      <c r="V372" s="348">
        <f t="shared" si="145"/>
        <v>-2.9936</v>
      </c>
      <c r="W372" s="348">
        <f t="shared" si="146"/>
        <v>-1.4968</v>
      </c>
      <c r="X372" s="348">
        <f t="shared" si="147"/>
        <v>-1.1226</v>
      </c>
      <c r="Y372" s="348">
        <f t="shared" si="148"/>
        <v>-0.03742</v>
      </c>
      <c r="Z372" s="348">
        <f t="shared" si="149"/>
        <v>-0.11226</v>
      </c>
      <c r="AA372" s="348">
        <f t="shared" si="150"/>
        <v>-2.2452</v>
      </c>
      <c r="AB372" s="348">
        <f t="shared" si="151"/>
        <v>0</v>
      </c>
      <c r="AC372" s="350"/>
    </row>
    <row r="373" ht="24" spans="1:29">
      <c r="A373" s="284" t="s">
        <v>665</v>
      </c>
      <c r="B373" s="284" t="s">
        <v>199</v>
      </c>
      <c r="C373" s="284" t="s">
        <v>672</v>
      </c>
      <c r="D373" s="284" t="s">
        <v>670</v>
      </c>
      <c r="E373" s="348">
        <f t="shared" si="142"/>
        <v>68.69</v>
      </c>
      <c r="F373" s="348">
        <v>25.68</v>
      </c>
      <c r="G373" s="348">
        <v>12.84</v>
      </c>
      <c r="H373" s="348">
        <v>9.63</v>
      </c>
      <c r="I373" s="348">
        <v>0.32</v>
      </c>
      <c r="J373" s="348">
        <v>0.96</v>
      </c>
      <c r="K373" s="348">
        <v>19.26</v>
      </c>
      <c r="L373" s="348"/>
      <c r="M373" s="348">
        <f t="shared" si="143"/>
        <v>1.42952</v>
      </c>
      <c r="N373" s="348">
        <f>(SUM('工资福利（公务员、参公人员）'!R373:T373)+SUM('工资福利（事业）'!V373:X373,'工资福利（事业）'!AB373))*0.16</f>
        <v>0.5344</v>
      </c>
      <c r="O373" s="348">
        <f>(SUM('工资福利（公务员、参公人员）'!R373:S373)+SUM('工资福利（事业）'!V373:X373,'工资福利（事业）'!AB373))*0.08</f>
        <v>0.2672</v>
      </c>
      <c r="P373" s="348">
        <f>(SUM('工资福利（公务员、参公人员）'!R373:S373)+SUM('工资福利（事业）'!V373:X373,'工资福利（事业）'!AB373))*0.06</f>
        <v>0.2004</v>
      </c>
      <c r="Q373" s="348">
        <f>(SUM('工资福利（公务员、参公人员）'!R373:S373)+SUM('工资福利（事业）'!V373:X373,'工资福利（事业）'!AB373))*0.002</f>
        <v>0.00668</v>
      </c>
      <c r="R373" s="348">
        <f>(SUM('工资福利（公务员、参公人员）'!R373:S373)+SUM('工资福利（事业）'!V373:X373,'工资福利（事业）'!AB373))*0.006</f>
        <v>0.02004</v>
      </c>
      <c r="S373" s="348">
        <f>(SUM('工资福利（公务员、参公人员）'!R373:S373)+SUM('工资福利（事业）'!V373:X373,'工资福利（事业）'!AB373))*0.12</f>
        <v>0.4008</v>
      </c>
      <c r="T373" s="348"/>
      <c r="U373" s="348">
        <f t="shared" si="144"/>
        <v>70.11952</v>
      </c>
      <c r="V373" s="348">
        <f t="shared" si="145"/>
        <v>26.2144</v>
      </c>
      <c r="W373" s="348">
        <f t="shared" si="146"/>
        <v>13.1072</v>
      </c>
      <c r="X373" s="348">
        <f t="shared" si="147"/>
        <v>9.8304</v>
      </c>
      <c r="Y373" s="348">
        <f t="shared" si="148"/>
        <v>0.32668</v>
      </c>
      <c r="Z373" s="348">
        <f t="shared" si="149"/>
        <v>0.98004</v>
      </c>
      <c r="AA373" s="348">
        <f t="shared" si="150"/>
        <v>19.6608</v>
      </c>
      <c r="AB373" s="348">
        <f t="shared" si="151"/>
        <v>0</v>
      </c>
      <c r="AC373" s="350"/>
    </row>
    <row r="374" ht="24" spans="1:29">
      <c r="A374" s="284" t="s">
        <v>665</v>
      </c>
      <c r="B374" s="284" t="s">
        <v>199</v>
      </c>
      <c r="C374" s="284" t="s">
        <v>673</v>
      </c>
      <c r="D374" s="284" t="s">
        <v>670</v>
      </c>
      <c r="E374" s="348">
        <f t="shared" si="142"/>
        <v>8.35</v>
      </c>
      <c r="F374" s="348">
        <v>3.12</v>
      </c>
      <c r="G374" s="348">
        <v>1.56</v>
      </c>
      <c r="H374" s="348">
        <v>1.17</v>
      </c>
      <c r="I374" s="348">
        <v>0.04</v>
      </c>
      <c r="J374" s="348">
        <v>0.12</v>
      </c>
      <c r="K374" s="348">
        <v>2.34</v>
      </c>
      <c r="L374" s="348"/>
      <c r="M374" s="348">
        <f t="shared" si="143"/>
        <v>1.63924</v>
      </c>
      <c r="N374" s="348">
        <f>(SUM('工资福利（公务员、参公人员）'!R374:T374)+SUM('工资福利（事业）'!V374:X374,'工资福利（事业）'!AB374))*0.16</f>
        <v>0.6128</v>
      </c>
      <c r="O374" s="348">
        <f>(SUM('工资福利（公务员、参公人员）'!R374:S374)+SUM('工资福利（事业）'!V374:X374,'工资福利（事业）'!AB374))*0.08</f>
        <v>0.3064</v>
      </c>
      <c r="P374" s="348">
        <f>(SUM('工资福利（公务员、参公人员）'!R374:S374)+SUM('工资福利（事业）'!V374:X374,'工资福利（事业）'!AB374))*0.06</f>
        <v>0.2298</v>
      </c>
      <c r="Q374" s="348">
        <f>(SUM('工资福利（公务员、参公人员）'!R374:S374)+SUM('工资福利（事业）'!V374:X374,'工资福利（事业）'!AB374))*0.002</f>
        <v>0.00766</v>
      </c>
      <c r="R374" s="348">
        <f>(SUM('工资福利（公务员、参公人员）'!R374:S374)+SUM('工资福利（事业）'!V374:X374,'工资福利（事业）'!AB374))*0.006</f>
        <v>0.02298</v>
      </c>
      <c r="S374" s="348">
        <f>(SUM('工资福利（公务员、参公人员）'!R374:S374)+SUM('工资福利（事业）'!V374:X374,'工资福利（事业）'!AB374))*0.12</f>
        <v>0.4596</v>
      </c>
      <c r="T374" s="348"/>
      <c r="U374" s="348">
        <f t="shared" si="144"/>
        <v>9.98924</v>
      </c>
      <c r="V374" s="348">
        <f t="shared" si="145"/>
        <v>3.7328</v>
      </c>
      <c r="W374" s="348">
        <f t="shared" si="146"/>
        <v>1.8664</v>
      </c>
      <c r="X374" s="348">
        <f t="shared" si="147"/>
        <v>1.3998</v>
      </c>
      <c r="Y374" s="348">
        <f t="shared" si="148"/>
        <v>0.04766</v>
      </c>
      <c r="Z374" s="348">
        <f t="shared" si="149"/>
        <v>0.14298</v>
      </c>
      <c r="AA374" s="348">
        <f t="shared" si="150"/>
        <v>2.7996</v>
      </c>
      <c r="AB374" s="348">
        <f t="shared" si="151"/>
        <v>0</v>
      </c>
      <c r="AC374" s="350"/>
    </row>
    <row r="375" ht="24" spans="1:29">
      <c r="A375" s="284" t="s">
        <v>665</v>
      </c>
      <c r="B375" s="284" t="s">
        <v>199</v>
      </c>
      <c r="C375" s="284" t="s">
        <v>674</v>
      </c>
      <c r="D375" s="284" t="s">
        <v>670</v>
      </c>
      <c r="E375" s="348">
        <f t="shared" si="142"/>
        <v>19.31</v>
      </c>
      <c r="F375" s="348">
        <v>6.79</v>
      </c>
      <c r="G375" s="348">
        <v>3.4</v>
      </c>
      <c r="H375" s="348">
        <v>2.55</v>
      </c>
      <c r="I375" s="348">
        <v>0.08</v>
      </c>
      <c r="J375" s="348">
        <v>0.25</v>
      </c>
      <c r="K375" s="348">
        <v>5.09</v>
      </c>
      <c r="L375" s="348">
        <v>1.15</v>
      </c>
      <c r="M375" s="348">
        <f t="shared" si="143"/>
        <v>1.93884</v>
      </c>
      <c r="N375" s="348">
        <f>(SUM('工资福利（公务员、参公人员）'!R375:T375)+SUM('工资福利（事业）'!V375:X375,'工资福利（事业）'!AB375))*0.16</f>
        <v>0.7248</v>
      </c>
      <c r="O375" s="348">
        <f>(SUM('工资福利（公务员、参公人员）'!R375:S375)+SUM('工资福利（事业）'!V375:X375,'工资福利（事业）'!AB375))*0.08</f>
        <v>0.3624</v>
      </c>
      <c r="P375" s="348">
        <f>(SUM('工资福利（公务员、参公人员）'!R375:S375)+SUM('工资福利（事业）'!V375:X375,'工资福利（事业）'!AB375))*0.06</f>
        <v>0.2718</v>
      </c>
      <c r="Q375" s="348">
        <f>(SUM('工资福利（公务员、参公人员）'!R375:S375)+SUM('工资福利（事业）'!V375:X375,'工资福利（事业）'!AB375))*0.002</f>
        <v>0.00906</v>
      </c>
      <c r="R375" s="348">
        <f>(SUM('工资福利（公务员、参公人员）'!R375:S375)+SUM('工资福利（事业）'!V375:X375,'工资福利（事业）'!AB375))*0.006</f>
        <v>0.02718</v>
      </c>
      <c r="S375" s="348">
        <f>(SUM('工资福利（公务员、参公人员）'!R375:S375)+SUM('工资福利（事业）'!V375:X375,'工资福利（事业）'!AB375))*0.12</f>
        <v>0.5436</v>
      </c>
      <c r="T375" s="348"/>
      <c r="U375" s="348">
        <f t="shared" si="144"/>
        <v>21.24884</v>
      </c>
      <c r="V375" s="348">
        <f t="shared" si="145"/>
        <v>7.5148</v>
      </c>
      <c r="W375" s="348">
        <f t="shared" si="146"/>
        <v>3.7624</v>
      </c>
      <c r="X375" s="348">
        <f t="shared" si="147"/>
        <v>2.8218</v>
      </c>
      <c r="Y375" s="348">
        <f t="shared" si="148"/>
        <v>0.08906</v>
      </c>
      <c r="Z375" s="348">
        <f t="shared" si="149"/>
        <v>0.27718</v>
      </c>
      <c r="AA375" s="348">
        <f t="shared" si="150"/>
        <v>5.6336</v>
      </c>
      <c r="AB375" s="348">
        <f t="shared" si="151"/>
        <v>1.15</v>
      </c>
      <c r="AC375" s="350"/>
    </row>
    <row r="376" ht="24" spans="1:29">
      <c r="A376" s="284" t="s">
        <v>665</v>
      </c>
      <c r="B376" s="284" t="s">
        <v>199</v>
      </c>
      <c r="C376" s="284" t="s">
        <v>675</v>
      </c>
      <c r="D376" s="284" t="s">
        <v>670</v>
      </c>
      <c r="E376" s="348">
        <f t="shared" si="142"/>
        <v>10.25</v>
      </c>
      <c r="F376" s="348">
        <v>3.83</v>
      </c>
      <c r="G376" s="348">
        <v>1.92</v>
      </c>
      <c r="H376" s="348">
        <v>1.44</v>
      </c>
      <c r="I376" s="348">
        <v>0.05</v>
      </c>
      <c r="J376" s="348">
        <v>0.14</v>
      </c>
      <c r="K376" s="348">
        <v>2.87</v>
      </c>
      <c r="L376" s="348"/>
      <c r="M376" s="348">
        <f t="shared" si="143"/>
        <v>1.08284</v>
      </c>
      <c r="N376" s="348">
        <f>(SUM('工资福利（公务员、参公人员）'!R376:T376)+SUM('工资福利（事业）'!V376:X376,'工资福利（事业）'!AB376))*0.16</f>
        <v>0.4048</v>
      </c>
      <c r="O376" s="348">
        <f>(SUM('工资福利（公务员、参公人员）'!R376:S376)+SUM('工资福利（事业）'!V376:X376,'工资福利（事业）'!AB376))*0.08</f>
        <v>0.2024</v>
      </c>
      <c r="P376" s="348">
        <f>(SUM('工资福利（公务员、参公人员）'!R376:S376)+SUM('工资福利（事业）'!V376:X376,'工资福利（事业）'!AB376))*0.06</f>
        <v>0.1518</v>
      </c>
      <c r="Q376" s="348">
        <f>(SUM('工资福利（公务员、参公人员）'!R376:S376)+SUM('工资福利（事业）'!V376:X376,'工资福利（事业）'!AB376))*0.002</f>
        <v>0.00506</v>
      </c>
      <c r="R376" s="348">
        <f>(SUM('工资福利（公务员、参公人员）'!R376:S376)+SUM('工资福利（事业）'!V376:X376,'工资福利（事业）'!AB376))*0.006</f>
        <v>0.01518</v>
      </c>
      <c r="S376" s="348">
        <f>(SUM('工资福利（公务员、参公人员）'!R376:S376)+SUM('工资福利（事业）'!V376:X376,'工资福利（事业）'!AB376))*0.12</f>
        <v>0.3036</v>
      </c>
      <c r="T376" s="348"/>
      <c r="U376" s="348">
        <f t="shared" si="144"/>
        <v>11.33284</v>
      </c>
      <c r="V376" s="348">
        <f t="shared" si="145"/>
        <v>4.2348</v>
      </c>
      <c r="W376" s="348">
        <f t="shared" si="146"/>
        <v>2.1224</v>
      </c>
      <c r="X376" s="348">
        <f t="shared" si="147"/>
        <v>1.5918</v>
      </c>
      <c r="Y376" s="348">
        <f t="shared" si="148"/>
        <v>0.05506</v>
      </c>
      <c r="Z376" s="348">
        <f t="shared" si="149"/>
        <v>0.15518</v>
      </c>
      <c r="AA376" s="348">
        <f t="shared" si="150"/>
        <v>3.1736</v>
      </c>
      <c r="AB376" s="348">
        <f t="shared" si="151"/>
        <v>0</v>
      </c>
      <c r="AC376" s="350"/>
    </row>
    <row r="377" ht="24" spans="1:29">
      <c r="A377" s="284" t="s">
        <v>665</v>
      </c>
      <c r="B377" s="284" t="s">
        <v>199</v>
      </c>
      <c r="C377" s="284" t="s">
        <v>676</v>
      </c>
      <c r="D377" s="284" t="s">
        <v>670</v>
      </c>
      <c r="E377" s="348">
        <f t="shared" si="142"/>
        <v>17.06</v>
      </c>
      <c r="F377" s="348">
        <v>6.38</v>
      </c>
      <c r="G377" s="348">
        <v>3.19</v>
      </c>
      <c r="H377" s="348">
        <v>2.39</v>
      </c>
      <c r="I377" s="348">
        <v>0.08</v>
      </c>
      <c r="J377" s="348">
        <v>0.24</v>
      </c>
      <c r="K377" s="348">
        <v>4.78</v>
      </c>
      <c r="L377" s="348"/>
      <c r="M377" s="348">
        <f t="shared" si="143"/>
        <v>2.03728</v>
      </c>
      <c r="N377" s="348">
        <f>(SUM('工资福利（公务员、参公人员）'!R377:T377)+SUM('工资福利（事业）'!V377:X377,'工资福利（事业）'!AB377))*0.16</f>
        <v>0.7616</v>
      </c>
      <c r="O377" s="348">
        <f>(SUM('工资福利（公务员、参公人员）'!R377:S377)+SUM('工资福利（事业）'!V377:X377,'工资福利（事业）'!AB377))*0.08</f>
        <v>0.3808</v>
      </c>
      <c r="P377" s="348">
        <f>(SUM('工资福利（公务员、参公人员）'!R377:S377)+SUM('工资福利（事业）'!V377:X377,'工资福利（事业）'!AB377))*0.06</f>
        <v>0.2856</v>
      </c>
      <c r="Q377" s="348">
        <f>(SUM('工资福利（公务员、参公人员）'!R377:S377)+SUM('工资福利（事业）'!V377:X377,'工资福利（事业）'!AB377))*0.002</f>
        <v>0.00952</v>
      </c>
      <c r="R377" s="348">
        <f>(SUM('工资福利（公务员、参公人员）'!R377:S377)+SUM('工资福利（事业）'!V377:X377,'工资福利（事业）'!AB377))*0.006</f>
        <v>0.02856</v>
      </c>
      <c r="S377" s="348">
        <f>(SUM('工资福利（公务员、参公人员）'!R377:S377)+SUM('工资福利（事业）'!V377:X377,'工资福利（事业）'!AB377))*0.12</f>
        <v>0.5712</v>
      </c>
      <c r="T377" s="348"/>
      <c r="U377" s="348">
        <f t="shared" si="144"/>
        <v>19.09728</v>
      </c>
      <c r="V377" s="348">
        <f t="shared" si="145"/>
        <v>7.1416</v>
      </c>
      <c r="W377" s="348">
        <f t="shared" si="146"/>
        <v>3.5708</v>
      </c>
      <c r="X377" s="348">
        <f t="shared" si="147"/>
        <v>2.6756</v>
      </c>
      <c r="Y377" s="348">
        <f t="shared" si="148"/>
        <v>0.08952</v>
      </c>
      <c r="Z377" s="348">
        <f t="shared" si="149"/>
        <v>0.26856</v>
      </c>
      <c r="AA377" s="348">
        <f t="shared" si="150"/>
        <v>5.3512</v>
      </c>
      <c r="AB377" s="348">
        <f t="shared" si="151"/>
        <v>0</v>
      </c>
      <c r="AC377" s="350"/>
    </row>
    <row r="378" ht="24" spans="1:29">
      <c r="A378" s="284" t="s">
        <v>665</v>
      </c>
      <c r="B378" s="284" t="s">
        <v>199</v>
      </c>
      <c r="C378" s="284" t="s">
        <v>677</v>
      </c>
      <c r="D378" s="284" t="s">
        <v>670</v>
      </c>
      <c r="E378" s="348">
        <f t="shared" si="142"/>
        <v>7.8</v>
      </c>
      <c r="F378" s="348">
        <v>2.91</v>
      </c>
      <c r="G378" s="348">
        <v>1.46</v>
      </c>
      <c r="H378" s="348">
        <v>1.09</v>
      </c>
      <c r="I378" s="348">
        <v>0.04</v>
      </c>
      <c r="J378" s="348">
        <v>0.11</v>
      </c>
      <c r="K378" s="348">
        <v>2.19</v>
      </c>
      <c r="L378" s="348"/>
      <c r="M378" s="348">
        <f t="shared" si="143"/>
        <v>-7.79816</v>
      </c>
      <c r="N378" s="348">
        <f>(SUM('工资福利（公务员、参公人员）'!R378:T378)+SUM('工资福利（事业）'!V378:X378,'工资福利（事业）'!AB378))*0.16</f>
        <v>-2.9152</v>
      </c>
      <c r="O378" s="348">
        <f>(SUM('工资福利（公务员、参公人员）'!R378:S378)+SUM('工资福利（事业）'!V378:X378,'工资福利（事业）'!AB378))*0.08</f>
        <v>-1.4576</v>
      </c>
      <c r="P378" s="348">
        <f>(SUM('工资福利（公务员、参公人员）'!R378:S378)+SUM('工资福利（事业）'!V378:X378,'工资福利（事业）'!AB378))*0.06</f>
        <v>-1.0932</v>
      </c>
      <c r="Q378" s="348">
        <f>(SUM('工资福利（公务员、参公人员）'!R378:S378)+SUM('工资福利（事业）'!V378:X378,'工资福利（事业）'!AB378))*0.002</f>
        <v>-0.03644</v>
      </c>
      <c r="R378" s="348">
        <f>(SUM('工资福利（公务员、参公人员）'!R378:S378)+SUM('工资福利（事业）'!V378:X378,'工资福利（事业）'!AB378))*0.006</f>
        <v>-0.10932</v>
      </c>
      <c r="S378" s="348">
        <f>(SUM('工资福利（公务员、参公人员）'!R378:S378)+SUM('工资福利（事业）'!V378:X378,'工资福利（事业）'!AB378))*0.12</f>
        <v>-2.1864</v>
      </c>
      <c r="T378" s="348"/>
      <c r="U378" s="348">
        <f t="shared" si="144"/>
        <v>0.00184000000000027</v>
      </c>
      <c r="V378" s="348">
        <f t="shared" si="145"/>
        <v>-0.00519999999999987</v>
      </c>
      <c r="W378" s="348">
        <f t="shared" si="146"/>
        <v>0.00239999999999996</v>
      </c>
      <c r="X378" s="348">
        <f t="shared" si="147"/>
        <v>-0.00319999999999987</v>
      </c>
      <c r="Y378" s="348">
        <f t="shared" si="148"/>
        <v>0.00356</v>
      </c>
      <c r="Z378" s="348">
        <f t="shared" si="149"/>
        <v>0.00068</v>
      </c>
      <c r="AA378" s="348">
        <f t="shared" si="150"/>
        <v>0.00360000000000005</v>
      </c>
      <c r="AB378" s="348">
        <f t="shared" si="151"/>
        <v>0</v>
      </c>
      <c r="AC378" s="350"/>
    </row>
    <row r="379" ht="24" spans="1:29">
      <c r="A379" s="284" t="s">
        <v>665</v>
      </c>
      <c r="B379" s="284" t="s">
        <v>199</v>
      </c>
      <c r="C379" s="284" t="s">
        <v>678</v>
      </c>
      <c r="D379" s="284" t="s">
        <v>670</v>
      </c>
      <c r="E379" s="348">
        <f t="shared" si="142"/>
        <v>8.36</v>
      </c>
      <c r="F379" s="348">
        <v>3.13</v>
      </c>
      <c r="G379" s="348">
        <v>1.56</v>
      </c>
      <c r="H379" s="348">
        <v>1.17</v>
      </c>
      <c r="I379" s="348">
        <v>0.04</v>
      </c>
      <c r="J379" s="348">
        <v>0.12</v>
      </c>
      <c r="K379" s="348">
        <v>2.34</v>
      </c>
      <c r="L379" s="348"/>
      <c r="M379" s="348">
        <f t="shared" si="143"/>
        <v>1.2626</v>
      </c>
      <c r="N379" s="348">
        <f>(SUM('工资福利（公务员、参公人员）'!R379:T379)+SUM('工资福利（事业）'!V379:X379,'工资福利（事业）'!AB379))*0.16</f>
        <v>0.472</v>
      </c>
      <c r="O379" s="348">
        <f>(SUM('工资福利（公务员、参公人员）'!R379:S379)+SUM('工资福利（事业）'!V379:X379,'工资福利（事业）'!AB379))*0.08</f>
        <v>0.236</v>
      </c>
      <c r="P379" s="348">
        <f>(SUM('工资福利（公务员、参公人员）'!R379:S379)+SUM('工资福利（事业）'!V379:X379,'工资福利（事业）'!AB379))*0.06</f>
        <v>0.177</v>
      </c>
      <c r="Q379" s="348">
        <f>(SUM('工资福利（公务员、参公人员）'!R379:S379)+SUM('工资福利（事业）'!V379:X379,'工资福利（事业）'!AB379))*0.002</f>
        <v>0.0059</v>
      </c>
      <c r="R379" s="348">
        <f>(SUM('工资福利（公务员、参公人员）'!R379:S379)+SUM('工资福利（事业）'!V379:X379,'工资福利（事业）'!AB379))*0.006</f>
        <v>0.0177</v>
      </c>
      <c r="S379" s="348">
        <f>(SUM('工资福利（公务员、参公人员）'!R379:S379)+SUM('工资福利（事业）'!V379:X379,'工资福利（事业）'!AB379))*0.12</f>
        <v>0.354</v>
      </c>
      <c r="T379" s="348"/>
      <c r="U379" s="348">
        <f t="shared" si="144"/>
        <v>9.6226</v>
      </c>
      <c r="V379" s="348">
        <f t="shared" si="145"/>
        <v>3.602</v>
      </c>
      <c r="W379" s="348">
        <f t="shared" si="146"/>
        <v>1.796</v>
      </c>
      <c r="X379" s="348">
        <f t="shared" si="147"/>
        <v>1.347</v>
      </c>
      <c r="Y379" s="348">
        <f t="shared" si="148"/>
        <v>0.0459</v>
      </c>
      <c r="Z379" s="348">
        <f t="shared" si="149"/>
        <v>0.1377</v>
      </c>
      <c r="AA379" s="348">
        <f t="shared" si="150"/>
        <v>2.694</v>
      </c>
      <c r="AB379" s="348">
        <f t="shared" si="151"/>
        <v>0</v>
      </c>
      <c r="AC379" s="350"/>
    </row>
    <row r="380" ht="24" spans="1:29">
      <c r="A380" s="284" t="s">
        <v>665</v>
      </c>
      <c r="B380" s="284" t="s">
        <v>199</v>
      </c>
      <c r="C380" s="284" t="s">
        <v>679</v>
      </c>
      <c r="D380" s="284" t="s">
        <v>670</v>
      </c>
      <c r="E380" s="348">
        <f t="shared" si="142"/>
        <v>204.8</v>
      </c>
      <c r="F380" s="348">
        <v>76.56</v>
      </c>
      <c r="G380" s="348">
        <v>38.28</v>
      </c>
      <c r="H380" s="348">
        <v>28.71</v>
      </c>
      <c r="I380" s="348">
        <v>0.96</v>
      </c>
      <c r="J380" s="348">
        <v>2.87</v>
      </c>
      <c r="K380" s="348">
        <v>57.42</v>
      </c>
      <c r="L380" s="348"/>
      <c r="M380" s="348">
        <f t="shared" si="143"/>
        <v>8.32888</v>
      </c>
      <c r="N380" s="348">
        <f>(SUM('工资福利（公务员、参公人员）'!R380:T380)+SUM('工资福利（事业）'!V380:X380,'工资福利（事业）'!AB380))*0.16</f>
        <v>3.1136</v>
      </c>
      <c r="O380" s="348">
        <f>(SUM('工资福利（公务员、参公人员）'!R380:S380)+SUM('工资福利（事业）'!V380:X380,'工资福利（事业）'!AB380))*0.08</f>
        <v>1.5568</v>
      </c>
      <c r="P380" s="348">
        <f>(SUM('工资福利（公务员、参公人员）'!R380:S380)+SUM('工资福利（事业）'!V380:X380,'工资福利（事业）'!AB380))*0.06</f>
        <v>1.1676</v>
      </c>
      <c r="Q380" s="348">
        <f>(SUM('工资福利（公务员、参公人员）'!R380:S380)+SUM('工资福利（事业）'!V380:X380,'工资福利（事业）'!AB380))*0.002</f>
        <v>0.03892</v>
      </c>
      <c r="R380" s="348">
        <f>(SUM('工资福利（公务员、参公人员）'!R380:S380)+SUM('工资福利（事业）'!V380:X380,'工资福利（事业）'!AB380))*0.006</f>
        <v>0.11676</v>
      </c>
      <c r="S380" s="348">
        <f>(SUM('工资福利（公务员、参公人员）'!R380:S380)+SUM('工资福利（事业）'!V380:X380,'工资福利（事业）'!AB380))*0.12</f>
        <v>2.3352</v>
      </c>
      <c r="T380" s="348"/>
      <c r="U380" s="348">
        <f t="shared" si="144"/>
        <v>213.12888</v>
      </c>
      <c r="V380" s="348">
        <f t="shared" si="145"/>
        <v>79.6736</v>
      </c>
      <c r="W380" s="348">
        <f t="shared" si="146"/>
        <v>39.8368</v>
      </c>
      <c r="X380" s="348">
        <f t="shared" si="147"/>
        <v>29.8776</v>
      </c>
      <c r="Y380" s="348">
        <f t="shared" si="148"/>
        <v>0.99892</v>
      </c>
      <c r="Z380" s="348">
        <f t="shared" si="149"/>
        <v>2.98676</v>
      </c>
      <c r="AA380" s="348">
        <f t="shared" si="150"/>
        <v>59.7552</v>
      </c>
      <c r="AB380" s="348">
        <f t="shared" si="151"/>
        <v>0</v>
      </c>
      <c r="AC380" s="350"/>
    </row>
    <row r="381" ht="24" spans="1:29">
      <c r="A381" s="284" t="s">
        <v>665</v>
      </c>
      <c r="B381" s="284" t="s">
        <v>199</v>
      </c>
      <c r="C381" s="284" t="s">
        <v>802</v>
      </c>
      <c r="D381" s="284" t="s">
        <v>670</v>
      </c>
      <c r="E381" s="348">
        <f t="shared" si="142"/>
        <v>0</v>
      </c>
      <c r="F381" s="348"/>
      <c r="G381" s="348"/>
      <c r="H381" s="348"/>
      <c r="I381" s="348"/>
      <c r="J381" s="348"/>
      <c r="K381" s="348"/>
      <c r="L381" s="348"/>
      <c r="M381" s="348">
        <f t="shared" si="143"/>
        <v>18.404</v>
      </c>
      <c r="N381" s="348">
        <f>(SUM('工资福利（公务员、参公人员）'!R381:T381)+SUM('工资福利（事业）'!V381:X381,'工资福利（事业）'!AB381))*0.16</f>
        <v>6.88</v>
      </c>
      <c r="O381" s="348">
        <f>(SUM('工资福利（公务员、参公人员）'!R381:S381)+SUM('工资福利（事业）'!V381:X381,'工资福利（事业）'!AB381))*0.08</f>
        <v>3.44</v>
      </c>
      <c r="P381" s="348">
        <f>(SUM('工资福利（公务员、参公人员）'!R381:S381)+SUM('工资福利（事业）'!V381:X381,'工资福利（事业）'!AB381))*0.06</f>
        <v>2.58</v>
      </c>
      <c r="Q381" s="348">
        <f>(SUM('工资福利（公务员、参公人员）'!R381:S381)+SUM('工资福利（事业）'!V381:X381,'工资福利（事业）'!AB381))*0.002</f>
        <v>0.086</v>
      </c>
      <c r="R381" s="348">
        <f>(SUM('工资福利（公务员、参公人员）'!R381:S381)+SUM('工资福利（事业）'!V381:X381,'工资福利（事业）'!AB381))*0.006</f>
        <v>0.258</v>
      </c>
      <c r="S381" s="348">
        <f>(SUM('工资福利（公务员、参公人员）'!R381:S381)+SUM('工资福利（事业）'!V381:X381,'工资福利（事业）'!AB381))*0.12</f>
        <v>5.16</v>
      </c>
      <c r="T381" s="348"/>
      <c r="U381" s="348">
        <f t="shared" si="144"/>
        <v>18.404</v>
      </c>
      <c r="V381" s="348">
        <f t="shared" si="145"/>
        <v>6.88</v>
      </c>
      <c r="W381" s="348">
        <f t="shared" si="146"/>
        <v>3.44</v>
      </c>
      <c r="X381" s="348">
        <f t="shared" si="147"/>
        <v>2.58</v>
      </c>
      <c r="Y381" s="348">
        <f t="shared" si="148"/>
        <v>0.086</v>
      </c>
      <c r="Z381" s="348">
        <f t="shared" si="149"/>
        <v>0.258</v>
      </c>
      <c r="AA381" s="348">
        <f t="shared" si="150"/>
        <v>5.16</v>
      </c>
      <c r="AB381" s="348">
        <f t="shared" si="151"/>
        <v>0</v>
      </c>
      <c r="AC381" s="350"/>
    </row>
    <row r="382" ht="24" spans="1:29">
      <c r="A382" s="284" t="s">
        <v>640</v>
      </c>
      <c r="B382" s="284" t="s">
        <v>196</v>
      </c>
      <c r="C382" s="284" t="s">
        <v>682</v>
      </c>
      <c r="D382" s="284" t="s">
        <v>683</v>
      </c>
      <c r="E382" s="348">
        <f t="shared" si="142"/>
        <v>21.66</v>
      </c>
      <c r="F382" s="348">
        <v>8.35</v>
      </c>
      <c r="G382" s="348">
        <v>3.97</v>
      </c>
      <c r="H382" s="348">
        <v>2.98</v>
      </c>
      <c r="I382" s="348">
        <v>0.1</v>
      </c>
      <c r="J382" s="348">
        <v>0.3</v>
      </c>
      <c r="K382" s="348">
        <v>5.96</v>
      </c>
      <c r="L382" s="348"/>
      <c r="M382" s="348">
        <f t="shared" si="143"/>
        <v>6.9972808</v>
      </c>
      <c r="N382" s="348">
        <f>(SUM('工资福利（公务员、参公人员）'!R382:T382)+SUM('工资福利（事业）'!V382:X382,'工资福利（事业）'!AB382))*0.16</f>
        <v>2.681248</v>
      </c>
      <c r="O382" s="348">
        <f>(SUM('工资福利（公务员、参公人员）'!R382:S382)+SUM('工资福利（事业）'!V382:X382,'工资福利（事业）'!AB382))*0.08</f>
        <v>1.288368</v>
      </c>
      <c r="P382" s="348">
        <f>(SUM('工资福利（公务员、参公人员）'!R382:S382)+SUM('工资福利（事业）'!V382:X382,'工资福利（事业）'!AB382))*0.06</f>
        <v>0.966276</v>
      </c>
      <c r="Q382" s="348">
        <f>(SUM('工资福利（公务员、参公人员）'!R382:S382)+SUM('工资福利（事业）'!V382:X382,'工资福利（事业）'!AB382))*0.002</f>
        <v>0.0322092</v>
      </c>
      <c r="R382" s="348">
        <f>(SUM('工资福利（公务员、参公人员）'!R382:S382)+SUM('工资福利（事业）'!V382:X382,'工资福利（事业）'!AB382))*0.006</f>
        <v>0.0966276</v>
      </c>
      <c r="S382" s="348">
        <f>(SUM('工资福利（公务员、参公人员）'!R382:S382)+SUM('工资福利（事业）'!V382:X382,'工资福利（事业）'!AB382))*0.12</f>
        <v>1.932552</v>
      </c>
      <c r="T382" s="348"/>
      <c r="U382" s="348">
        <f t="shared" si="144"/>
        <v>28.6572808</v>
      </c>
      <c r="V382" s="348">
        <f t="shared" si="145"/>
        <v>11.031248</v>
      </c>
      <c r="W382" s="348">
        <f t="shared" si="146"/>
        <v>5.258368</v>
      </c>
      <c r="X382" s="348">
        <f t="shared" si="147"/>
        <v>3.946276</v>
      </c>
      <c r="Y382" s="348">
        <f t="shared" si="148"/>
        <v>0.1322092</v>
      </c>
      <c r="Z382" s="348">
        <f t="shared" si="149"/>
        <v>0.3966276</v>
      </c>
      <c r="AA382" s="348">
        <f t="shared" si="150"/>
        <v>7.892552</v>
      </c>
      <c r="AB382" s="348">
        <f t="shared" si="151"/>
        <v>0</v>
      </c>
      <c r="AC382" s="350"/>
    </row>
    <row r="383" ht="24" spans="1:29">
      <c r="A383" s="284" t="s">
        <v>640</v>
      </c>
      <c r="B383" s="284" t="s">
        <v>199</v>
      </c>
      <c r="C383" s="284" t="s">
        <v>684</v>
      </c>
      <c r="D383" s="284" t="s">
        <v>685</v>
      </c>
      <c r="E383" s="348">
        <f t="shared" si="142"/>
        <v>26.06</v>
      </c>
      <c r="F383" s="348">
        <v>9.74</v>
      </c>
      <c r="G383" s="348">
        <v>4.87</v>
      </c>
      <c r="H383" s="348">
        <v>3.65</v>
      </c>
      <c r="I383" s="348">
        <v>0.12</v>
      </c>
      <c r="J383" s="348">
        <v>0.37</v>
      </c>
      <c r="K383" s="348">
        <v>7.31</v>
      </c>
      <c r="L383" s="348"/>
      <c r="M383" s="348">
        <f t="shared" si="143"/>
        <v>2.97888</v>
      </c>
      <c r="N383" s="348">
        <f>(SUM('工资福利（公务员、参公人员）'!R383:T383)+SUM('工资福利（事业）'!V383:X383,'工资福利（事业）'!AB383))*0.16</f>
        <v>1.1136</v>
      </c>
      <c r="O383" s="348">
        <f>(SUM('工资福利（公务员、参公人员）'!R383:S383)+SUM('工资福利（事业）'!V383:X383,'工资福利（事业）'!AB383))*0.08</f>
        <v>0.5568</v>
      </c>
      <c r="P383" s="348">
        <f>(SUM('工资福利（公务员、参公人员）'!R383:S383)+SUM('工资福利（事业）'!V383:X383,'工资福利（事业）'!AB383))*0.06</f>
        <v>0.4176</v>
      </c>
      <c r="Q383" s="348">
        <f>(SUM('工资福利（公务员、参公人员）'!R383:S383)+SUM('工资福利（事业）'!V383:X383,'工资福利（事业）'!AB383))*0.002</f>
        <v>0.01392</v>
      </c>
      <c r="R383" s="348">
        <f>(SUM('工资福利（公务员、参公人员）'!R383:S383)+SUM('工资福利（事业）'!V383:X383,'工资福利（事业）'!AB383))*0.006</f>
        <v>0.04176</v>
      </c>
      <c r="S383" s="348">
        <f>(SUM('工资福利（公务员、参公人员）'!R383:S383)+SUM('工资福利（事业）'!V383:X383,'工资福利（事业）'!AB383))*0.12</f>
        <v>0.8352</v>
      </c>
      <c r="T383" s="348"/>
      <c r="U383" s="348">
        <f t="shared" si="144"/>
        <v>29.03888</v>
      </c>
      <c r="V383" s="348">
        <f t="shared" si="145"/>
        <v>10.8536</v>
      </c>
      <c r="W383" s="348">
        <f t="shared" si="146"/>
        <v>5.4268</v>
      </c>
      <c r="X383" s="348">
        <f t="shared" si="147"/>
        <v>4.0676</v>
      </c>
      <c r="Y383" s="348">
        <f t="shared" si="148"/>
        <v>0.13392</v>
      </c>
      <c r="Z383" s="348">
        <f t="shared" si="149"/>
        <v>0.41176</v>
      </c>
      <c r="AA383" s="348">
        <f t="shared" si="150"/>
        <v>8.1452</v>
      </c>
      <c r="AB383" s="348">
        <f t="shared" si="151"/>
        <v>0</v>
      </c>
      <c r="AC383" s="350"/>
    </row>
    <row r="384" ht="24" spans="1:29">
      <c r="A384" s="284" t="s">
        <v>640</v>
      </c>
      <c r="B384" s="284" t="s">
        <v>199</v>
      </c>
      <c r="C384" s="284" t="s">
        <v>804</v>
      </c>
      <c r="D384" s="284" t="s">
        <v>685</v>
      </c>
      <c r="E384" s="348">
        <f t="shared" si="142"/>
        <v>7.25</v>
      </c>
      <c r="F384" s="348">
        <v>2.71</v>
      </c>
      <c r="G384" s="348">
        <v>1.36</v>
      </c>
      <c r="H384" s="348">
        <v>1.02</v>
      </c>
      <c r="I384" s="348">
        <v>0.03</v>
      </c>
      <c r="J384" s="348">
        <v>0.1</v>
      </c>
      <c r="K384" s="348">
        <v>2.03</v>
      </c>
      <c r="L384" s="348"/>
      <c r="M384" s="348">
        <f t="shared" si="143"/>
        <v>0.60348</v>
      </c>
      <c r="N384" s="348">
        <f>(SUM('工资福利（公务员、参公人员）'!R384:T384)+SUM('工资福利（事业）'!V384:X384,'工资福利（事业）'!AB384))*0.16</f>
        <v>0.2256</v>
      </c>
      <c r="O384" s="348">
        <f>(SUM('工资福利（公务员、参公人员）'!R384:S384)+SUM('工资福利（事业）'!V384:X384,'工资福利（事业）'!AB384))*0.08</f>
        <v>0.1128</v>
      </c>
      <c r="P384" s="348">
        <f>(SUM('工资福利（公务员、参公人员）'!R384:S384)+SUM('工资福利（事业）'!V384:X384,'工资福利（事业）'!AB384))*0.06</f>
        <v>0.0846</v>
      </c>
      <c r="Q384" s="348">
        <f>(SUM('工资福利（公务员、参公人员）'!R384:S384)+SUM('工资福利（事业）'!V384:X384,'工资福利（事业）'!AB384))*0.002</f>
        <v>0.00282</v>
      </c>
      <c r="R384" s="348">
        <f>(SUM('工资福利（公务员、参公人员）'!R384:S384)+SUM('工资福利（事业）'!V384:X384,'工资福利（事业）'!AB384))*0.006</f>
        <v>0.00846</v>
      </c>
      <c r="S384" s="348">
        <f>(SUM('工资福利（公务员、参公人员）'!R384:S384)+SUM('工资福利（事业）'!V384:X384,'工资福利（事业）'!AB384))*0.12</f>
        <v>0.1692</v>
      </c>
      <c r="T384" s="348"/>
      <c r="U384" s="348">
        <f t="shared" si="144"/>
        <v>7.85348</v>
      </c>
      <c r="V384" s="348">
        <f t="shared" si="145"/>
        <v>2.9356</v>
      </c>
      <c r="W384" s="348">
        <f t="shared" si="146"/>
        <v>1.4728</v>
      </c>
      <c r="X384" s="348">
        <f t="shared" si="147"/>
        <v>1.1046</v>
      </c>
      <c r="Y384" s="348">
        <f t="shared" si="148"/>
        <v>0.03282</v>
      </c>
      <c r="Z384" s="348">
        <f t="shared" si="149"/>
        <v>0.10846</v>
      </c>
      <c r="AA384" s="348">
        <f t="shared" si="150"/>
        <v>2.1992</v>
      </c>
      <c r="AB384" s="348">
        <f t="shared" si="151"/>
        <v>0</v>
      </c>
      <c r="AC384" s="350"/>
    </row>
    <row r="385" ht="24" spans="1:29">
      <c r="A385" s="284" t="s">
        <v>640</v>
      </c>
      <c r="B385" s="284" t="s">
        <v>199</v>
      </c>
      <c r="C385" s="284" t="s">
        <v>687</v>
      </c>
      <c r="D385" s="284" t="s">
        <v>685</v>
      </c>
      <c r="E385" s="348">
        <f t="shared" si="142"/>
        <v>60.3</v>
      </c>
      <c r="F385" s="348">
        <v>22.54</v>
      </c>
      <c r="G385" s="348">
        <v>11.27</v>
      </c>
      <c r="H385" s="348">
        <v>8.45</v>
      </c>
      <c r="I385" s="348">
        <v>0.28</v>
      </c>
      <c r="J385" s="348">
        <v>0.85</v>
      </c>
      <c r="K385" s="348">
        <v>16.91</v>
      </c>
      <c r="L385" s="348"/>
      <c r="M385" s="348">
        <f t="shared" si="143"/>
        <v>4.4996496</v>
      </c>
      <c r="N385" s="348">
        <f>(SUM('工资福利（公务员、参公人员）'!R385:T385)+SUM('工资福利（事业）'!V385:X385,'工资福利（事业）'!AB385))*0.16</f>
        <v>1.682112</v>
      </c>
      <c r="O385" s="348">
        <f>(SUM('工资福利（公务员、参公人员）'!R385:S385)+SUM('工资福利（事业）'!V385:X385,'工资福利（事业）'!AB385))*0.08</f>
        <v>0.841056</v>
      </c>
      <c r="P385" s="348">
        <f>(SUM('工资福利（公务员、参公人员）'!R385:S385)+SUM('工资福利（事业）'!V385:X385,'工资福利（事业）'!AB385))*0.06</f>
        <v>0.630792</v>
      </c>
      <c r="Q385" s="348">
        <f>(SUM('工资福利（公务员、参公人员）'!R385:S385)+SUM('工资福利（事业）'!V385:X385,'工资福利（事业）'!AB385))*0.002</f>
        <v>0.0210264</v>
      </c>
      <c r="R385" s="348">
        <f>(SUM('工资福利（公务员、参公人员）'!R385:S385)+SUM('工资福利（事业）'!V385:X385,'工资福利（事业）'!AB385))*0.006</f>
        <v>0.0630792</v>
      </c>
      <c r="S385" s="348">
        <f>(SUM('工资福利（公务员、参公人员）'!R385:S385)+SUM('工资福利（事业）'!V385:X385,'工资福利（事业）'!AB385))*0.12</f>
        <v>1.261584</v>
      </c>
      <c r="T385" s="348"/>
      <c r="U385" s="348">
        <f t="shared" si="144"/>
        <v>64.7996496</v>
      </c>
      <c r="V385" s="348">
        <f t="shared" si="145"/>
        <v>24.222112</v>
      </c>
      <c r="W385" s="348">
        <f t="shared" si="146"/>
        <v>12.111056</v>
      </c>
      <c r="X385" s="348">
        <f t="shared" si="147"/>
        <v>9.080792</v>
      </c>
      <c r="Y385" s="348">
        <f t="shared" si="148"/>
        <v>0.3010264</v>
      </c>
      <c r="Z385" s="348">
        <f t="shared" si="149"/>
        <v>0.9130792</v>
      </c>
      <c r="AA385" s="348">
        <f t="shared" si="150"/>
        <v>18.171584</v>
      </c>
      <c r="AB385" s="348">
        <f t="shared" si="151"/>
        <v>0</v>
      </c>
      <c r="AC385" s="350"/>
    </row>
    <row r="386" ht="24" spans="1:29">
      <c r="A386" s="284" t="s">
        <v>640</v>
      </c>
      <c r="B386" s="284" t="s">
        <v>199</v>
      </c>
      <c r="C386" s="284" t="s">
        <v>688</v>
      </c>
      <c r="D386" s="284" t="s">
        <v>685</v>
      </c>
      <c r="E386" s="348">
        <f t="shared" si="142"/>
        <v>26.58</v>
      </c>
      <c r="F386" s="348">
        <v>9.94</v>
      </c>
      <c r="G386" s="348">
        <v>4.97</v>
      </c>
      <c r="H386" s="348">
        <v>3.73</v>
      </c>
      <c r="I386" s="348">
        <v>0.12</v>
      </c>
      <c r="J386" s="348">
        <v>0.37</v>
      </c>
      <c r="K386" s="348">
        <v>7.45</v>
      </c>
      <c r="L386" s="348"/>
      <c r="M386" s="348">
        <f t="shared" si="143"/>
        <v>-0.31886</v>
      </c>
      <c r="N386" s="348">
        <f>(SUM('工资福利（公务员、参公人员）'!R386:T386)+SUM('工资福利（事业）'!V386:X386,'工资福利（事业）'!AB386))*0.16</f>
        <v>-0.1192</v>
      </c>
      <c r="O386" s="348">
        <f>(SUM('工资福利（公务员、参公人员）'!R386:S386)+SUM('工资福利（事业）'!V386:X386,'工资福利（事业）'!AB386))*0.08</f>
        <v>-0.0596</v>
      </c>
      <c r="P386" s="348">
        <f>(SUM('工资福利（公务员、参公人员）'!R386:S386)+SUM('工资福利（事业）'!V386:X386,'工资福利（事业）'!AB386))*0.06</f>
        <v>-0.0447</v>
      </c>
      <c r="Q386" s="348">
        <f>(SUM('工资福利（公务员、参公人员）'!R386:S386)+SUM('工资福利（事业）'!V386:X386,'工资福利（事业）'!AB386))*0.002</f>
        <v>-0.00149</v>
      </c>
      <c r="R386" s="348">
        <f>(SUM('工资福利（公务员、参公人员）'!R386:S386)+SUM('工资福利（事业）'!V386:X386,'工资福利（事业）'!AB386))*0.006</f>
        <v>-0.00447</v>
      </c>
      <c r="S386" s="348">
        <f>(SUM('工资福利（公务员、参公人员）'!R386:S386)+SUM('工资福利（事业）'!V386:X386,'工资福利（事业）'!AB386))*0.12</f>
        <v>-0.0894</v>
      </c>
      <c r="T386" s="348"/>
      <c r="U386" s="348">
        <f t="shared" si="144"/>
        <v>26.26114</v>
      </c>
      <c r="V386" s="348">
        <f t="shared" si="145"/>
        <v>9.8208</v>
      </c>
      <c r="W386" s="348">
        <f t="shared" si="146"/>
        <v>4.9104</v>
      </c>
      <c r="X386" s="348">
        <f t="shared" si="147"/>
        <v>3.6853</v>
      </c>
      <c r="Y386" s="348">
        <f t="shared" si="148"/>
        <v>0.11851</v>
      </c>
      <c r="Z386" s="348">
        <f t="shared" si="149"/>
        <v>0.36553</v>
      </c>
      <c r="AA386" s="348">
        <f t="shared" si="150"/>
        <v>7.3606</v>
      </c>
      <c r="AB386" s="348">
        <f t="shared" si="151"/>
        <v>0</v>
      </c>
      <c r="AC386" s="350"/>
    </row>
    <row r="387" ht="24" spans="1:29">
      <c r="A387" s="284" t="s">
        <v>640</v>
      </c>
      <c r="B387" s="284" t="s">
        <v>199</v>
      </c>
      <c r="C387" s="284" t="s">
        <v>689</v>
      </c>
      <c r="D387" s="284" t="s">
        <v>685</v>
      </c>
      <c r="E387" s="348">
        <f t="shared" si="142"/>
        <v>14.29</v>
      </c>
      <c r="F387" s="348">
        <v>5.34</v>
      </c>
      <c r="G387" s="348">
        <v>2.67</v>
      </c>
      <c r="H387" s="348">
        <v>2</v>
      </c>
      <c r="I387" s="348">
        <v>0.07</v>
      </c>
      <c r="J387" s="348">
        <v>0.2</v>
      </c>
      <c r="K387" s="348">
        <v>4.01</v>
      </c>
      <c r="L387" s="348"/>
      <c r="M387" s="348">
        <f t="shared" si="143"/>
        <v>1.450706</v>
      </c>
      <c r="N387" s="348">
        <f>(SUM('工资福利（公务员、参公人员）'!R387:T387)+SUM('工资福利（事业）'!V387:X387,'工资福利（事业）'!AB387))*0.16</f>
        <v>0.54232</v>
      </c>
      <c r="O387" s="348">
        <f>(SUM('工资福利（公务员、参公人员）'!R387:S387)+SUM('工资福利（事业）'!V387:X387,'工资福利（事业）'!AB387))*0.08</f>
        <v>0.27116</v>
      </c>
      <c r="P387" s="348">
        <f>(SUM('工资福利（公务员、参公人员）'!R387:S387)+SUM('工资福利（事业）'!V387:X387,'工资福利（事业）'!AB387))*0.06</f>
        <v>0.20337</v>
      </c>
      <c r="Q387" s="348">
        <f>(SUM('工资福利（公务员、参公人员）'!R387:S387)+SUM('工资福利（事业）'!V387:X387,'工资福利（事业）'!AB387))*0.002</f>
        <v>0.006779</v>
      </c>
      <c r="R387" s="348">
        <f>(SUM('工资福利（公务员、参公人员）'!R387:S387)+SUM('工资福利（事业）'!V387:X387,'工资福利（事业）'!AB387))*0.006</f>
        <v>0.020337</v>
      </c>
      <c r="S387" s="348">
        <f>(SUM('工资福利（公务员、参公人员）'!R387:S387)+SUM('工资福利（事业）'!V387:X387,'工资福利（事业）'!AB387))*0.12</f>
        <v>0.40674</v>
      </c>
      <c r="T387" s="348"/>
      <c r="U387" s="348">
        <f t="shared" si="144"/>
        <v>15.740706</v>
      </c>
      <c r="V387" s="348">
        <f t="shared" si="145"/>
        <v>5.88232</v>
      </c>
      <c r="W387" s="348">
        <f t="shared" si="146"/>
        <v>2.94116</v>
      </c>
      <c r="X387" s="348">
        <f t="shared" si="147"/>
        <v>2.20337</v>
      </c>
      <c r="Y387" s="348">
        <f t="shared" si="148"/>
        <v>0.076779</v>
      </c>
      <c r="Z387" s="348">
        <f t="shared" si="149"/>
        <v>0.220337</v>
      </c>
      <c r="AA387" s="348">
        <f t="shared" si="150"/>
        <v>4.41674</v>
      </c>
      <c r="AB387" s="348">
        <f t="shared" si="151"/>
        <v>0</v>
      </c>
      <c r="AC387" s="350"/>
    </row>
    <row r="388" ht="36" spans="1:29">
      <c r="A388" s="284" t="s">
        <v>640</v>
      </c>
      <c r="B388" s="284" t="s">
        <v>518</v>
      </c>
      <c r="C388" s="284" t="s">
        <v>690</v>
      </c>
      <c r="D388" s="284" t="s">
        <v>691</v>
      </c>
      <c r="E388" s="348">
        <f t="shared" si="142"/>
        <v>13.22</v>
      </c>
      <c r="F388" s="348">
        <v>4.94</v>
      </c>
      <c r="G388" s="348">
        <v>2.47</v>
      </c>
      <c r="H388" s="348">
        <v>1.85</v>
      </c>
      <c r="I388" s="348">
        <v>0.06</v>
      </c>
      <c r="J388" s="348">
        <v>0.19</v>
      </c>
      <c r="K388" s="348">
        <v>3.71</v>
      </c>
      <c r="L388" s="348"/>
      <c r="M388" s="348">
        <f t="shared" si="143"/>
        <v>1.03683</v>
      </c>
      <c r="N388" s="348">
        <f>(SUM('工资福利（公务员、参公人员）'!R388:T388)+SUM('工资福利（事业）'!V388:X388,'工资福利（事业）'!AB388))*0.16</f>
        <v>0.3876</v>
      </c>
      <c r="O388" s="348">
        <f>(SUM('工资福利（公务员、参公人员）'!R388:S388)+SUM('工资福利（事业）'!V388:X388,'工资福利（事业）'!AB388))*0.08</f>
        <v>0.1938</v>
      </c>
      <c r="P388" s="348">
        <f>(SUM('工资福利（公务员、参公人员）'!R388:S388)+SUM('工资福利（事业）'!V388:X388,'工资福利（事业）'!AB388))*0.06</f>
        <v>0.14535</v>
      </c>
      <c r="Q388" s="348">
        <f>(SUM('工资福利（公务员、参公人员）'!R388:S388)+SUM('工资福利（事业）'!V388:X388,'工资福利（事业）'!AB388))*0.002</f>
        <v>0.004845</v>
      </c>
      <c r="R388" s="348">
        <f>(SUM('工资福利（公务员、参公人员）'!R388:S388)+SUM('工资福利（事业）'!V388:X388,'工资福利（事业）'!AB388))*0.006</f>
        <v>0.014535</v>
      </c>
      <c r="S388" s="348">
        <f>(SUM('工资福利（公务员、参公人员）'!R388:S388)+SUM('工资福利（事业）'!V388:X388,'工资福利（事业）'!AB388))*0.12</f>
        <v>0.2907</v>
      </c>
      <c r="T388" s="348"/>
      <c r="U388" s="348">
        <f t="shared" si="144"/>
        <v>14.25683</v>
      </c>
      <c r="V388" s="348">
        <f t="shared" si="145"/>
        <v>5.3276</v>
      </c>
      <c r="W388" s="348">
        <f t="shared" si="146"/>
        <v>2.6638</v>
      </c>
      <c r="X388" s="348">
        <f t="shared" si="147"/>
        <v>1.99535</v>
      </c>
      <c r="Y388" s="348">
        <f t="shared" si="148"/>
        <v>0.064845</v>
      </c>
      <c r="Z388" s="348">
        <f t="shared" si="149"/>
        <v>0.204535</v>
      </c>
      <c r="AA388" s="348">
        <f t="shared" si="150"/>
        <v>4.0007</v>
      </c>
      <c r="AB388" s="348">
        <f t="shared" si="151"/>
        <v>0</v>
      </c>
      <c r="AC388" s="350"/>
    </row>
    <row r="389" ht="36" spans="1:29">
      <c r="A389" s="284" t="s">
        <v>640</v>
      </c>
      <c r="B389" s="284" t="s">
        <v>518</v>
      </c>
      <c r="C389" s="284" t="s">
        <v>692</v>
      </c>
      <c r="D389" s="284" t="s">
        <v>691</v>
      </c>
      <c r="E389" s="348">
        <f t="shared" si="142"/>
        <v>0</v>
      </c>
      <c r="F389" s="348"/>
      <c r="G389" s="348"/>
      <c r="H389" s="348"/>
      <c r="I389" s="348"/>
      <c r="J389" s="348"/>
      <c r="K389" s="348"/>
      <c r="L389" s="348"/>
      <c r="M389" s="348">
        <f t="shared" si="143"/>
        <v>0</v>
      </c>
      <c r="N389" s="348">
        <f>(SUM('工资福利（公务员、参公人员）'!R389:T389)+SUM('工资福利（事业）'!V389:X389,'工资福利（事业）'!AB389))*0.16</f>
        <v>0</v>
      </c>
      <c r="O389" s="348">
        <f>(SUM('工资福利（公务员、参公人员）'!R389:S389)+SUM('工资福利（事业）'!V389:X389,'工资福利（事业）'!AB389))*0.08</f>
        <v>0</v>
      </c>
      <c r="P389" s="348">
        <f>(SUM('工资福利（公务员、参公人员）'!R389:S389)+SUM('工资福利（事业）'!V389:X389,'工资福利（事业）'!AB389))*0.06</f>
        <v>0</v>
      </c>
      <c r="Q389" s="348">
        <f>(SUM('工资福利（公务员、参公人员）'!R389:S389)+SUM('工资福利（事业）'!V389:X389,'工资福利（事业）'!AB389))*0.002</f>
        <v>0</v>
      </c>
      <c r="R389" s="348">
        <f>(SUM('工资福利（公务员、参公人员）'!R389:S389)+SUM('工资福利（事业）'!V389:X389,'工资福利（事业）'!AB389))*0.006</f>
        <v>0</v>
      </c>
      <c r="S389" s="348">
        <f>(SUM('工资福利（公务员、参公人员）'!R389:S389)+SUM('工资福利（事业）'!V389:X389,'工资福利（事业）'!AB389))*0.12</f>
        <v>0</v>
      </c>
      <c r="T389" s="348"/>
      <c r="U389" s="348">
        <f t="shared" si="144"/>
        <v>0</v>
      </c>
      <c r="V389" s="348">
        <f t="shared" si="145"/>
        <v>0</v>
      </c>
      <c r="W389" s="348">
        <f t="shared" si="146"/>
        <v>0</v>
      </c>
      <c r="X389" s="348">
        <f t="shared" si="147"/>
        <v>0</v>
      </c>
      <c r="Y389" s="348">
        <f t="shared" si="148"/>
        <v>0</v>
      </c>
      <c r="Z389" s="348">
        <f t="shared" si="149"/>
        <v>0</v>
      </c>
      <c r="AA389" s="348">
        <f t="shared" si="150"/>
        <v>0</v>
      </c>
      <c r="AB389" s="348">
        <f t="shared" si="151"/>
        <v>0</v>
      </c>
      <c r="AC389" s="350"/>
    </row>
    <row r="390" s="311" customFormat="1" ht="21" customHeight="1" spans="1:29">
      <c r="A390" s="328"/>
      <c r="B390" s="329" t="s">
        <v>753</v>
      </c>
      <c r="C390" s="329" t="s">
        <v>142</v>
      </c>
      <c r="D390" s="329">
        <v>214</v>
      </c>
      <c r="E390" s="358">
        <f t="shared" ref="E390:L390" si="152">SUM(E391:E398)</f>
        <v>207.26</v>
      </c>
      <c r="F390" s="358">
        <f t="shared" si="152"/>
        <v>75.28</v>
      </c>
      <c r="G390" s="358">
        <f t="shared" si="152"/>
        <v>37.06</v>
      </c>
      <c r="H390" s="358">
        <f t="shared" si="152"/>
        <v>27.8</v>
      </c>
      <c r="I390" s="358">
        <f t="shared" si="152"/>
        <v>0.93</v>
      </c>
      <c r="J390" s="358">
        <f t="shared" si="152"/>
        <v>2.78</v>
      </c>
      <c r="K390" s="358">
        <f t="shared" si="152"/>
        <v>55.59</v>
      </c>
      <c r="L390" s="358">
        <f t="shared" si="152"/>
        <v>7.82</v>
      </c>
      <c r="M390" s="358">
        <f t="shared" ref="M390:AB390" si="153">SUM(M391:M398)</f>
        <v>8.55144</v>
      </c>
      <c r="N390" s="358">
        <f t="shared" si="153"/>
        <v>3.1968</v>
      </c>
      <c r="O390" s="358">
        <f t="shared" si="153"/>
        <v>1.5984</v>
      </c>
      <c r="P390" s="358">
        <f t="shared" si="153"/>
        <v>1.1988</v>
      </c>
      <c r="Q390" s="358">
        <f t="shared" si="153"/>
        <v>0.03996</v>
      </c>
      <c r="R390" s="358">
        <f t="shared" si="153"/>
        <v>0.11988</v>
      </c>
      <c r="S390" s="358">
        <f t="shared" si="153"/>
        <v>2.3976</v>
      </c>
      <c r="T390" s="358">
        <f t="shared" si="153"/>
        <v>0</v>
      </c>
      <c r="U390" s="358">
        <f t="shared" si="153"/>
        <v>215.81144</v>
      </c>
      <c r="V390" s="358">
        <f t="shared" si="153"/>
        <v>78.4768</v>
      </c>
      <c r="W390" s="358">
        <f t="shared" si="153"/>
        <v>38.6584</v>
      </c>
      <c r="X390" s="358">
        <f t="shared" si="153"/>
        <v>28.9988</v>
      </c>
      <c r="Y390" s="358">
        <f t="shared" si="153"/>
        <v>0.96996</v>
      </c>
      <c r="Z390" s="358">
        <f t="shared" si="153"/>
        <v>2.89988</v>
      </c>
      <c r="AA390" s="358">
        <f t="shared" si="153"/>
        <v>57.9876</v>
      </c>
      <c r="AB390" s="358">
        <f t="shared" si="153"/>
        <v>7.82</v>
      </c>
      <c r="AC390" s="362"/>
    </row>
    <row r="391" ht="24" spans="1:29">
      <c r="A391" s="284" t="s">
        <v>290</v>
      </c>
      <c r="B391" s="284" t="s">
        <v>196</v>
      </c>
      <c r="C391" s="284" t="s">
        <v>693</v>
      </c>
      <c r="D391" s="284" t="s">
        <v>694</v>
      </c>
      <c r="E391" s="348">
        <f t="shared" ref="E391:E398" si="154">SUM(F391:L391)</f>
        <v>33.68</v>
      </c>
      <c r="F391" s="348">
        <v>12.98</v>
      </c>
      <c r="G391" s="348">
        <v>6.18</v>
      </c>
      <c r="H391" s="348">
        <v>4.64</v>
      </c>
      <c r="I391" s="348">
        <v>0.15</v>
      </c>
      <c r="J391" s="348">
        <v>0.46</v>
      </c>
      <c r="K391" s="348">
        <v>9.27</v>
      </c>
      <c r="L391" s="348"/>
      <c r="M391" s="348">
        <f t="shared" ref="M391:M398" si="155">SUM(N391:T391)</f>
        <v>-1.24976</v>
      </c>
      <c r="N391" s="348">
        <f>(SUM('工资福利（公务员、参公人员）'!R391:T391)+SUM('工资福利（事业）'!V391:X391,'工资福利（事业）'!AB391))*0.16</f>
        <v>-0.4672</v>
      </c>
      <c r="O391" s="348">
        <f>(SUM('工资福利（公务员、参公人员）'!R391:S391)+SUM('工资福利（事业）'!V391:X391,'工资福利（事业）'!AB391))*0.08</f>
        <v>-0.2336</v>
      </c>
      <c r="P391" s="348">
        <f>(SUM('工资福利（公务员、参公人员）'!R391:S391)+SUM('工资福利（事业）'!V391:X391,'工资福利（事业）'!AB391))*0.06</f>
        <v>-0.1752</v>
      </c>
      <c r="Q391" s="348">
        <f>(SUM('工资福利（公务员、参公人员）'!R391:S391)+SUM('工资福利（事业）'!V391:X391,'工资福利（事业）'!AB391))*0.002</f>
        <v>-0.00584</v>
      </c>
      <c r="R391" s="348">
        <f>(SUM('工资福利（公务员、参公人员）'!R391:S391)+SUM('工资福利（事业）'!V391:X391,'工资福利（事业）'!AB391))*0.006</f>
        <v>-0.01752</v>
      </c>
      <c r="S391" s="348">
        <f>(SUM('工资福利（公务员、参公人员）'!R391:S391)+SUM('工资福利（事业）'!V391:X391,'工资福利（事业）'!AB391))*0.12</f>
        <v>-0.3504</v>
      </c>
      <c r="T391" s="348"/>
      <c r="U391" s="348">
        <f t="shared" ref="U391:U398" si="156">SUM(V391:AB391)</f>
        <v>32.43024</v>
      </c>
      <c r="V391" s="348">
        <f t="shared" ref="V391:V398" si="157">F391+N391</f>
        <v>12.5128</v>
      </c>
      <c r="W391" s="348">
        <f t="shared" ref="W391:W398" si="158">G391+O391</f>
        <v>5.9464</v>
      </c>
      <c r="X391" s="348">
        <f t="shared" ref="X391:X398" si="159">H391+P391</f>
        <v>4.4648</v>
      </c>
      <c r="Y391" s="348">
        <f t="shared" ref="Y391:Y398" si="160">I391+Q391</f>
        <v>0.14416</v>
      </c>
      <c r="Z391" s="348">
        <f t="shared" ref="Z391:Z398" si="161">J391+R391</f>
        <v>0.44248</v>
      </c>
      <c r="AA391" s="348">
        <f t="shared" ref="AA391:AA398" si="162">K391+S391</f>
        <v>8.9196</v>
      </c>
      <c r="AB391" s="348">
        <f t="shared" ref="AB391:AB398" si="163">L391+T391</f>
        <v>0</v>
      </c>
      <c r="AC391" s="350"/>
    </row>
    <row r="392" ht="24" spans="1:29">
      <c r="A392" s="284" t="s">
        <v>290</v>
      </c>
      <c r="B392" s="284" t="s">
        <v>196</v>
      </c>
      <c r="C392" s="284" t="s">
        <v>695</v>
      </c>
      <c r="D392" s="284" t="s">
        <v>694</v>
      </c>
      <c r="E392" s="348">
        <f t="shared" si="154"/>
        <v>29.97</v>
      </c>
      <c r="F392" s="348">
        <v>11.54</v>
      </c>
      <c r="G392" s="348">
        <v>5.5</v>
      </c>
      <c r="H392" s="348">
        <v>4.13</v>
      </c>
      <c r="I392" s="348">
        <v>0.14</v>
      </c>
      <c r="J392" s="348">
        <v>0.41</v>
      </c>
      <c r="K392" s="348">
        <v>8.25</v>
      </c>
      <c r="L392" s="348"/>
      <c r="M392" s="348">
        <f t="shared" si="155"/>
        <v>2.00304</v>
      </c>
      <c r="N392" s="348">
        <f>(SUM('工资福利（公务员、参公人员）'!R392:T392)+SUM('工资福利（事业）'!V392:X392,'工资福利（事业）'!AB392))*0.16</f>
        <v>0.7488</v>
      </c>
      <c r="O392" s="348">
        <f>(SUM('工资福利（公务员、参公人员）'!R392:S392)+SUM('工资福利（事业）'!V392:X392,'工资福利（事业）'!AB392))*0.08</f>
        <v>0.3744</v>
      </c>
      <c r="P392" s="348">
        <f>(SUM('工资福利（公务员、参公人员）'!R392:S392)+SUM('工资福利（事业）'!V392:X392,'工资福利（事业）'!AB392))*0.06</f>
        <v>0.2808</v>
      </c>
      <c r="Q392" s="348">
        <f>(SUM('工资福利（公务员、参公人员）'!R392:S392)+SUM('工资福利（事业）'!V392:X392,'工资福利（事业）'!AB392))*0.002</f>
        <v>0.00936</v>
      </c>
      <c r="R392" s="348">
        <f>(SUM('工资福利（公务员、参公人员）'!R392:S392)+SUM('工资福利（事业）'!V392:X392,'工资福利（事业）'!AB392))*0.006</f>
        <v>0.02808</v>
      </c>
      <c r="S392" s="348">
        <f>(SUM('工资福利（公务员、参公人员）'!R392:S392)+SUM('工资福利（事业）'!V392:X392,'工资福利（事业）'!AB392))*0.12</f>
        <v>0.5616</v>
      </c>
      <c r="T392" s="348"/>
      <c r="U392" s="348">
        <f t="shared" si="156"/>
        <v>31.97304</v>
      </c>
      <c r="V392" s="348">
        <f t="shared" si="157"/>
        <v>12.2888</v>
      </c>
      <c r="W392" s="348">
        <f t="shared" si="158"/>
        <v>5.8744</v>
      </c>
      <c r="X392" s="348">
        <f t="shared" si="159"/>
        <v>4.4108</v>
      </c>
      <c r="Y392" s="348">
        <f t="shared" si="160"/>
        <v>0.14936</v>
      </c>
      <c r="Z392" s="348">
        <f t="shared" si="161"/>
        <v>0.43808</v>
      </c>
      <c r="AA392" s="348">
        <f t="shared" si="162"/>
        <v>8.8116</v>
      </c>
      <c r="AB392" s="348">
        <f t="shared" si="163"/>
        <v>0</v>
      </c>
      <c r="AC392" s="350"/>
    </row>
    <row r="393" ht="36" spans="1:29">
      <c r="A393" s="284" t="s">
        <v>290</v>
      </c>
      <c r="B393" s="284" t="s">
        <v>199</v>
      </c>
      <c r="C393" s="284" t="s">
        <v>696</v>
      </c>
      <c r="D393" s="284" t="s">
        <v>697</v>
      </c>
      <c r="E393" s="348">
        <f t="shared" si="154"/>
        <v>49.66</v>
      </c>
      <c r="F393" s="348">
        <v>15.64</v>
      </c>
      <c r="G393" s="348">
        <v>7.82</v>
      </c>
      <c r="H393" s="348">
        <v>5.86</v>
      </c>
      <c r="I393" s="348">
        <v>0.2</v>
      </c>
      <c r="J393" s="348">
        <v>0.59</v>
      </c>
      <c r="K393" s="348">
        <v>11.73</v>
      </c>
      <c r="L393" s="348">
        <v>7.82</v>
      </c>
      <c r="M393" s="348">
        <f t="shared" si="155"/>
        <v>5.61108</v>
      </c>
      <c r="N393" s="348">
        <f>(SUM('工资福利（公务员、参公人员）'!R393:T393)+SUM('工资福利（事业）'!V393:X393,'工资福利（事业）'!AB393))*0.16</f>
        <v>2.0976</v>
      </c>
      <c r="O393" s="348">
        <f>(SUM('工资福利（公务员、参公人员）'!R393:S393)+SUM('工资福利（事业）'!V393:X393,'工资福利（事业）'!AB393))*0.08</f>
        <v>1.0488</v>
      </c>
      <c r="P393" s="348">
        <f>(SUM('工资福利（公务员、参公人员）'!R393:S393)+SUM('工资福利（事业）'!V393:X393,'工资福利（事业）'!AB393))*0.06</f>
        <v>0.7866</v>
      </c>
      <c r="Q393" s="348">
        <f>(SUM('工资福利（公务员、参公人员）'!R393:S393)+SUM('工资福利（事业）'!V393:X393,'工资福利（事业）'!AB393))*0.002</f>
        <v>0.02622</v>
      </c>
      <c r="R393" s="348">
        <f>(SUM('工资福利（公务员、参公人员）'!R393:S393)+SUM('工资福利（事业）'!V393:X393,'工资福利（事业）'!AB393))*0.006</f>
        <v>0.07866</v>
      </c>
      <c r="S393" s="348">
        <f>(SUM('工资福利（公务员、参公人员）'!R393:S393)+SUM('工资福利（事业）'!V393:X393,'工资福利（事业）'!AB393))*0.12</f>
        <v>1.5732</v>
      </c>
      <c r="T393" s="348"/>
      <c r="U393" s="348">
        <f t="shared" si="156"/>
        <v>55.27108</v>
      </c>
      <c r="V393" s="348">
        <f t="shared" si="157"/>
        <v>17.7376</v>
      </c>
      <c r="W393" s="348">
        <f t="shared" si="158"/>
        <v>8.8688</v>
      </c>
      <c r="X393" s="348">
        <f t="shared" si="159"/>
        <v>6.6466</v>
      </c>
      <c r="Y393" s="348">
        <f t="shared" si="160"/>
        <v>0.22622</v>
      </c>
      <c r="Z393" s="348">
        <f t="shared" si="161"/>
        <v>0.66866</v>
      </c>
      <c r="AA393" s="348">
        <f t="shared" si="162"/>
        <v>13.3032</v>
      </c>
      <c r="AB393" s="348">
        <f t="shared" si="163"/>
        <v>7.82</v>
      </c>
      <c r="AC393" s="350"/>
    </row>
    <row r="394" ht="36" spans="1:29">
      <c r="A394" s="284" t="s">
        <v>290</v>
      </c>
      <c r="B394" s="284" t="s">
        <v>199</v>
      </c>
      <c r="C394" s="284" t="s">
        <v>698</v>
      </c>
      <c r="D394" s="284" t="s">
        <v>697</v>
      </c>
      <c r="E394" s="348">
        <f t="shared" si="154"/>
        <v>26.42</v>
      </c>
      <c r="F394" s="348">
        <v>9.88</v>
      </c>
      <c r="G394" s="348">
        <v>4.94</v>
      </c>
      <c r="H394" s="348">
        <v>3.7</v>
      </c>
      <c r="I394" s="348">
        <v>0.12</v>
      </c>
      <c r="J394" s="348">
        <v>0.37</v>
      </c>
      <c r="K394" s="348">
        <v>7.41</v>
      </c>
      <c r="L394" s="348"/>
      <c r="M394" s="348">
        <f t="shared" si="155"/>
        <v>1.9688</v>
      </c>
      <c r="N394" s="348">
        <f>(SUM('工资福利（公务员、参公人员）'!R394:T394)+SUM('工资福利（事业）'!V394:X394,'工资福利（事业）'!AB394))*0.16</f>
        <v>0.736</v>
      </c>
      <c r="O394" s="348">
        <f>(SUM('工资福利（公务员、参公人员）'!R394:S394)+SUM('工资福利（事业）'!V394:X394,'工资福利（事业）'!AB394))*0.08</f>
        <v>0.368</v>
      </c>
      <c r="P394" s="348">
        <f>(SUM('工资福利（公务员、参公人员）'!R394:S394)+SUM('工资福利（事业）'!V394:X394,'工资福利（事业）'!AB394))*0.06</f>
        <v>0.276</v>
      </c>
      <c r="Q394" s="348">
        <f>(SUM('工资福利（公务员、参公人员）'!R394:S394)+SUM('工资福利（事业）'!V394:X394,'工资福利（事业）'!AB394))*0.002</f>
        <v>0.0092</v>
      </c>
      <c r="R394" s="348">
        <f>(SUM('工资福利（公务员、参公人员）'!R394:S394)+SUM('工资福利（事业）'!V394:X394,'工资福利（事业）'!AB394))*0.006</f>
        <v>0.0276</v>
      </c>
      <c r="S394" s="348">
        <f>(SUM('工资福利（公务员、参公人员）'!R394:S394)+SUM('工资福利（事业）'!V394:X394,'工资福利（事业）'!AB394))*0.12</f>
        <v>0.552</v>
      </c>
      <c r="T394" s="348"/>
      <c r="U394" s="348">
        <f t="shared" si="156"/>
        <v>28.3888</v>
      </c>
      <c r="V394" s="348">
        <f t="shared" si="157"/>
        <v>10.616</v>
      </c>
      <c r="W394" s="348">
        <f t="shared" si="158"/>
        <v>5.308</v>
      </c>
      <c r="X394" s="348">
        <f t="shared" si="159"/>
        <v>3.976</v>
      </c>
      <c r="Y394" s="348">
        <f t="shared" si="160"/>
        <v>0.1292</v>
      </c>
      <c r="Z394" s="348">
        <f t="shared" si="161"/>
        <v>0.3976</v>
      </c>
      <c r="AA394" s="348">
        <f t="shared" si="162"/>
        <v>7.962</v>
      </c>
      <c r="AB394" s="348">
        <f t="shared" si="163"/>
        <v>0</v>
      </c>
      <c r="AC394" s="350"/>
    </row>
    <row r="395" ht="36" spans="1:29">
      <c r="A395" s="284" t="s">
        <v>290</v>
      </c>
      <c r="B395" s="284" t="s">
        <v>199</v>
      </c>
      <c r="C395" s="284" t="s">
        <v>699</v>
      </c>
      <c r="D395" s="284" t="s">
        <v>697</v>
      </c>
      <c r="E395" s="348">
        <f t="shared" si="154"/>
        <v>6.69</v>
      </c>
      <c r="F395" s="348">
        <v>2.5</v>
      </c>
      <c r="G395" s="348">
        <v>1.25</v>
      </c>
      <c r="H395" s="348">
        <v>0.94</v>
      </c>
      <c r="I395" s="348">
        <v>0.03</v>
      </c>
      <c r="J395" s="348">
        <v>0.09</v>
      </c>
      <c r="K395" s="348">
        <v>1.88</v>
      </c>
      <c r="L395" s="348"/>
      <c r="M395" s="348">
        <f t="shared" si="155"/>
        <v>0.36808</v>
      </c>
      <c r="N395" s="348">
        <f>(SUM('工资福利（公务员、参公人员）'!R395:T395)+SUM('工资福利（事业）'!V395:X395,'工资福利（事业）'!AB395))*0.16</f>
        <v>0.1376</v>
      </c>
      <c r="O395" s="348">
        <f>(SUM('工资福利（公务员、参公人员）'!R395:S395)+SUM('工资福利（事业）'!V395:X395,'工资福利（事业）'!AB395))*0.08</f>
        <v>0.0688</v>
      </c>
      <c r="P395" s="348">
        <f>(SUM('工资福利（公务员、参公人员）'!R395:S395)+SUM('工资福利（事业）'!V395:X395,'工资福利（事业）'!AB395))*0.06</f>
        <v>0.0516</v>
      </c>
      <c r="Q395" s="348">
        <f>(SUM('工资福利（公务员、参公人员）'!R395:S395)+SUM('工资福利（事业）'!V395:X395,'工资福利（事业）'!AB395))*0.002</f>
        <v>0.00172</v>
      </c>
      <c r="R395" s="348">
        <f>(SUM('工资福利（公务员、参公人员）'!R395:S395)+SUM('工资福利（事业）'!V395:X395,'工资福利（事业）'!AB395))*0.006</f>
        <v>0.00516</v>
      </c>
      <c r="S395" s="348">
        <f>(SUM('工资福利（公务员、参公人员）'!R395:S395)+SUM('工资福利（事业）'!V395:X395,'工资福利（事业）'!AB395))*0.12</f>
        <v>0.1032</v>
      </c>
      <c r="T395" s="348"/>
      <c r="U395" s="348">
        <f t="shared" si="156"/>
        <v>7.05808</v>
      </c>
      <c r="V395" s="348">
        <f t="shared" si="157"/>
        <v>2.6376</v>
      </c>
      <c r="W395" s="348">
        <f t="shared" si="158"/>
        <v>1.3188</v>
      </c>
      <c r="X395" s="348">
        <f t="shared" si="159"/>
        <v>0.9916</v>
      </c>
      <c r="Y395" s="348">
        <f t="shared" si="160"/>
        <v>0.03172</v>
      </c>
      <c r="Z395" s="348">
        <f t="shared" si="161"/>
        <v>0.09516</v>
      </c>
      <c r="AA395" s="348">
        <f t="shared" si="162"/>
        <v>1.9832</v>
      </c>
      <c r="AB395" s="348">
        <f t="shared" si="163"/>
        <v>0</v>
      </c>
      <c r="AC395" s="350"/>
    </row>
    <row r="396" ht="36" spans="1:29">
      <c r="A396" s="284" t="s">
        <v>290</v>
      </c>
      <c r="B396" s="284" t="s">
        <v>199</v>
      </c>
      <c r="C396" s="284" t="s">
        <v>700</v>
      </c>
      <c r="D396" s="284" t="s">
        <v>701</v>
      </c>
      <c r="E396" s="348">
        <f t="shared" si="154"/>
        <v>17.07</v>
      </c>
      <c r="F396" s="348">
        <v>6.38</v>
      </c>
      <c r="G396" s="348">
        <v>3.19</v>
      </c>
      <c r="H396" s="348">
        <v>2.39</v>
      </c>
      <c r="I396" s="348">
        <v>0.08</v>
      </c>
      <c r="J396" s="348">
        <v>0.24</v>
      </c>
      <c r="K396" s="348">
        <v>4.79</v>
      </c>
      <c r="L396" s="348"/>
      <c r="M396" s="348">
        <f t="shared" si="155"/>
        <v>-0.03852</v>
      </c>
      <c r="N396" s="348">
        <f>(SUM('工资福利（公务员、参公人员）'!R396:T396)+SUM('工资福利（事业）'!V396:X396,'工资福利（事业）'!AB396))*0.16</f>
        <v>-0.0144</v>
      </c>
      <c r="O396" s="348">
        <f>(SUM('工资福利（公务员、参公人员）'!R396:S396)+SUM('工资福利（事业）'!V396:X396,'工资福利（事业）'!AB396))*0.08</f>
        <v>-0.0072</v>
      </c>
      <c r="P396" s="348">
        <f>(SUM('工资福利（公务员、参公人员）'!R396:S396)+SUM('工资福利（事业）'!V396:X396,'工资福利（事业）'!AB396))*0.06</f>
        <v>-0.0054</v>
      </c>
      <c r="Q396" s="348">
        <f>(SUM('工资福利（公务员、参公人员）'!R396:S396)+SUM('工资福利（事业）'!V396:X396,'工资福利（事业）'!AB396))*0.002</f>
        <v>-0.00018</v>
      </c>
      <c r="R396" s="348">
        <f>(SUM('工资福利（公务员、参公人员）'!R396:S396)+SUM('工资福利（事业）'!V396:X396,'工资福利（事业）'!AB396))*0.006</f>
        <v>-0.00054</v>
      </c>
      <c r="S396" s="348">
        <f>(SUM('工资福利（公务员、参公人员）'!R396:S396)+SUM('工资福利（事业）'!V396:X396,'工资福利（事业）'!AB396))*0.12</f>
        <v>-0.0108</v>
      </c>
      <c r="T396" s="348"/>
      <c r="U396" s="348">
        <f t="shared" si="156"/>
        <v>17.03148</v>
      </c>
      <c r="V396" s="348">
        <f t="shared" si="157"/>
        <v>6.3656</v>
      </c>
      <c r="W396" s="348">
        <f t="shared" si="158"/>
        <v>3.1828</v>
      </c>
      <c r="X396" s="348">
        <f t="shared" si="159"/>
        <v>2.3846</v>
      </c>
      <c r="Y396" s="348">
        <f t="shared" si="160"/>
        <v>0.07982</v>
      </c>
      <c r="Z396" s="348">
        <f t="shared" si="161"/>
        <v>0.23946</v>
      </c>
      <c r="AA396" s="348">
        <f t="shared" si="162"/>
        <v>4.7792</v>
      </c>
      <c r="AB396" s="348">
        <f t="shared" si="163"/>
        <v>0</v>
      </c>
      <c r="AC396" s="350"/>
    </row>
    <row r="397" ht="36" spans="1:29">
      <c r="A397" s="284" t="s">
        <v>195</v>
      </c>
      <c r="B397" s="284" t="s">
        <v>199</v>
      </c>
      <c r="C397" s="284" t="s">
        <v>702</v>
      </c>
      <c r="D397" s="284" t="s">
        <v>703</v>
      </c>
      <c r="E397" s="348">
        <f t="shared" si="154"/>
        <v>5.41</v>
      </c>
      <c r="F397" s="348">
        <v>2.02</v>
      </c>
      <c r="G397" s="348">
        <v>1.01</v>
      </c>
      <c r="H397" s="348">
        <v>0.76</v>
      </c>
      <c r="I397" s="348">
        <v>0.03</v>
      </c>
      <c r="J397" s="348">
        <v>0.08</v>
      </c>
      <c r="K397" s="348">
        <v>1.51</v>
      </c>
      <c r="L397" s="348"/>
      <c r="M397" s="348">
        <f t="shared" si="155"/>
        <v>0.44512</v>
      </c>
      <c r="N397" s="348">
        <f>(SUM('工资福利（公务员、参公人员）'!R397:T397)+SUM('工资福利（事业）'!V397:X397,'工资福利（事业）'!AB397))*0.16</f>
        <v>0.1664</v>
      </c>
      <c r="O397" s="348">
        <f>(SUM('工资福利（公务员、参公人员）'!R397:S397)+SUM('工资福利（事业）'!V397:X397,'工资福利（事业）'!AB397))*0.08</f>
        <v>0.0832</v>
      </c>
      <c r="P397" s="348">
        <f>(SUM('工资福利（公务员、参公人员）'!R397:S397)+SUM('工资福利（事业）'!V397:X397,'工资福利（事业）'!AB397))*0.06</f>
        <v>0.0624</v>
      </c>
      <c r="Q397" s="348">
        <f>(SUM('工资福利（公务员、参公人员）'!R397:S397)+SUM('工资福利（事业）'!V397:X397,'工资福利（事业）'!AB397))*0.002</f>
        <v>0.00208</v>
      </c>
      <c r="R397" s="348">
        <f>(SUM('工资福利（公务员、参公人员）'!R397:S397)+SUM('工资福利（事业）'!V397:X397,'工资福利（事业）'!AB397))*0.006</f>
        <v>0.00624</v>
      </c>
      <c r="S397" s="348">
        <f>(SUM('工资福利（公务员、参公人员）'!R397:S397)+SUM('工资福利（事业）'!V397:X397,'工资福利（事业）'!AB397))*0.12</f>
        <v>0.1248</v>
      </c>
      <c r="T397" s="348"/>
      <c r="U397" s="348">
        <f t="shared" si="156"/>
        <v>5.85512</v>
      </c>
      <c r="V397" s="348">
        <f t="shared" si="157"/>
        <v>2.1864</v>
      </c>
      <c r="W397" s="348">
        <f t="shared" si="158"/>
        <v>1.0932</v>
      </c>
      <c r="X397" s="348">
        <f t="shared" si="159"/>
        <v>0.8224</v>
      </c>
      <c r="Y397" s="348">
        <f t="shared" si="160"/>
        <v>0.03208</v>
      </c>
      <c r="Z397" s="348">
        <f t="shared" si="161"/>
        <v>0.08624</v>
      </c>
      <c r="AA397" s="348">
        <f t="shared" si="162"/>
        <v>1.6348</v>
      </c>
      <c r="AB397" s="348">
        <f t="shared" si="163"/>
        <v>0</v>
      </c>
      <c r="AC397" s="350"/>
    </row>
    <row r="398" ht="36" spans="1:29">
      <c r="A398" s="284" t="s">
        <v>290</v>
      </c>
      <c r="B398" s="284" t="s">
        <v>199</v>
      </c>
      <c r="C398" s="284" t="s">
        <v>704</v>
      </c>
      <c r="D398" s="284" t="s">
        <v>703</v>
      </c>
      <c r="E398" s="348">
        <f t="shared" si="154"/>
        <v>38.36</v>
      </c>
      <c r="F398" s="348">
        <v>14.34</v>
      </c>
      <c r="G398" s="348">
        <v>7.17</v>
      </c>
      <c r="H398" s="348">
        <v>5.38</v>
      </c>
      <c r="I398" s="348">
        <v>0.18</v>
      </c>
      <c r="J398" s="348">
        <v>0.54</v>
      </c>
      <c r="K398" s="348">
        <v>10.75</v>
      </c>
      <c r="L398" s="348"/>
      <c r="M398" s="348">
        <f t="shared" si="155"/>
        <v>-0.5564</v>
      </c>
      <c r="N398" s="348">
        <f>(SUM('工资福利（公务员、参公人员）'!R398:T398)+SUM('工资福利（事业）'!V398:X398,'工资福利（事业）'!AB398))*0.16</f>
        <v>-0.208</v>
      </c>
      <c r="O398" s="348">
        <f>(SUM('工资福利（公务员、参公人员）'!R398:S398)+SUM('工资福利（事业）'!V398:X398,'工资福利（事业）'!AB398))*0.08</f>
        <v>-0.104</v>
      </c>
      <c r="P398" s="348">
        <f>(SUM('工资福利（公务员、参公人员）'!R398:S398)+SUM('工资福利（事业）'!V398:X398,'工资福利（事业）'!AB398))*0.06</f>
        <v>-0.078</v>
      </c>
      <c r="Q398" s="348">
        <f>(SUM('工资福利（公务员、参公人员）'!R398:S398)+SUM('工资福利（事业）'!V398:X398,'工资福利（事业）'!AB398))*0.002</f>
        <v>-0.0026</v>
      </c>
      <c r="R398" s="348">
        <f>(SUM('工资福利（公务员、参公人员）'!R398:S398)+SUM('工资福利（事业）'!V398:X398,'工资福利（事业）'!AB398))*0.006</f>
        <v>-0.0078</v>
      </c>
      <c r="S398" s="348">
        <f>(SUM('工资福利（公务员、参公人员）'!R398:S398)+SUM('工资福利（事业）'!V398:X398,'工资福利（事业）'!AB398))*0.12</f>
        <v>-0.156</v>
      </c>
      <c r="T398" s="348"/>
      <c r="U398" s="348">
        <f t="shared" si="156"/>
        <v>37.8036</v>
      </c>
      <c r="V398" s="348">
        <f t="shared" si="157"/>
        <v>14.132</v>
      </c>
      <c r="W398" s="348">
        <f t="shared" si="158"/>
        <v>7.066</v>
      </c>
      <c r="X398" s="348">
        <f t="shared" si="159"/>
        <v>5.302</v>
      </c>
      <c r="Y398" s="348">
        <f t="shared" si="160"/>
        <v>0.1774</v>
      </c>
      <c r="Z398" s="348">
        <f t="shared" si="161"/>
        <v>0.5322</v>
      </c>
      <c r="AA398" s="348">
        <f t="shared" si="162"/>
        <v>10.594</v>
      </c>
      <c r="AB398" s="348">
        <f t="shared" si="163"/>
        <v>0</v>
      </c>
      <c r="AC398" s="350"/>
    </row>
    <row r="399" s="311" customFormat="1" ht="21" customHeight="1" spans="1:29">
      <c r="A399" s="328"/>
      <c r="B399" s="329" t="s">
        <v>754</v>
      </c>
      <c r="C399" s="329" t="s">
        <v>144</v>
      </c>
      <c r="D399" s="329">
        <v>216</v>
      </c>
      <c r="E399" s="358">
        <f t="shared" ref="E399:L399" si="164">SUM(E400:E401)</f>
        <v>47.6</v>
      </c>
      <c r="F399" s="358">
        <f t="shared" si="164"/>
        <v>18.16</v>
      </c>
      <c r="G399" s="358">
        <f t="shared" si="164"/>
        <v>8.72</v>
      </c>
      <c r="H399" s="358">
        <f t="shared" si="164"/>
        <v>6.54</v>
      </c>
      <c r="I399" s="358">
        <f t="shared" si="164"/>
        <v>0.44</v>
      </c>
      <c r="J399" s="358">
        <f t="shared" si="164"/>
        <v>0.66</v>
      </c>
      <c r="K399" s="358">
        <f t="shared" si="164"/>
        <v>13.08</v>
      </c>
      <c r="L399" s="358">
        <f t="shared" si="164"/>
        <v>0</v>
      </c>
      <c r="M399" s="358">
        <f t="shared" ref="M399:AB399" si="165">SUM(M400:M401)</f>
        <v>-3.1244</v>
      </c>
      <c r="N399" s="358">
        <f t="shared" si="165"/>
        <v>-1.168</v>
      </c>
      <c r="O399" s="358">
        <f t="shared" si="165"/>
        <v>-0.584</v>
      </c>
      <c r="P399" s="358">
        <f t="shared" si="165"/>
        <v>-0.438</v>
      </c>
      <c r="Q399" s="358">
        <f t="shared" si="165"/>
        <v>-0.0146</v>
      </c>
      <c r="R399" s="358">
        <f t="shared" si="165"/>
        <v>-0.0438</v>
      </c>
      <c r="S399" s="358">
        <f t="shared" si="165"/>
        <v>-0.876</v>
      </c>
      <c r="T399" s="358">
        <f t="shared" si="165"/>
        <v>0</v>
      </c>
      <c r="U399" s="358">
        <f t="shared" si="165"/>
        <v>44.4756</v>
      </c>
      <c r="V399" s="358">
        <f t="shared" si="165"/>
        <v>16.992</v>
      </c>
      <c r="W399" s="358">
        <f t="shared" si="165"/>
        <v>8.136</v>
      </c>
      <c r="X399" s="358">
        <f t="shared" si="165"/>
        <v>6.102</v>
      </c>
      <c r="Y399" s="358">
        <f t="shared" si="165"/>
        <v>0.4254</v>
      </c>
      <c r="Z399" s="358">
        <f t="shared" si="165"/>
        <v>0.6162</v>
      </c>
      <c r="AA399" s="358">
        <f t="shared" si="165"/>
        <v>12.204</v>
      </c>
      <c r="AB399" s="358">
        <f t="shared" si="165"/>
        <v>0</v>
      </c>
      <c r="AC399" s="362"/>
    </row>
    <row r="400" ht="24" spans="1:29">
      <c r="A400" s="284" t="s">
        <v>290</v>
      </c>
      <c r="B400" s="284" t="s">
        <v>196</v>
      </c>
      <c r="C400" s="284" t="s">
        <v>705</v>
      </c>
      <c r="D400" s="284" t="s">
        <v>706</v>
      </c>
      <c r="E400" s="348">
        <f t="shared" ref="E400:E413" si="166">SUM(F400:L400)</f>
        <v>41.37</v>
      </c>
      <c r="F400" s="348">
        <v>15.85</v>
      </c>
      <c r="G400" s="348">
        <v>7.56</v>
      </c>
      <c r="H400" s="348">
        <v>5.67</v>
      </c>
      <c r="I400" s="348">
        <v>0.38</v>
      </c>
      <c r="J400" s="348">
        <v>0.57</v>
      </c>
      <c r="K400" s="348">
        <v>11.34</v>
      </c>
      <c r="L400" s="348"/>
      <c r="M400" s="348">
        <f t="shared" ref="M400:M413" si="167">SUM(N400:T400)</f>
        <v>-2.68784</v>
      </c>
      <c r="N400" s="348">
        <f>(SUM('工资福利（公务员、参公人员）'!R400:T400)+SUM('工资福利（事业）'!V400:X400,'工资福利（事业）'!AB400))*0.16</f>
        <v>-1.0048</v>
      </c>
      <c r="O400" s="348">
        <f>(SUM('工资福利（公务员、参公人员）'!R400:S400)+SUM('工资福利（事业）'!V400:X400,'工资福利（事业）'!AB400))*0.08</f>
        <v>-0.5024</v>
      </c>
      <c r="P400" s="348">
        <f>(SUM('工资福利（公务员、参公人员）'!R400:S400)+SUM('工资福利（事业）'!V400:X400,'工资福利（事业）'!AB400))*0.06</f>
        <v>-0.3768</v>
      </c>
      <c r="Q400" s="348">
        <f>(SUM('工资福利（公务员、参公人员）'!R400:S400)+SUM('工资福利（事业）'!V400:X400,'工资福利（事业）'!AB400))*0.002</f>
        <v>-0.01256</v>
      </c>
      <c r="R400" s="348">
        <f>(SUM('工资福利（公务员、参公人员）'!R400:S400)+SUM('工资福利（事业）'!V400:X400,'工资福利（事业）'!AB400))*0.006</f>
        <v>-0.03768</v>
      </c>
      <c r="S400" s="348">
        <f>(SUM('工资福利（公务员、参公人员）'!R400:S400)+SUM('工资福利（事业）'!V400:X400,'工资福利（事业）'!AB400))*0.12</f>
        <v>-0.7536</v>
      </c>
      <c r="T400" s="348"/>
      <c r="U400" s="348">
        <f t="shared" ref="U400:U413" si="168">SUM(V400:AB400)</f>
        <v>38.68216</v>
      </c>
      <c r="V400" s="348">
        <f t="shared" ref="V400:AB400" si="169">F400+N400</f>
        <v>14.8452</v>
      </c>
      <c r="W400" s="348">
        <f t="shared" si="169"/>
        <v>7.0576</v>
      </c>
      <c r="X400" s="348">
        <f t="shared" si="169"/>
        <v>5.2932</v>
      </c>
      <c r="Y400" s="348">
        <f t="shared" si="169"/>
        <v>0.36744</v>
      </c>
      <c r="Z400" s="348">
        <f t="shared" si="169"/>
        <v>0.53232</v>
      </c>
      <c r="AA400" s="348">
        <f t="shared" si="169"/>
        <v>10.5864</v>
      </c>
      <c r="AB400" s="348">
        <f t="shared" si="169"/>
        <v>0</v>
      </c>
      <c r="AC400" s="350"/>
    </row>
    <row r="401" ht="24" spans="1:29">
      <c r="A401" s="284" t="s">
        <v>290</v>
      </c>
      <c r="B401" s="284" t="s">
        <v>199</v>
      </c>
      <c r="C401" s="284" t="s">
        <v>707</v>
      </c>
      <c r="D401" s="284" t="s">
        <v>708</v>
      </c>
      <c r="E401" s="348">
        <f t="shared" si="166"/>
        <v>6.23</v>
      </c>
      <c r="F401" s="348">
        <v>2.31</v>
      </c>
      <c r="G401" s="348">
        <v>1.16</v>
      </c>
      <c r="H401" s="348">
        <v>0.87</v>
      </c>
      <c r="I401" s="348">
        <v>0.06</v>
      </c>
      <c r="J401" s="348">
        <v>0.09</v>
      </c>
      <c r="K401" s="348">
        <v>1.74</v>
      </c>
      <c r="L401" s="348"/>
      <c r="M401" s="348">
        <f t="shared" si="167"/>
        <v>-0.43656</v>
      </c>
      <c r="N401" s="348">
        <f>(SUM('工资福利（公务员、参公人员）'!R401:T401)+SUM('工资福利（事业）'!V401:X401,'工资福利（事业）'!AB401))*0.16</f>
        <v>-0.1632</v>
      </c>
      <c r="O401" s="348">
        <f>(SUM('工资福利（公务员、参公人员）'!R401:S401)+SUM('工资福利（事业）'!V401:X401,'工资福利（事业）'!AB401))*0.08</f>
        <v>-0.0816</v>
      </c>
      <c r="P401" s="348">
        <f>(SUM('工资福利（公务员、参公人员）'!R401:S401)+SUM('工资福利（事业）'!V401:X401,'工资福利（事业）'!AB401))*0.06</f>
        <v>-0.0612</v>
      </c>
      <c r="Q401" s="348">
        <f>(SUM('工资福利（公务员、参公人员）'!R401:S401)+SUM('工资福利（事业）'!V401:X401,'工资福利（事业）'!AB401))*0.002</f>
        <v>-0.00204</v>
      </c>
      <c r="R401" s="348">
        <f>(SUM('工资福利（公务员、参公人员）'!R401:S401)+SUM('工资福利（事业）'!V401:X401,'工资福利（事业）'!AB401))*0.006</f>
        <v>-0.00612</v>
      </c>
      <c r="S401" s="348">
        <f>(SUM('工资福利（公务员、参公人员）'!R401:S401)+SUM('工资福利（事业）'!V401:X401,'工资福利（事业）'!AB401))*0.12</f>
        <v>-0.1224</v>
      </c>
      <c r="T401" s="348"/>
      <c r="U401" s="348">
        <f t="shared" si="168"/>
        <v>5.79344</v>
      </c>
      <c r="V401" s="348">
        <f t="shared" ref="V401:AB401" si="170">F401+N401</f>
        <v>2.1468</v>
      </c>
      <c r="W401" s="348">
        <f t="shared" si="170"/>
        <v>1.0784</v>
      </c>
      <c r="X401" s="348">
        <f t="shared" si="170"/>
        <v>0.8088</v>
      </c>
      <c r="Y401" s="348">
        <f t="shared" si="170"/>
        <v>0.05796</v>
      </c>
      <c r="Z401" s="348">
        <f t="shared" si="170"/>
        <v>0.08388</v>
      </c>
      <c r="AA401" s="348">
        <f t="shared" si="170"/>
        <v>1.6176</v>
      </c>
      <c r="AB401" s="348">
        <f t="shared" si="170"/>
        <v>0</v>
      </c>
      <c r="AC401" s="350"/>
    </row>
    <row r="402" s="311" customFormat="1" ht="21" customHeight="1" spans="1:29">
      <c r="A402" s="328"/>
      <c r="B402" s="329" t="s">
        <v>755</v>
      </c>
      <c r="C402" s="329" t="s">
        <v>146</v>
      </c>
      <c r="D402" s="329">
        <v>220</v>
      </c>
      <c r="E402" s="358">
        <f t="shared" ref="E402:L402" si="171">SUM(E403:E413)</f>
        <v>351.6308</v>
      </c>
      <c r="F402" s="358">
        <f t="shared" si="171"/>
        <v>139.22</v>
      </c>
      <c r="G402" s="358">
        <f t="shared" si="171"/>
        <v>61.96</v>
      </c>
      <c r="H402" s="358">
        <f t="shared" si="171"/>
        <v>46.49</v>
      </c>
      <c r="I402" s="358">
        <f t="shared" si="171"/>
        <v>1.55</v>
      </c>
      <c r="J402" s="358">
        <f t="shared" si="171"/>
        <v>5.82</v>
      </c>
      <c r="K402" s="358">
        <f t="shared" si="171"/>
        <v>92.95</v>
      </c>
      <c r="L402" s="358">
        <f t="shared" si="171"/>
        <v>3.6408</v>
      </c>
      <c r="M402" s="358">
        <f t="shared" ref="M402:AB402" si="172">SUM(M403:M413)</f>
        <v>77.8716</v>
      </c>
      <c r="N402" s="358">
        <f t="shared" si="172"/>
        <v>29.176</v>
      </c>
      <c r="O402" s="358">
        <f t="shared" si="172"/>
        <v>14.536</v>
      </c>
      <c r="P402" s="358">
        <f t="shared" si="172"/>
        <v>10.902</v>
      </c>
      <c r="Q402" s="358">
        <f t="shared" si="172"/>
        <v>0.3634</v>
      </c>
      <c r="R402" s="358">
        <f t="shared" si="172"/>
        <v>1.0902</v>
      </c>
      <c r="S402" s="358">
        <f t="shared" si="172"/>
        <v>21.804</v>
      </c>
      <c r="T402" s="358">
        <f t="shared" si="172"/>
        <v>0</v>
      </c>
      <c r="U402" s="358">
        <f t="shared" si="172"/>
        <v>429.5024</v>
      </c>
      <c r="V402" s="358">
        <f t="shared" si="172"/>
        <v>168.396</v>
      </c>
      <c r="W402" s="358">
        <f t="shared" si="172"/>
        <v>76.496</v>
      </c>
      <c r="X402" s="358">
        <f t="shared" si="172"/>
        <v>57.392</v>
      </c>
      <c r="Y402" s="358">
        <f t="shared" si="172"/>
        <v>1.9134</v>
      </c>
      <c r="Z402" s="358">
        <f t="shared" si="172"/>
        <v>6.9102</v>
      </c>
      <c r="AA402" s="358">
        <f t="shared" si="172"/>
        <v>114.754</v>
      </c>
      <c r="AB402" s="358">
        <f t="shared" si="172"/>
        <v>3.6408</v>
      </c>
      <c r="AC402" s="362"/>
    </row>
    <row r="403" ht="24" spans="1:29">
      <c r="A403" s="284" t="s">
        <v>665</v>
      </c>
      <c r="B403" s="284" t="s">
        <v>196</v>
      </c>
      <c r="C403" s="284" t="s">
        <v>709</v>
      </c>
      <c r="D403" s="284" t="s">
        <v>710</v>
      </c>
      <c r="E403" s="348">
        <f t="shared" si="166"/>
        <v>54.41</v>
      </c>
      <c r="F403" s="348">
        <v>20.97</v>
      </c>
      <c r="G403" s="348">
        <v>9.98</v>
      </c>
      <c r="H403" s="348">
        <v>7.49</v>
      </c>
      <c r="I403" s="348">
        <v>0.25</v>
      </c>
      <c r="J403" s="348">
        <v>0.75</v>
      </c>
      <c r="K403" s="348">
        <v>14.97</v>
      </c>
      <c r="L403" s="348"/>
      <c r="M403" s="348">
        <f t="shared" si="167"/>
        <v>-3.45988</v>
      </c>
      <c r="N403" s="348">
        <f>(SUM('工资福利（公务员、参公人员）'!R403:T403)+SUM('工资福利（事业）'!V403:X403,'工资福利（事业）'!AB403))*0.16</f>
        <v>-1.2864</v>
      </c>
      <c r="O403" s="348">
        <f>(SUM('工资福利（公务员、参公人员）'!R403:S403)+SUM('工资福利（事业）'!V403:X403,'工资福利（事业）'!AB403))*0.08</f>
        <v>-0.6488</v>
      </c>
      <c r="P403" s="348">
        <f>(SUM('工资福利（公务员、参公人员）'!R403:S403)+SUM('工资福利（事业）'!V403:X403,'工资福利（事业）'!AB403))*0.06</f>
        <v>-0.4866</v>
      </c>
      <c r="Q403" s="348">
        <f>(SUM('工资福利（公务员、参公人员）'!R403:S403)+SUM('工资福利（事业）'!V403:X403,'工资福利（事业）'!AB403))*0.002</f>
        <v>-0.01622</v>
      </c>
      <c r="R403" s="348">
        <f>(SUM('工资福利（公务员、参公人员）'!R403:S403)+SUM('工资福利（事业）'!V403:X403,'工资福利（事业）'!AB403))*0.006</f>
        <v>-0.04866</v>
      </c>
      <c r="S403" s="348">
        <f>(SUM('工资福利（公务员、参公人员）'!R403:S403)+SUM('工资福利（事业）'!V403:X403,'工资福利（事业）'!AB403))*0.12</f>
        <v>-0.9732</v>
      </c>
      <c r="T403" s="348"/>
      <c r="U403" s="348">
        <f t="shared" si="168"/>
        <v>50.95012</v>
      </c>
      <c r="V403" s="348">
        <f t="shared" ref="V403:V413" si="173">F403+N403</f>
        <v>19.6836</v>
      </c>
      <c r="W403" s="348">
        <f t="shared" ref="W403:W413" si="174">G403+O403</f>
        <v>9.3312</v>
      </c>
      <c r="X403" s="348">
        <f t="shared" ref="X403:X413" si="175">H403+P403</f>
        <v>7.0034</v>
      </c>
      <c r="Y403" s="348">
        <f t="shared" ref="Y403:Y413" si="176">I403+Q403</f>
        <v>0.23378</v>
      </c>
      <c r="Z403" s="348">
        <f t="shared" ref="Z403:Z413" si="177">J403+R403</f>
        <v>0.70134</v>
      </c>
      <c r="AA403" s="348">
        <f t="shared" ref="AA403:AA413" si="178">K403+S403</f>
        <v>13.9968</v>
      </c>
      <c r="AB403" s="348">
        <f t="shared" ref="AB403:AB413" si="179">L403+T403</f>
        <v>0</v>
      </c>
      <c r="AC403" s="350"/>
    </row>
    <row r="404" ht="24" spans="1:29">
      <c r="A404" s="284" t="s">
        <v>665</v>
      </c>
      <c r="B404" s="284" t="s">
        <v>196</v>
      </c>
      <c r="C404" s="284" t="s">
        <v>807</v>
      </c>
      <c r="D404" s="284" t="s">
        <v>710</v>
      </c>
      <c r="E404" s="348">
        <f t="shared" si="166"/>
        <v>25.96</v>
      </c>
      <c r="F404" s="348">
        <v>10</v>
      </c>
      <c r="G404" s="348">
        <v>4.76</v>
      </c>
      <c r="H404" s="348">
        <v>3.57</v>
      </c>
      <c r="I404" s="348">
        <v>0.12</v>
      </c>
      <c r="J404" s="348">
        <v>0.36</v>
      </c>
      <c r="K404" s="348">
        <v>7.15</v>
      </c>
      <c r="L404" s="348"/>
      <c r="M404" s="348">
        <f t="shared" si="167"/>
        <v>-2.07096</v>
      </c>
      <c r="N404" s="348">
        <f>(SUM('工资福利（公务员、参公人员）'!R404:T404)+SUM('工资福利（事业）'!V404:X404,'工资福利（事业）'!AB404))*0.16</f>
        <v>-0.7792</v>
      </c>
      <c r="O404" s="348">
        <f>(SUM('工资福利（公务员、参公人员）'!R404:S404)+SUM('工资福利（事业）'!V404:X404,'工资福利（事业）'!AB404))*0.08</f>
        <v>-0.3856</v>
      </c>
      <c r="P404" s="348">
        <f>(SUM('工资福利（公务员、参公人员）'!R404:S404)+SUM('工资福利（事业）'!V404:X404,'工资福利（事业）'!AB404))*0.06</f>
        <v>-0.2892</v>
      </c>
      <c r="Q404" s="348">
        <f>(SUM('工资福利（公务员、参公人员）'!R404:S404)+SUM('工资福利（事业）'!V404:X404,'工资福利（事业）'!AB404))*0.002</f>
        <v>-0.00964</v>
      </c>
      <c r="R404" s="348">
        <f>(SUM('工资福利（公务员、参公人员）'!R404:S404)+SUM('工资福利（事业）'!V404:X404,'工资福利（事业）'!AB404))*0.006</f>
        <v>-0.02892</v>
      </c>
      <c r="S404" s="348">
        <f>(SUM('工资福利（公务员、参公人员）'!R404:S404)+SUM('工资福利（事业）'!V404:X404,'工资福利（事业）'!AB404))*0.12</f>
        <v>-0.5784</v>
      </c>
      <c r="T404" s="348"/>
      <c r="U404" s="348">
        <f t="shared" si="168"/>
        <v>23.88904</v>
      </c>
      <c r="V404" s="348">
        <f t="shared" si="173"/>
        <v>9.2208</v>
      </c>
      <c r="W404" s="348">
        <f t="shared" si="174"/>
        <v>4.3744</v>
      </c>
      <c r="X404" s="348">
        <f t="shared" si="175"/>
        <v>3.2808</v>
      </c>
      <c r="Y404" s="348">
        <f t="shared" si="176"/>
        <v>0.11036</v>
      </c>
      <c r="Z404" s="348">
        <f t="shared" si="177"/>
        <v>0.33108</v>
      </c>
      <c r="AA404" s="348">
        <f t="shared" si="178"/>
        <v>6.5716</v>
      </c>
      <c r="AB404" s="348">
        <f t="shared" si="179"/>
        <v>0</v>
      </c>
      <c r="AC404" s="350"/>
    </row>
    <row r="405" ht="24" spans="1:29">
      <c r="A405" s="284" t="s">
        <v>665</v>
      </c>
      <c r="B405" s="284" t="s">
        <v>196</v>
      </c>
      <c r="C405" s="284" t="s">
        <v>712</v>
      </c>
      <c r="D405" s="284" t="s">
        <v>710</v>
      </c>
      <c r="E405" s="348">
        <f t="shared" si="166"/>
        <v>85.58</v>
      </c>
      <c r="F405" s="348">
        <v>32.49</v>
      </c>
      <c r="G405" s="348">
        <v>15.5</v>
      </c>
      <c r="H405" s="348">
        <v>11.63</v>
      </c>
      <c r="I405" s="348">
        <v>0.39</v>
      </c>
      <c r="J405" s="348">
        <v>2.32</v>
      </c>
      <c r="K405" s="348">
        <v>23.25</v>
      </c>
      <c r="L405" s="348"/>
      <c r="M405" s="348">
        <f t="shared" si="167"/>
        <v>3.8244</v>
      </c>
      <c r="N405" s="348">
        <f>(SUM('工资福利（公务员、参公人员）'!R405:T405)+SUM('工资福利（事业）'!V405:X405,'工资福利（事业）'!AB405))*0.16</f>
        <v>1.4928</v>
      </c>
      <c r="O405" s="348">
        <f>(SUM('工资福利（公务员、参公人员）'!R405:S405)+SUM('工资福利（事业）'!V405:X405,'工资福利（事业）'!AB405))*0.08</f>
        <v>0.696</v>
      </c>
      <c r="P405" s="348">
        <f>(SUM('工资福利（公务员、参公人员）'!R405:S405)+SUM('工资福利（事业）'!V405:X405,'工资福利（事业）'!AB405))*0.06</f>
        <v>0.522</v>
      </c>
      <c r="Q405" s="348">
        <f>(SUM('工资福利（公务员、参公人员）'!R405:S405)+SUM('工资福利（事业）'!V405:X405,'工资福利（事业）'!AB405))*0.002</f>
        <v>0.0174</v>
      </c>
      <c r="R405" s="348">
        <f>(SUM('工资福利（公务员、参公人员）'!R405:S405)+SUM('工资福利（事业）'!V405:X405,'工资福利（事业）'!AB405))*0.006</f>
        <v>0.0522</v>
      </c>
      <c r="S405" s="348">
        <f>(SUM('工资福利（公务员、参公人员）'!R405:S405)+SUM('工资福利（事业）'!V405:X405,'工资福利（事业）'!AB405))*0.12</f>
        <v>1.044</v>
      </c>
      <c r="T405" s="348"/>
      <c r="U405" s="348">
        <f t="shared" si="168"/>
        <v>89.4044</v>
      </c>
      <c r="V405" s="348">
        <f t="shared" si="173"/>
        <v>33.9828</v>
      </c>
      <c r="W405" s="348">
        <f t="shared" si="174"/>
        <v>16.196</v>
      </c>
      <c r="X405" s="348">
        <f t="shared" si="175"/>
        <v>12.152</v>
      </c>
      <c r="Y405" s="348">
        <f t="shared" si="176"/>
        <v>0.4074</v>
      </c>
      <c r="Z405" s="348">
        <f t="shared" si="177"/>
        <v>2.3722</v>
      </c>
      <c r="AA405" s="348">
        <f t="shared" si="178"/>
        <v>24.294</v>
      </c>
      <c r="AB405" s="348">
        <f t="shared" si="179"/>
        <v>0</v>
      </c>
      <c r="AC405" s="350"/>
    </row>
    <row r="406" ht="24" spans="1:29">
      <c r="A406" s="284" t="s">
        <v>665</v>
      </c>
      <c r="B406" s="284" t="s">
        <v>199</v>
      </c>
      <c r="C406" s="284" t="s">
        <v>713</v>
      </c>
      <c r="D406" s="284" t="s">
        <v>714</v>
      </c>
      <c r="E406" s="348">
        <f t="shared" si="166"/>
        <v>9.9</v>
      </c>
      <c r="F406" s="348">
        <v>3.7</v>
      </c>
      <c r="G406" s="348">
        <v>1.85</v>
      </c>
      <c r="H406" s="348">
        <v>1.39</v>
      </c>
      <c r="I406" s="348">
        <v>0.05</v>
      </c>
      <c r="J406" s="348">
        <v>0.14</v>
      </c>
      <c r="K406" s="348">
        <v>2.77</v>
      </c>
      <c r="L406" s="348"/>
      <c r="M406" s="348">
        <f t="shared" si="167"/>
        <v>4.8578</v>
      </c>
      <c r="N406" s="348">
        <f>(SUM('工资福利（公务员、参公人员）'!R406:T406)+SUM('工资福利（事业）'!V406:X406,'工资福利（事业）'!AB406))*0.16</f>
        <v>1.816</v>
      </c>
      <c r="O406" s="348">
        <f>(SUM('工资福利（公务员、参公人员）'!R406:S406)+SUM('工资福利（事业）'!V406:X406,'工资福利（事业）'!AB406))*0.08</f>
        <v>0.908</v>
      </c>
      <c r="P406" s="348">
        <f>(SUM('工资福利（公务员、参公人员）'!R406:S406)+SUM('工资福利（事业）'!V406:X406,'工资福利（事业）'!AB406))*0.06</f>
        <v>0.681</v>
      </c>
      <c r="Q406" s="348">
        <f>(SUM('工资福利（公务员、参公人员）'!R406:S406)+SUM('工资福利（事业）'!V406:X406,'工资福利（事业）'!AB406))*0.002</f>
        <v>0.0227</v>
      </c>
      <c r="R406" s="348">
        <f>(SUM('工资福利（公务员、参公人员）'!R406:S406)+SUM('工资福利（事业）'!V406:X406,'工资福利（事业）'!AB406))*0.006</f>
        <v>0.0681</v>
      </c>
      <c r="S406" s="348">
        <f>(SUM('工资福利（公务员、参公人员）'!R406:S406)+SUM('工资福利（事业）'!V406:X406,'工资福利（事业）'!AB406))*0.12</f>
        <v>1.362</v>
      </c>
      <c r="T406" s="348"/>
      <c r="U406" s="348">
        <f t="shared" si="168"/>
        <v>14.7578</v>
      </c>
      <c r="V406" s="348">
        <f t="shared" si="173"/>
        <v>5.516</v>
      </c>
      <c r="W406" s="348">
        <f t="shared" si="174"/>
        <v>2.758</v>
      </c>
      <c r="X406" s="348">
        <f t="shared" si="175"/>
        <v>2.071</v>
      </c>
      <c r="Y406" s="348">
        <f t="shared" si="176"/>
        <v>0.0727</v>
      </c>
      <c r="Z406" s="348">
        <f t="shared" si="177"/>
        <v>0.2081</v>
      </c>
      <c r="AA406" s="348">
        <f t="shared" si="178"/>
        <v>4.132</v>
      </c>
      <c r="AB406" s="348">
        <f t="shared" si="179"/>
        <v>0</v>
      </c>
      <c r="AC406" s="350"/>
    </row>
    <row r="407" ht="24" spans="1:29">
      <c r="A407" s="284" t="s">
        <v>665</v>
      </c>
      <c r="B407" s="284" t="s">
        <v>199</v>
      </c>
      <c r="C407" s="284" t="s">
        <v>715</v>
      </c>
      <c r="D407" s="284" t="s">
        <v>714</v>
      </c>
      <c r="E407" s="348">
        <f t="shared" si="166"/>
        <v>25.74</v>
      </c>
      <c r="F407" s="348">
        <v>9.62</v>
      </c>
      <c r="G407" s="348">
        <v>4.81</v>
      </c>
      <c r="H407" s="348">
        <v>3.61</v>
      </c>
      <c r="I407" s="348">
        <v>0.12</v>
      </c>
      <c r="J407" s="348">
        <v>0.36</v>
      </c>
      <c r="K407" s="348">
        <v>7.22</v>
      </c>
      <c r="L407" s="348"/>
      <c r="M407" s="348">
        <f t="shared" si="167"/>
        <v>2.5894</v>
      </c>
      <c r="N407" s="348">
        <f>(SUM('工资福利（公务员、参公人员）'!R407:T407)+SUM('工资福利（事业）'!V407:X407,'工资福利（事业）'!AB407))*0.16</f>
        <v>0.968</v>
      </c>
      <c r="O407" s="348">
        <f>(SUM('工资福利（公务员、参公人员）'!R407:S407)+SUM('工资福利（事业）'!V407:X407,'工资福利（事业）'!AB407))*0.08</f>
        <v>0.484</v>
      </c>
      <c r="P407" s="348">
        <f>(SUM('工资福利（公务员、参公人员）'!R407:S407)+SUM('工资福利（事业）'!V407:X407,'工资福利（事业）'!AB407))*0.06</f>
        <v>0.363</v>
      </c>
      <c r="Q407" s="348">
        <f>(SUM('工资福利（公务员、参公人员）'!R407:S407)+SUM('工资福利（事业）'!V407:X407,'工资福利（事业）'!AB407))*0.002</f>
        <v>0.0121</v>
      </c>
      <c r="R407" s="348">
        <f>(SUM('工资福利（公务员、参公人员）'!R407:S407)+SUM('工资福利（事业）'!V407:X407,'工资福利（事业）'!AB407))*0.006</f>
        <v>0.0363</v>
      </c>
      <c r="S407" s="348">
        <f>(SUM('工资福利（公务员、参公人员）'!R407:S407)+SUM('工资福利（事业）'!V407:X407,'工资福利（事业）'!AB407))*0.12</f>
        <v>0.726</v>
      </c>
      <c r="T407" s="348"/>
      <c r="U407" s="348">
        <f t="shared" si="168"/>
        <v>28.3294</v>
      </c>
      <c r="V407" s="348">
        <f t="shared" si="173"/>
        <v>10.588</v>
      </c>
      <c r="W407" s="348">
        <f t="shared" si="174"/>
        <v>5.294</v>
      </c>
      <c r="X407" s="348">
        <f t="shared" si="175"/>
        <v>3.973</v>
      </c>
      <c r="Y407" s="348">
        <f t="shared" si="176"/>
        <v>0.1321</v>
      </c>
      <c r="Z407" s="348">
        <f t="shared" si="177"/>
        <v>0.3963</v>
      </c>
      <c r="AA407" s="348">
        <f t="shared" si="178"/>
        <v>7.946</v>
      </c>
      <c r="AB407" s="348">
        <f t="shared" si="179"/>
        <v>0</v>
      </c>
      <c r="AC407" s="350"/>
    </row>
    <row r="408" ht="24" spans="1:29">
      <c r="A408" s="284" t="s">
        <v>665</v>
      </c>
      <c r="B408" s="284" t="s">
        <v>199</v>
      </c>
      <c r="C408" s="284" t="s">
        <v>716</v>
      </c>
      <c r="D408" s="284" t="s">
        <v>714</v>
      </c>
      <c r="E408" s="348">
        <f t="shared" si="166"/>
        <v>4.89</v>
      </c>
      <c r="F408" s="348">
        <v>1.83</v>
      </c>
      <c r="G408" s="348">
        <v>0.91</v>
      </c>
      <c r="H408" s="348">
        <v>0.69</v>
      </c>
      <c r="I408" s="348">
        <v>0.02</v>
      </c>
      <c r="J408" s="348">
        <v>0.07</v>
      </c>
      <c r="K408" s="348">
        <v>1.37</v>
      </c>
      <c r="L408" s="348"/>
      <c r="M408" s="348">
        <f t="shared" si="167"/>
        <v>62.69772</v>
      </c>
      <c r="N408" s="348">
        <f>(SUM('工资福利（公务员、参公人员）'!R408:T408)+SUM('工资福利（事业）'!V408:X408,'工资福利（事业）'!AB408))*0.16</f>
        <v>23.4384</v>
      </c>
      <c r="O408" s="348">
        <f>(SUM('工资福利（公务员、参公人员）'!R408:S408)+SUM('工资福利（事业）'!V408:X408,'工资福利（事业）'!AB408))*0.08</f>
        <v>11.7192</v>
      </c>
      <c r="P408" s="348">
        <f>(SUM('工资福利（公务员、参公人员）'!R408:S408)+SUM('工资福利（事业）'!V408:X408,'工资福利（事业）'!AB408))*0.06</f>
        <v>8.7894</v>
      </c>
      <c r="Q408" s="348">
        <f>(SUM('工资福利（公务员、参公人员）'!R408:S408)+SUM('工资福利（事业）'!V408:X408,'工资福利（事业）'!AB408))*0.002</f>
        <v>0.29298</v>
      </c>
      <c r="R408" s="348">
        <f>(SUM('工资福利（公务员、参公人员）'!R408:S408)+SUM('工资福利（事业）'!V408:X408,'工资福利（事业）'!AB408))*0.006</f>
        <v>0.87894</v>
      </c>
      <c r="S408" s="348">
        <f>(SUM('工资福利（公务员、参公人员）'!R408:S408)+SUM('工资福利（事业）'!V408:X408,'工资福利（事业）'!AB408))*0.12</f>
        <v>17.5788</v>
      </c>
      <c r="T408" s="348"/>
      <c r="U408" s="348">
        <f t="shared" si="168"/>
        <v>67.58772</v>
      </c>
      <c r="V408" s="348">
        <f t="shared" si="173"/>
        <v>25.2684</v>
      </c>
      <c r="W408" s="348">
        <f t="shared" si="174"/>
        <v>12.6292</v>
      </c>
      <c r="X408" s="348">
        <f t="shared" si="175"/>
        <v>9.4794</v>
      </c>
      <c r="Y408" s="348">
        <f t="shared" si="176"/>
        <v>0.31298</v>
      </c>
      <c r="Z408" s="348">
        <f t="shared" si="177"/>
        <v>0.94894</v>
      </c>
      <c r="AA408" s="348">
        <f t="shared" si="178"/>
        <v>18.9488</v>
      </c>
      <c r="AB408" s="348">
        <f t="shared" si="179"/>
        <v>0</v>
      </c>
      <c r="AC408" s="350"/>
    </row>
    <row r="409" ht="24" spans="1:29">
      <c r="A409" s="284" t="s">
        <v>665</v>
      </c>
      <c r="B409" s="284" t="s">
        <v>199</v>
      </c>
      <c r="C409" s="284" t="s">
        <v>717</v>
      </c>
      <c r="D409" s="284" t="s">
        <v>714</v>
      </c>
      <c r="E409" s="348">
        <f t="shared" si="166"/>
        <v>17.49</v>
      </c>
      <c r="F409" s="348">
        <v>6.54</v>
      </c>
      <c r="G409" s="348">
        <v>3.27</v>
      </c>
      <c r="H409" s="348">
        <v>2.45</v>
      </c>
      <c r="I409" s="348">
        <v>0.08</v>
      </c>
      <c r="J409" s="348">
        <v>0.25</v>
      </c>
      <c r="K409" s="348">
        <v>4.9</v>
      </c>
      <c r="L409" s="348"/>
      <c r="M409" s="348">
        <f t="shared" si="167"/>
        <v>11.56456</v>
      </c>
      <c r="N409" s="348">
        <f>(SUM('工资福利（公务员、参公人员）'!R409:T409)+SUM('工资福利（事业）'!V409:X409,'工资福利（事业）'!AB409))*0.16</f>
        <v>4.3232</v>
      </c>
      <c r="O409" s="348">
        <f>(SUM('工资福利（公务员、参公人员）'!R409:S409)+SUM('工资福利（事业）'!V409:X409,'工资福利（事业）'!AB409))*0.08</f>
        <v>2.1616</v>
      </c>
      <c r="P409" s="348">
        <f>(SUM('工资福利（公务员、参公人员）'!R409:S409)+SUM('工资福利（事业）'!V409:X409,'工资福利（事业）'!AB409))*0.06</f>
        <v>1.6212</v>
      </c>
      <c r="Q409" s="348">
        <f>(SUM('工资福利（公务员、参公人员）'!R409:S409)+SUM('工资福利（事业）'!V409:X409,'工资福利（事业）'!AB409))*0.002</f>
        <v>0.05404</v>
      </c>
      <c r="R409" s="348">
        <f>(SUM('工资福利（公务员、参公人员）'!R409:S409)+SUM('工资福利（事业）'!V409:X409,'工资福利（事业）'!AB409))*0.006</f>
        <v>0.16212</v>
      </c>
      <c r="S409" s="348">
        <f>(SUM('工资福利（公务员、参公人员）'!R409:S409)+SUM('工资福利（事业）'!V409:X409,'工资福利（事业）'!AB409))*0.12</f>
        <v>3.2424</v>
      </c>
      <c r="T409" s="348"/>
      <c r="U409" s="348">
        <f t="shared" si="168"/>
        <v>29.05456</v>
      </c>
      <c r="V409" s="348">
        <f t="shared" si="173"/>
        <v>10.8632</v>
      </c>
      <c r="W409" s="348">
        <f t="shared" si="174"/>
        <v>5.4316</v>
      </c>
      <c r="X409" s="348">
        <f t="shared" si="175"/>
        <v>4.0712</v>
      </c>
      <c r="Y409" s="348">
        <f t="shared" si="176"/>
        <v>0.13404</v>
      </c>
      <c r="Z409" s="348">
        <f t="shared" si="177"/>
        <v>0.41212</v>
      </c>
      <c r="AA409" s="348">
        <f t="shared" si="178"/>
        <v>8.1424</v>
      </c>
      <c r="AB409" s="348">
        <f t="shared" si="179"/>
        <v>0</v>
      </c>
      <c r="AC409" s="350"/>
    </row>
    <row r="410" ht="24" spans="1:29">
      <c r="A410" s="284" t="s">
        <v>665</v>
      </c>
      <c r="B410" s="284" t="s">
        <v>199</v>
      </c>
      <c r="C410" s="284" t="s">
        <v>718</v>
      </c>
      <c r="D410" s="284" t="s">
        <v>714</v>
      </c>
      <c r="E410" s="348">
        <f t="shared" si="166"/>
        <v>18.426944</v>
      </c>
      <c r="F410" s="348">
        <v>6.67</v>
      </c>
      <c r="G410" s="348">
        <v>3.34</v>
      </c>
      <c r="H410" s="348">
        <v>2.5</v>
      </c>
      <c r="I410" s="348">
        <v>0.08</v>
      </c>
      <c r="J410" s="348">
        <v>0.25</v>
      </c>
      <c r="K410" s="348">
        <v>5</v>
      </c>
      <c r="L410" s="348">
        <v>0.586944</v>
      </c>
      <c r="M410" s="348">
        <f t="shared" si="167"/>
        <v>2.4396</v>
      </c>
      <c r="N410" s="348">
        <f>(SUM('工资福利（公务员、参公人员）'!R410:T410)+SUM('工资福利（事业）'!V410:X410,'工资福利（事业）'!AB410))*0.16</f>
        <v>0.912</v>
      </c>
      <c r="O410" s="348">
        <f>(SUM('工资福利（公务员、参公人员）'!R410:S410)+SUM('工资福利（事业）'!V410:X410,'工资福利（事业）'!AB410))*0.08</f>
        <v>0.456</v>
      </c>
      <c r="P410" s="348">
        <f>(SUM('工资福利（公务员、参公人员）'!R410:S410)+SUM('工资福利（事业）'!V410:X410,'工资福利（事业）'!AB410))*0.06</f>
        <v>0.342</v>
      </c>
      <c r="Q410" s="348">
        <f>(SUM('工资福利（公务员、参公人员）'!R410:S410)+SUM('工资福利（事业）'!V410:X410,'工资福利（事业）'!AB410))*0.002</f>
        <v>0.0114</v>
      </c>
      <c r="R410" s="348">
        <f>(SUM('工资福利（公务员、参公人员）'!R410:S410)+SUM('工资福利（事业）'!V410:X410,'工资福利（事业）'!AB410))*0.006</f>
        <v>0.0342</v>
      </c>
      <c r="S410" s="348">
        <f>(SUM('工资福利（公务员、参公人员）'!R410:S410)+SUM('工资福利（事业）'!V410:X410,'工资福利（事业）'!AB410))*0.12</f>
        <v>0.684</v>
      </c>
      <c r="T410" s="348"/>
      <c r="U410" s="348">
        <f t="shared" si="168"/>
        <v>20.866544</v>
      </c>
      <c r="V410" s="348">
        <f t="shared" si="173"/>
        <v>7.582</v>
      </c>
      <c r="W410" s="348">
        <f t="shared" si="174"/>
        <v>3.796</v>
      </c>
      <c r="X410" s="348">
        <f t="shared" si="175"/>
        <v>2.842</v>
      </c>
      <c r="Y410" s="348">
        <f t="shared" si="176"/>
        <v>0.0914</v>
      </c>
      <c r="Z410" s="348">
        <f t="shared" si="177"/>
        <v>0.2842</v>
      </c>
      <c r="AA410" s="348">
        <f t="shared" si="178"/>
        <v>5.684</v>
      </c>
      <c r="AB410" s="348">
        <f t="shared" si="179"/>
        <v>0.586944</v>
      </c>
      <c r="AC410" s="350"/>
    </row>
    <row r="411" ht="24" spans="1:29">
      <c r="A411" s="284" t="s">
        <v>665</v>
      </c>
      <c r="B411" s="284" t="s">
        <v>199</v>
      </c>
      <c r="C411" s="284" t="s">
        <v>719</v>
      </c>
      <c r="D411" s="284" t="s">
        <v>714</v>
      </c>
      <c r="E411" s="348">
        <f t="shared" si="166"/>
        <v>32.863856</v>
      </c>
      <c r="F411" s="348">
        <v>11.14</v>
      </c>
      <c r="G411" s="348">
        <v>5.57</v>
      </c>
      <c r="H411" s="348">
        <v>4.18</v>
      </c>
      <c r="I411" s="348">
        <v>0.14</v>
      </c>
      <c r="J411" s="348">
        <v>0.42</v>
      </c>
      <c r="K411" s="348">
        <v>8.36</v>
      </c>
      <c r="L411" s="348">
        <v>3.053856</v>
      </c>
      <c r="M411" s="348">
        <f t="shared" si="167"/>
        <v>4.90488</v>
      </c>
      <c r="N411" s="348">
        <f>(SUM('工资福利（公务员、参公人员）'!R411:T411)+SUM('工资福利（事业）'!V411:X411,'工资福利（事业）'!AB411))*0.16</f>
        <v>1.8336</v>
      </c>
      <c r="O411" s="348">
        <f>(SUM('工资福利（公务员、参公人员）'!R411:S411)+SUM('工资福利（事业）'!V411:X411,'工资福利（事业）'!AB411))*0.08</f>
        <v>0.9168</v>
      </c>
      <c r="P411" s="348">
        <f>(SUM('工资福利（公务员、参公人员）'!R411:S411)+SUM('工资福利（事业）'!V411:X411,'工资福利（事业）'!AB411))*0.06</f>
        <v>0.6876</v>
      </c>
      <c r="Q411" s="348">
        <f>(SUM('工资福利（公务员、参公人员）'!R411:S411)+SUM('工资福利（事业）'!V411:X411,'工资福利（事业）'!AB411))*0.002</f>
        <v>0.02292</v>
      </c>
      <c r="R411" s="348">
        <f>(SUM('工资福利（公务员、参公人员）'!R411:S411)+SUM('工资福利（事业）'!V411:X411,'工资福利（事业）'!AB411))*0.006</f>
        <v>0.06876</v>
      </c>
      <c r="S411" s="348">
        <f>(SUM('工资福利（公务员、参公人员）'!R411:S411)+SUM('工资福利（事业）'!V411:X411,'工资福利（事业）'!AB411))*0.12</f>
        <v>1.3752</v>
      </c>
      <c r="T411" s="348"/>
      <c r="U411" s="348">
        <f t="shared" si="168"/>
        <v>37.768736</v>
      </c>
      <c r="V411" s="348">
        <f t="shared" si="173"/>
        <v>12.9736</v>
      </c>
      <c r="W411" s="348">
        <f t="shared" si="174"/>
        <v>6.4868</v>
      </c>
      <c r="X411" s="348">
        <f t="shared" si="175"/>
        <v>4.8676</v>
      </c>
      <c r="Y411" s="348">
        <f t="shared" si="176"/>
        <v>0.16292</v>
      </c>
      <c r="Z411" s="348">
        <f t="shared" si="177"/>
        <v>0.48876</v>
      </c>
      <c r="AA411" s="348">
        <f t="shared" si="178"/>
        <v>9.7352</v>
      </c>
      <c r="AB411" s="348">
        <f t="shared" si="179"/>
        <v>3.053856</v>
      </c>
      <c r="AC411" s="350"/>
    </row>
    <row r="412" ht="36" spans="1:29">
      <c r="A412" s="284" t="s">
        <v>665</v>
      </c>
      <c r="B412" s="284" t="s">
        <v>199</v>
      </c>
      <c r="C412" s="284" t="s">
        <v>808</v>
      </c>
      <c r="D412" s="284" t="s">
        <v>721</v>
      </c>
      <c r="E412" s="348">
        <f t="shared" si="166"/>
        <v>64.06</v>
      </c>
      <c r="F412" s="348">
        <v>23.95</v>
      </c>
      <c r="G412" s="348">
        <v>11.97</v>
      </c>
      <c r="H412" s="348">
        <v>8.98</v>
      </c>
      <c r="I412" s="348">
        <v>0.3</v>
      </c>
      <c r="J412" s="348">
        <v>0.9</v>
      </c>
      <c r="K412" s="348">
        <v>17.96</v>
      </c>
      <c r="L412" s="348"/>
      <c r="M412" s="348">
        <f t="shared" si="167"/>
        <v>-16.14844</v>
      </c>
      <c r="N412" s="348">
        <f>(SUM('工资福利（公务员、参公人员）'!R412:T412)+SUM('工资福利（事业）'!V412:X412,'工资福利（事业）'!AB412))*0.16</f>
        <v>-6.0368</v>
      </c>
      <c r="O412" s="348">
        <f>(SUM('工资福利（公务员、参公人员）'!R412:S412)+SUM('工资福利（事业）'!V412:X412,'工资福利（事业）'!AB412))*0.08</f>
        <v>-3.0184</v>
      </c>
      <c r="P412" s="348">
        <f>(SUM('工资福利（公务员、参公人员）'!R412:S412)+SUM('工资福利（事业）'!V412:X412,'工资福利（事业）'!AB412))*0.06</f>
        <v>-2.2638</v>
      </c>
      <c r="Q412" s="348">
        <f>(SUM('工资福利（公务员、参公人员）'!R412:S412)+SUM('工资福利（事业）'!V412:X412,'工资福利（事业）'!AB412))*0.002</f>
        <v>-0.07546</v>
      </c>
      <c r="R412" s="348">
        <f>(SUM('工资福利（公务员、参公人员）'!R412:S412)+SUM('工资福利（事业）'!V412:X412,'工资福利（事业）'!AB412))*0.006</f>
        <v>-0.22638</v>
      </c>
      <c r="S412" s="348">
        <f>(SUM('工资福利（公务员、参公人员）'!R412:S412)+SUM('工资福利（事业）'!V412:X412,'工资福利（事业）'!AB412))*0.12</f>
        <v>-4.5276</v>
      </c>
      <c r="T412" s="348"/>
      <c r="U412" s="348">
        <f t="shared" si="168"/>
        <v>47.91156</v>
      </c>
      <c r="V412" s="348">
        <f t="shared" si="173"/>
        <v>17.9132</v>
      </c>
      <c r="W412" s="348">
        <f t="shared" si="174"/>
        <v>8.9516</v>
      </c>
      <c r="X412" s="348">
        <f t="shared" si="175"/>
        <v>6.7162</v>
      </c>
      <c r="Y412" s="348">
        <f t="shared" si="176"/>
        <v>0.22454</v>
      </c>
      <c r="Z412" s="348">
        <f t="shared" si="177"/>
        <v>0.67362</v>
      </c>
      <c r="AA412" s="348">
        <f t="shared" si="178"/>
        <v>13.4324</v>
      </c>
      <c r="AB412" s="348">
        <f t="shared" si="179"/>
        <v>0</v>
      </c>
      <c r="AC412" s="350"/>
    </row>
    <row r="413" ht="36" spans="1:29">
      <c r="A413" s="284" t="s">
        <v>640</v>
      </c>
      <c r="B413" s="284" t="s">
        <v>196</v>
      </c>
      <c r="C413" s="284" t="s">
        <v>722</v>
      </c>
      <c r="D413" s="284" t="s">
        <v>723</v>
      </c>
      <c r="E413" s="348">
        <f t="shared" si="166"/>
        <v>12.31</v>
      </c>
      <c r="F413" s="348">
        <v>12.31</v>
      </c>
      <c r="G413" s="348"/>
      <c r="H413" s="348"/>
      <c r="I413" s="348"/>
      <c r="J413" s="348"/>
      <c r="K413" s="348"/>
      <c r="L413" s="348"/>
      <c r="M413" s="348">
        <f t="shared" si="167"/>
        <v>6.67252</v>
      </c>
      <c r="N413" s="348">
        <f>(SUM('工资福利（公务员、参公人员）'!R413:T413)+SUM('工资福利（事业）'!V413:X413,'工资福利（事业）'!AB413))*0.16</f>
        <v>2.4944</v>
      </c>
      <c r="O413" s="348">
        <f>(SUM('工资福利（公务员、参公人员）'!R413:S413)+SUM('工资福利（事业）'!V413:X413,'工资福利（事业）'!AB413))*0.08</f>
        <v>1.2472</v>
      </c>
      <c r="P413" s="348">
        <f>(SUM('工资福利（公务员、参公人员）'!R413:S413)+SUM('工资福利（事业）'!V413:X413,'工资福利（事业）'!AB413))*0.06</f>
        <v>0.9354</v>
      </c>
      <c r="Q413" s="348">
        <f>(SUM('工资福利（公务员、参公人员）'!R413:S413)+SUM('工资福利（事业）'!V413:X413,'工资福利（事业）'!AB413))*0.002</f>
        <v>0.03118</v>
      </c>
      <c r="R413" s="348">
        <f>(SUM('工资福利（公务员、参公人员）'!R413:S413)+SUM('工资福利（事业）'!V413:X413,'工资福利（事业）'!AB413))*0.006</f>
        <v>0.09354</v>
      </c>
      <c r="S413" s="348">
        <f>(SUM('工资福利（公务员、参公人员）'!R413:S413)+SUM('工资福利（事业）'!V413:X413,'工资福利（事业）'!AB413))*0.12</f>
        <v>1.8708</v>
      </c>
      <c r="T413" s="348"/>
      <c r="U413" s="348">
        <f t="shared" si="168"/>
        <v>18.98252</v>
      </c>
      <c r="V413" s="348">
        <f t="shared" si="173"/>
        <v>14.8044</v>
      </c>
      <c r="W413" s="348">
        <f t="shared" si="174"/>
        <v>1.2472</v>
      </c>
      <c r="X413" s="348">
        <f t="shared" si="175"/>
        <v>0.9354</v>
      </c>
      <c r="Y413" s="348">
        <f t="shared" si="176"/>
        <v>0.03118</v>
      </c>
      <c r="Z413" s="348">
        <f t="shared" si="177"/>
        <v>0.09354</v>
      </c>
      <c r="AA413" s="348">
        <f t="shared" si="178"/>
        <v>1.8708</v>
      </c>
      <c r="AB413" s="348">
        <f t="shared" si="179"/>
        <v>0</v>
      </c>
      <c r="AC413" s="350"/>
    </row>
    <row r="414" s="311" customFormat="1" ht="21" customHeight="1" spans="1:29">
      <c r="A414" s="328"/>
      <c r="B414" s="329" t="s">
        <v>756</v>
      </c>
      <c r="C414" s="329" t="s">
        <v>148</v>
      </c>
      <c r="D414" s="329">
        <v>224</v>
      </c>
      <c r="E414" s="358">
        <f t="shared" ref="E414:L414" si="180">SUM(E415:E424)</f>
        <v>134.72</v>
      </c>
      <c r="F414" s="358">
        <f t="shared" si="180"/>
        <v>51.04</v>
      </c>
      <c r="G414" s="358">
        <f t="shared" si="180"/>
        <v>24.98</v>
      </c>
      <c r="H414" s="358">
        <f t="shared" si="180"/>
        <v>18.75</v>
      </c>
      <c r="I414" s="358">
        <f t="shared" si="180"/>
        <v>0.63</v>
      </c>
      <c r="J414" s="358">
        <f t="shared" si="180"/>
        <v>1.87</v>
      </c>
      <c r="K414" s="358">
        <f t="shared" si="180"/>
        <v>37.45</v>
      </c>
      <c r="L414" s="358">
        <f t="shared" si="180"/>
        <v>0</v>
      </c>
      <c r="M414" s="358">
        <f t="shared" ref="M414:AB414" si="181">SUM(M415:M424)</f>
        <v>13.10536</v>
      </c>
      <c r="N414" s="358">
        <f t="shared" si="181"/>
        <v>4.8992</v>
      </c>
      <c r="O414" s="358">
        <f t="shared" si="181"/>
        <v>2.4496</v>
      </c>
      <c r="P414" s="358">
        <f t="shared" si="181"/>
        <v>1.8372</v>
      </c>
      <c r="Q414" s="358">
        <f t="shared" si="181"/>
        <v>0.06124</v>
      </c>
      <c r="R414" s="358">
        <f t="shared" si="181"/>
        <v>0.18372</v>
      </c>
      <c r="S414" s="358">
        <f t="shared" si="181"/>
        <v>3.6744</v>
      </c>
      <c r="T414" s="358">
        <f t="shared" si="181"/>
        <v>0</v>
      </c>
      <c r="U414" s="358">
        <f t="shared" si="181"/>
        <v>147.82536</v>
      </c>
      <c r="V414" s="358">
        <f t="shared" si="181"/>
        <v>55.9392</v>
      </c>
      <c r="W414" s="358">
        <f t="shared" si="181"/>
        <v>27.4296</v>
      </c>
      <c r="X414" s="358">
        <f t="shared" si="181"/>
        <v>20.5872</v>
      </c>
      <c r="Y414" s="358">
        <f t="shared" si="181"/>
        <v>0.69124</v>
      </c>
      <c r="Z414" s="358">
        <f t="shared" si="181"/>
        <v>2.05372</v>
      </c>
      <c r="AA414" s="358">
        <f t="shared" si="181"/>
        <v>41.1244</v>
      </c>
      <c r="AB414" s="358">
        <f t="shared" si="181"/>
        <v>0</v>
      </c>
      <c r="AC414" s="362"/>
    </row>
    <row r="415" ht="24" spans="1:29">
      <c r="A415" s="284" t="s">
        <v>290</v>
      </c>
      <c r="B415" s="284" t="s">
        <v>196</v>
      </c>
      <c r="C415" s="284" t="s">
        <v>724</v>
      </c>
      <c r="D415" s="284" t="s">
        <v>725</v>
      </c>
      <c r="E415" s="348">
        <f t="shared" ref="E415:E424" si="182">SUM(F415:L415)</f>
        <v>29.49</v>
      </c>
      <c r="F415" s="348">
        <v>11.36</v>
      </c>
      <c r="G415" s="348">
        <v>5.41</v>
      </c>
      <c r="H415" s="348">
        <v>4.06</v>
      </c>
      <c r="I415" s="348">
        <v>0.14</v>
      </c>
      <c r="J415" s="348">
        <v>0.41</v>
      </c>
      <c r="K415" s="348">
        <v>8.11</v>
      </c>
      <c r="L415" s="348"/>
      <c r="M415" s="348">
        <f t="shared" ref="M415:M424" si="183">SUM(N415:T415)</f>
        <v>3.62516</v>
      </c>
      <c r="N415" s="348">
        <f>(SUM('工资福利（公务员、参公人员）'!R415:T415)+SUM('工资福利（事业）'!V415:X415,'工资福利（事业）'!AB415))*0.16</f>
        <v>1.3552</v>
      </c>
      <c r="O415" s="348">
        <f>(SUM('工资福利（公务员、参公人员）'!R415:S415)+SUM('工资福利（事业）'!V415:X415,'工资福利（事业）'!AB415))*0.08</f>
        <v>0.6776</v>
      </c>
      <c r="P415" s="348">
        <f>(SUM('工资福利（公务员、参公人员）'!R415:S415)+SUM('工资福利（事业）'!V415:X415,'工资福利（事业）'!AB415))*0.06</f>
        <v>0.5082</v>
      </c>
      <c r="Q415" s="348">
        <f>(SUM('工资福利（公务员、参公人员）'!R415:S415)+SUM('工资福利（事业）'!V415:X415,'工资福利（事业）'!AB415))*0.002</f>
        <v>0.01694</v>
      </c>
      <c r="R415" s="348">
        <f>(SUM('工资福利（公务员、参公人员）'!R415:S415)+SUM('工资福利（事业）'!V415:X415,'工资福利（事业）'!AB415))*0.006</f>
        <v>0.05082</v>
      </c>
      <c r="S415" s="348">
        <f>(SUM('工资福利（公务员、参公人员）'!R415:S415)+SUM('工资福利（事业）'!V415:X415,'工资福利（事业）'!AB415))*0.12</f>
        <v>1.0164</v>
      </c>
      <c r="T415" s="348"/>
      <c r="U415" s="348">
        <f t="shared" ref="U415:U424" si="184">SUM(V415:AB415)</f>
        <v>33.11516</v>
      </c>
      <c r="V415" s="348">
        <f t="shared" ref="V415:V424" si="185">F415+N415</f>
        <v>12.7152</v>
      </c>
      <c r="W415" s="348">
        <f t="shared" ref="W415:W424" si="186">G415+O415</f>
        <v>6.0876</v>
      </c>
      <c r="X415" s="348">
        <f t="shared" ref="X415:X424" si="187">H415+P415</f>
        <v>4.5682</v>
      </c>
      <c r="Y415" s="348">
        <f t="shared" ref="Y415:Y424" si="188">I415+Q415</f>
        <v>0.15694</v>
      </c>
      <c r="Z415" s="348">
        <f t="shared" ref="Z415:Z424" si="189">J415+R415</f>
        <v>0.46082</v>
      </c>
      <c r="AA415" s="348">
        <f t="shared" ref="AA415:AA424" si="190">K415+S415</f>
        <v>9.1264</v>
      </c>
      <c r="AB415" s="348">
        <f t="shared" ref="AB415:AB424" si="191">L415+T415</f>
        <v>0</v>
      </c>
      <c r="AC415" s="350"/>
    </row>
    <row r="416" ht="24" spans="1:29">
      <c r="A416" s="284" t="s">
        <v>290</v>
      </c>
      <c r="B416" s="284" t="s">
        <v>196</v>
      </c>
      <c r="C416" s="284" t="s">
        <v>726</v>
      </c>
      <c r="D416" s="284" t="s">
        <v>725</v>
      </c>
      <c r="E416" s="348">
        <f t="shared" si="182"/>
        <v>8.33</v>
      </c>
      <c r="F416" s="348">
        <v>3.21</v>
      </c>
      <c r="G416" s="348">
        <v>1.53</v>
      </c>
      <c r="H416" s="348">
        <v>1.15</v>
      </c>
      <c r="I416" s="348">
        <v>0.04</v>
      </c>
      <c r="J416" s="348">
        <v>0.11</v>
      </c>
      <c r="K416" s="348">
        <v>2.29</v>
      </c>
      <c r="L416" s="348"/>
      <c r="M416" s="348">
        <f t="shared" si="183"/>
        <v>1.00152</v>
      </c>
      <c r="N416" s="348">
        <f>(SUM('工资福利（公务员、参公人员）'!R416:T416)+SUM('工资福利（事业）'!V416:X416,'工资福利（事业）'!AB416))*0.16</f>
        <v>0.3744</v>
      </c>
      <c r="O416" s="348">
        <f>(SUM('工资福利（公务员、参公人员）'!R416:S416)+SUM('工资福利（事业）'!V416:X416,'工资福利（事业）'!AB416))*0.08</f>
        <v>0.1872</v>
      </c>
      <c r="P416" s="348">
        <f>(SUM('工资福利（公务员、参公人员）'!R416:S416)+SUM('工资福利（事业）'!V416:X416,'工资福利（事业）'!AB416))*0.06</f>
        <v>0.1404</v>
      </c>
      <c r="Q416" s="348">
        <f>(SUM('工资福利（公务员、参公人员）'!R416:S416)+SUM('工资福利（事业）'!V416:X416,'工资福利（事业）'!AB416))*0.002</f>
        <v>0.00468</v>
      </c>
      <c r="R416" s="348">
        <f>(SUM('工资福利（公务员、参公人员）'!R416:S416)+SUM('工资福利（事业）'!V416:X416,'工资福利（事业）'!AB416))*0.006</f>
        <v>0.01404</v>
      </c>
      <c r="S416" s="348">
        <f>(SUM('工资福利（公务员、参公人员）'!R416:S416)+SUM('工资福利（事业）'!V416:X416,'工资福利（事业）'!AB416))*0.12</f>
        <v>0.2808</v>
      </c>
      <c r="T416" s="348"/>
      <c r="U416" s="348">
        <f t="shared" si="184"/>
        <v>9.33152</v>
      </c>
      <c r="V416" s="348">
        <f t="shared" si="185"/>
        <v>3.5844</v>
      </c>
      <c r="W416" s="348">
        <f t="shared" si="186"/>
        <v>1.7172</v>
      </c>
      <c r="X416" s="348">
        <f t="shared" si="187"/>
        <v>1.2904</v>
      </c>
      <c r="Y416" s="348">
        <f t="shared" si="188"/>
        <v>0.04468</v>
      </c>
      <c r="Z416" s="348">
        <f t="shared" si="189"/>
        <v>0.12404</v>
      </c>
      <c r="AA416" s="348">
        <f t="shared" si="190"/>
        <v>2.5708</v>
      </c>
      <c r="AB416" s="348">
        <f t="shared" si="191"/>
        <v>0</v>
      </c>
      <c r="AC416" s="350"/>
    </row>
    <row r="417" ht="24" spans="1:29">
      <c r="A417" s="284" t="s">
        <v>290</v>
      </c>
      <c r="B417" s="284" t="s">
        <v>196</v>
      </c>
      <c r="C417" s="284" t="s">
        <v>727</v>
      </c>
      <c r="D417" s="284" t="s">
        <v>725</v>
      </c>
      <c r="E417" s="348">
        <f t="shared" si="182"/>
        <v>14.5</v>
      </c>
      <c r="F417" s="348">
        <v>5.58</v>
      </c>
      <c r="G417" s="348">
        <v>2.66</v>
      </c>
      <c r="H417" s="348">
        <v>2</v>
      </c>
      <c r="I417" s="348">
        <v>0.07</v>
      </c>
      <c r="J417" s="348">
        <v>0.2</v>
      </c>
      <c r="K417" s="348">
        <v>3.99</v>
      </c>
      <c r="L417" s="348"/>
      <c r="M417" s="348">
        <f t="shared" si="183"/>
        <v>1.29256</v>
      </c>
      <c r="N417" s="348">
        <f>(SUM('工资福利（公务员、参公人员）'!R417:T417)+SUM('工资福利（事业）'!V417:X417,'工资福利（事业）'!AB417))*0.16</f>
        <v>0.4832</v>
      </c>
      <c r="O417" s="348">
        <f>(SUM('工资福利（公务员、参公人员）'!R417:S417)+SUM('工资福利（事业）'!V417:X417,'工资福利（事业）'!AB417))*0.08</f>
        <v>0.2416</v>
      </c>
      <c r="P417" s="348">
        <f>(SUM('工资福利（公务员、参公人员）'!R417:S417)+SUM('工资福利（事业）'!V417:X417,'工资福利（事业）'!AB417))*0.06</f>
        <v>0.1812</v>
      </c>
      <c r="Q417" s="348">
        <f>(SUM('工资福利（公务员、参公人员）'!R417:S417)+SUM('工资福利（事业）'!V417:X417,'工资福利（事业）'!AB417))*0.002</f>
        <v>0.00604</v>
      </c>
      <c r="R417" s="348">
        <f>(SUM('工资福利（公务员、参公人员）'!R417:S417)+SUM('工资福利（事业）'!V417:X417,'工资福利（事业）'!AB417))*0.006</f>
        <v>0.01812</v>
      </c>
      <c r="S417" s="348">
        <f>(SUM('工资福利（公务员、参公人员）'!R417:S417)+SUM('工资福利（事业）'!V417:X417,'工资福利（事业）'!AB417))*0.12</f>
        <v>0.3624</v>
      </c>
      <c r="T417" s="348"/>
      <c r="U417" s="348">
        <f t="shared" si="184"/>
        <v>15.79256</v>
      </c>
      <c r="V417" s="348">
        <f t="shared" si="185"/>
        <v>6.0632</v>
      </c>
      <c r="W417" s="348">
        <f t="shared" si="186"/>
        <v>2.9016</v>
      </c>
      <c r="X417" s="348">
        <f t="shared" si="187"/>
        <v>2.1812</v>
      </c>
      <c r="Y417" s="348">
        <f t="shared" si="188"/>
        <v>0.07604</v>
      </c>
      <c r="Z417" s="348">
        <f t="shared" si="189"/>
        <v>0.21812</v>
      </c>
      <c r="AA417" s="348">
        <f t="shared" si="190"/>
        <v>4.3524</v>
      </c>
      <c r="AB417" s="348">
        <f t="shared" si="191"/>
        <v>0</v>
      </c>
      <c r="AC417" s="350"/>
    </row>
    <row r="418" ht="24" spans="1:29">
      <c r="A418" s="284" t="s">
        <v>290</v>
      </c>
      <c r="B418" s="284" t="s">
        <v>196</v>
      </c>
      <c r="C418" s="284" t="s">
        <v>728</v>
      </c>
      <c r="D418" s="284" t="s">
        <v>725</v>
      </c>
      <c r="E418" s="348">
        <f t="shared" si="182"/>
        <v>7.81</v>
      </c>
      <c r="F418" s="348">
        <v>3</v>
      </c>
      <c r="G418" s="348">
        <v>1.43</v>
      </c>
      <c r="H418" s="348">
        <v>1.08</v>
      </c>
      <c r="I418" s="348">
        <v>0.04</v>
      </c>
      <c r="J418" s="348">
        <v>0.11</v>
      </c>
      <c r="K418" s="348">
        <v>2.15</v>
      </c>
      <c r="L418" s="348"/>
      <c r="M418" s="348">
        <f t="shared" si="183"/>
        <v>1.12992</v>
      </c>
      <c r="N418" s="348">
        <f>(SUM('工资福利（公务员、参公人员）'!R418:T418)+SUM('工资福利（事业）'!V418:X418,'工资福利（事业）'!AB418))*0.16</f>
        <v>0.4224</v>
      </c>
      <c r="O418" s="348">
        <f>(SUM('工资福利（公务员、参公人员）'!R418:S418)+SUM('工资福利（事业）'!V418:X418,'工资福利（事业）'!AB418))*0.08</f>
        <v>0.2112</v>
      </c>
      <c r="P418" s="348">
        <f>(SUM('工资福利（公务员、参公人员）'!R418:S418)+SUM('工资福利（事业）'!V418:X418,'工资福利（事业）'!AB418))*0.06</f>
        <v>0.1584</v>
      </c>
      <c r="Q418" s="348">
        <f>(SUM('工资福利（公务员、参公人员）'!R418:S418)+SUM('工资福利（事业）'!V418:X418,'工资福利（事业）'!AB418))*0.002</f>
        <v>0.00528</v>
      </c>
      <c r="R418" s="348">
        <f>(SUM('工资福利（公务员、参公人员）'!R418:S418)+SUM('工资福利（事业）'!V418:X418,'工资福利（事业）'!AB418))*0.006</f>
        <v>0.01584</v>
      </c>
      <c r="S418" s="348">
        <f>(SUM('工资福利（公务员、参公人员）'!R418:S418)+SUM('工资福利（事业）'!V418:X418,'工资福利（事业）'!AB418))*0.12</f>
        <v>0.3168</v>
      </c>
      <c r="T418" s="348"/>
      <c r="U418" s="348">
        <f t="shared" si="184"/>
        <v>8.93992</v>
      </c>
      <c r="V418" s="348">
        <f t="shared" si="185"/>
        <v>3.4224</v>
      </c>
      <c r="W418" s="348">
        <f t="shared" si="186"/>
        <v>1.6412</v>
      </c>
      <c r="X418" s="348">
        <f t="shared" si="187"/>
        <v>1.2384</v>
      </c>
      <c r="Y418" s="348">
        <f t="shared" si="188"/>
        <v>0.04528</v>
      </c>
      <c r="Z418" s="348">
        <f t="shared" si="189"/>
        <v>0.12584</v>
      </c>
      <c r="AA418" s="348">
        <f t="shared" si="190"/>
        <v>2.4668</v>
      </c>
      <c r="AB418" s="348">
        <f t="shared" si="191"/>
        <v>0</v>
      </c>
      <c r="AC418" s="350"/>
    </row>
    <row r="419" ht="24" spans="1:29">
      <c r="A419" s="284" t="s">
        <v>290</v>
      </c>
      <c r="B419" s="284" t="s">
        <v>199</v>
      </c>
      <c r="C419" s="284" t="s">
        <v>729</v>
      </c>
      <c r="D419" s="284" t="s">
        <v>730</v>
      </c>
      <c r="E419" s="348">
        <f t="shared" si="182"/>
        <v>7.58</v>
      </c>
      <c r="F419" s="348">
        <v>2.83</v>
      </c>
      <c r="G419" s="348">
        <v>1.42</v>
      </c>
      <c r="H419" s="348">
        <v>1.06</v>
      </c>
      <c r="I419" s="348">
        <v>0.04</v>
      </c>
      <c r="J419" s="348">
        <v>0.11</v>
      </c>
      <c r="K419" s="348">
        <v>2.12</v>
      </c>
      <c r="L419" s="348"/>
      <c r="M419" s="348">
        <f t="shared" si="183"/>
        <v>0.60348</v>
      </c>
      <c r="N419" s="348">
        <f>(SUM('工资福利（公务员、参公人员）'!R419:T419)+SUM('工资福利（事业）'!V419:X419,'工资福利（事业）'!AB419))*0.16</f>
        <v>0.2256</v>
      </c>
      <c r="O419" s="348">
        <f>(SUM('工资福利（公务员、参公人员）'!R419:S419)+SUM('工资福利（事业）'!V419:X419,'工资福利（事业）'!AB419))*0.08</f>
        <v>0.1128</v>
      </c>
      <c r="P419" s="348">
        <f>(SUM('工资福利（公务员、参公人员）'!R419:S419)+SUM('工资福利（事业）'!V419:X419,'工资福利（事业）'!AB419))*0.06</f>
        <v>0.0846</v>
      </c>
      <c r="Q419" s="348">
        <f>(SUM('工资福利（公务员、参公人员）'!R419:S419)+SUM('工资福利（事业）'!V419:X419,'工资福利（事业）'!AB419))*0.002</f>
        <v>0.00282</v>
      </c>
      <c r="R419" s="348">
        <f>(SUM('工资福利（公务员、参公人员）'!R419:S419)+SUM('工资福利（事业）'!V419:X419,'工资福利（事业）'!AB419))*0.006</f>
        <v>0.00846</v>
      </c>
      <c r="S419" s="348">
        <f>(SUM('工资福利（公务员、参公人员）'!R419:S419)+SUM('工资福利（事业）'!V419:X419,'工资福利（事业）'!AB419))*0.12</f>
        <v>0.1692</v>
      </c>
      <c r="T419" s="348"/>
      <c r="U419" s="348">
        <f t="shared" si="184"/>
        <v>8.18348</v>
      </c>
      <c r="V419" s="348">
        <f t="shared" si="185"/>
        <v>3.0556</v>
      </c>
      <c r="W419" s="348">
        <f t="shared" si="186"/>
        <v>1.5328</v>
      </c>
      <c r="X419" s="348">
        <f t="shared" si="187"/>
        <v>1.1446</v>
      </c>
      <c r="Y419" s="348">
        <f t="shared" si="188"/>
        <v>0.04282</v>
      </c>
      <c r="Z419" s="348">
        <f t="shared" si="189"/>
        <v>0.11846</v>
      </c>
      <c r="AA419" s="348">
        <f t="shared" si="190"/>
        <v>2.2892</v>
      </c>
      <c r="AB419" s="348">
        <f t="shared" si="191"/>
        <v>0</v>
      </c>
      <c r="AC419" s="350"/>
    </row>
    <row r="420" ht="24" spans="1:29">
      <c r="A420" s="284" t="s">
        <v>290</v>
      </c>
      <c r="B420" s="284" t="s">
        <v>199</v>
      </c>
      <c r="C420" s="284" t="s">
        <v>731</v>
      </c>
      <c r="D420" s="284" t="s">
        <v>730</v>
      </c>
      <c r="E420" s="348">
        <f t="shared" si="182"/>
        <v>19.97</v>
      </c>
      <c r="F420" s="348">
        <v>7.47</v>
      </c>
      <c r="G420" s="348">
        <v>3.73</v>
      </c>
      <c r="H420" s="348">
        <v>2.8</v>
      </c>
      <c r="I420" s="348">
        <v>0.09</v>
      </c>
      <c r="J420" s="348">
        <v>0.28</v>
      </c>
      <c r="K420" s="348">
        <v>5.6</v>
      </c>
      <c r="L420" s="348"/>
      <c r="M420" s="348">
        <f t="shared" si="183"/>
        <v>1.89176</v>
      </c>
      <c r="N420" s="348">
        <f>(SUM('工资福利（公务员、参公人员）'!R420:T420)+SUM('工资福利（事业）'!V420:X420,'工资福利（事业）'!AB420))*0.16</f>
        <v>0.7072</v>
      </c>
      <c r="O420" s="348">
        <f>(SUM('工资福利（公务员、参公人员）'!R420:S420)+SUM('工资福利（事业）'!V420:X420,'工资福利（事业）'!AB420))*0.08</f>
        <v>0.3536</v>
      </c>
      <c r="P420" s="348">
        <f>(SUM('工资福利（公务员、参公人员）'!R420:S420)+SUM('工资福利（事业）'!V420:X420,'工资福利（事业）'!AB420))*0.06</f>
        <v>0.2652</v>
      </c>
      <c r="Q420" s="348">
        <f>(SUM('工资福利（公务员、参公人员）'!R420:S420)+SUM('工资福利（事业）'!V420:X420,'工资福利（事业）'!AB420))*0.002</f>
        <v>0.00884</v>
      </c>
      <c r="R420" s="348">
        <f>(SUM('工资福利（公务员、参公人员）'!R420:S420)+SUM('工资福利（事业）'!V420:X420,'工资福利（事业）'!AB420))*0.006</f>
        <v>0.02652</v>
      </c>
      <c r="S420" s="348">
        <f>(SUM('工资福利（公务员、参公人员）'!R420:S420)+SUM('工资福利（事业）'!V420:X420,'工资福利（事业）'!AB420))*0.12</f>
        <v>0.5304</v>
      </c>
      <c r="T420" s="348"/>
      <c r="U420" s="348">
        <f t="shared" si="184"/>
        <v>21.86176</v>
      </c>
      <c r="V420" s="348">
        <f t="shared" si="185"/>
        <v>8.1772</v>
      </c>
      <c r="W420" s="348">
        <f t="shared" si="186"/>
        <v>4.0836</v>
      </c>
      <c r="X420" s="348">
        <f t="shared" si="187"/>
        <v>3.0652</v>
      </c>
      <c r="Y420" s="348">
        <f t="shared" si="188"/>
        <v>0.09884</v>
      </c>
      <c r="Z420" s="348">
        <f t="shared" si="189"/>
        <v>0.30652</v>
      </c>
      <c r="AA420" s="348">
        <f t="shared" si="190"/>
        <v>6.1304</v>
      </c>
      <c r="AB420" s="348">
        <f t="shared" si="191"/>
        <v>0</v>
      </c>
      <c r="AC420" s="350"/>
    </row>
    <row r="421" ht="24" spans="1:29">
      <c r="A421" s="284" t="s">
        <v>290</v>
      </c>
      <c r="B421" s="284" t="s">
        <v>199</v>
      </c>
      <c r="C421" s="284" t="s">
        <v>732</v>
      </c>
      <c r="D421" s="284" t="s">
        <v>730</v>
      </c>
      <c r="E421" s="348">
        <f t="shared" si="182"/>
        <v>7.46</v>
      </c>
      <c r="F421" s="348">
        <v>2.79</v>
      </c>
      <c r="G421" s="348">
        <v>1.4</v>
      </c>
      <c r="H421" s="348">
        <v>1.05</v>
      </c>
      <c r="I421" s="348">
        <v>0.03</v>
      </c>
      <c r="J421" s="348">
        <v>0.1</v>
      </c>
      <c r="K421" s="348">
        <v>2.09</v>
      </c>
      <c r="L421" s="348"/>
      <c r="M421" s="348">
        <f t="shared" si="183"/>
        <v>0.60776</v>
      </c>
      <c r="N421" s="348">
        <f>(SUM('工资福利（公务员、参公人员）'!R421:T421)+SUM('工资福利（事业）'!V421:X421,'工资福利（事业）'!AB421))*0.16</f>
        <v>0.2272</v>
      </c>
      <c r="O421" s="348">
        <f>(SUM('工资福利（公务员、参公人员）'!R421:S421)+SUM('工资福利（事业）'!V421:X421,'工资福利（事业）'!AB421))*0.08</f>
        <v>0.1136</v>
      </c>
      <c r="P421" s="348">
        <f>(SUM('工资福利（公务员、参公人员）'!R421:S421)+SUM('工资福利（事业）'!V421:X421,'工资福利（事业）'!AB421))*0.06</f>
        <v>0.0852</v>
      </c>
      <c r="Q421" s="348">
        <f>(SUM('工资福利（公务员、参公人员）'!R421:S421)+SUM('工资福利（事业）'!V421:X421,'工资福利（事业）'!AB421))*0.002</f>
        <v>0.00284</v>
      </c>
      <c r="R421" s="348">
        <f>(SUM('工资福利（公务员、参公人员）'!R421:S421)+SUM('工资福利（事业）'!V421:X421,'工资福利（事业）'!AB421))*0.006</f>
        <v>0.00852</v>
      </c>
      <c r="S421" s="348">
        <f>(SUM('工资福利（公务员、参公人员）'!R421:S421)+SUM('工资福利（事业）'!V421:X421,'工资福利（事业）'!AB421))*0.12</f>
        <v>0.1704</v>
      </c>
      <c r="T421" s="348"/>
      <c r="U421" s="348">
        <f t="shared" si="184"/>
        <v>8.06776</v>
      </c>
      <c r="V421" s="348">
        <f t="shared" si="185"/>
        <v>3.0172</v>
      </c>
      <c r="W421" s="348">
        <f t="shared" si="186"/>
        <v>1.5136</v>
      </c>
      <c r="X421" s="348">
        <f t="shared" si="187"/>
        <v>1.1352</v>
      </c>
      <c r="Y421" s="348">
        <f t="shared" si="188"/>
        <v>0.03284</v>
      </c>
      <c r="Z421" s="348">
        <f t="shared" si="189"/>
        <v>0.10852</v>
      </c>
      <c r="AA421" s="348">
        <f t="shared" si="190"/>
        <v>2.2604</v>
      </c>
      <c r="AB421" s="348">
        <f t="shared" si="191"/>
        <v>0</v>
      </c>
      <c r="AC421" s="350"/>
    </row>
    <row r="422" ht="24" spans="1:29">
      <c r="A422" s="284" t="s">
        <v>290</v>
      </c>
      <c r="B422" s="284" t="s">
        <v>199</v>
      </c>
      <c r="C422" s="284" t="s">
        <v>733</v>
      </c>
      <c r="D422" s="284" t="s">
        <v>730</v>
      </c>
      <c r="E422" s="348">
        <f t="shared" si="182"/>
        <v>17.89</v>
      </c>
      <c r="F422" s="348">
        <v>6.69</v>
      </c>
      <c r="G422" s="348">
        <v>3.34</v>
      </c>
      <c r="H422" s="348">
        <v>2.51</v>
      </c>
      <c r="I422" s="348">
        <v>0.08</v>
      </c>
      <c r="J422" s="348">
        <v>0.25</v>
      </c>
      <c r="K422" s="348">
        <v>5.02</v>
      </c>
      <c r="L422" s="348"/>
      <c r="M422" s="348">
        <f t="shared" si="183"/>
        <v>1.45092</v>
      </c>
      <c r="N422" s="348">
        <f>(SUM('工资福利（公务员、参公人员）'!R422:T422)+SUM('工资福利（事业）'!V422:X422,'工资福利（事业）'!AB422))*0.16</f>
        <v>0.5424</v>
      </c>
      <c r="O422" s="348">
        <f>(SUM('工资福利（公务员、参公人员）'!R422:S422)+SUM('工资福利（事业）'!V422:X422,'工资福利（事业）'!AB422))*0.08</f>
        <v>0.2712</v>
      </c>
      <c r="P422" s="348">
        <f>(SUM('工资福利（公务员、参公人员）'!R422:S422)+SUM('工资福利（事业）'!V422:X422,'工资福利（事业）'!AB422))*0.06</f>
        <v>0.2034</v>
      </c>
      <c r="Q422" s="348">
        <f>(SUM('工资福利（公务员、参公人员）'!R422:S422)+SUM('工资福利（事业）'!V422:X422,'工资福利（事业）'!AB422))*0.002</f>
        <v>0.00678</v>
      </c>
      <c r="R422" s="348">
        <f>(SUM('工资福利（公务员、参公人员）'!R422:S422)+SUM('工资福利（事业）'!V422:X422,'工资福利（事业）'!AB422))*0.006</f>
        <v>0.02034</v>
      </c>
      <c r="S422" s="348">
        <f>(SUM('工资福利（公务员、参公人员）'!R422:S422)+SUM('工资福利（事业）'!V422:X422,'工资福利（事业）'!AB422))*0.12</f>
        <v>0.4068</v>
      </c>
      <c r="T422" s="348"/>
      <c r="U422" s="348">
        <f t="shared" si="184"/>
        <v>19.34092</v>
      </c>
      <c r="V422" s="348">
        <f t="shared" si="185"/>
        <v>7.2324</v>
      </c>
      <c r="W422" s="348">
        <f t="shared" si="186"/>
        <v>3.6112</v>
      </c>
      <c r="X422" s="348">
        <f t="shared" si="187"/>
        <v>2.7134</v>
      </c>
      <c r="Y422" s="348">
        <f t="shared" si="188"/>
        <v>0.08678</v>
      </c>
      <c r="Z422" s="348">
        <f t="shared" si="189"/>
        <v>0.27034</v>
      </c>
      <c r="AA422" s="348">
        <f t="shared" si="190"/>
        <v>5.4268</v>
      </c>
      <c r="AB422" s="348">
        <f t="shared" si="191"/>
        <v>0</v>
      </c>
      <c r="AC422" s="350"/>
    </row>
    <row r="423" ht="36" spans="1:29">
      <c r="A423" s="284" t="s">
        <v>195</v>
      </c>
      <c r="B423" s="284" t="s">
        <v>196</v>
      </c>
      <c r="C423" s="284" t="s">
        <v>734</v>
      </c>
      <c r="D423" s="284" t="s">
        <v>735</v>
      </c>
      <c r="E423" s="348">
        <f t="shared" si="182"/>
        <v>0</v>
      </c>
      <c r="F423" s="348"/>
      <c r="G423" s="348"/>
      <c r="H423" s="348"/>
      <c r="I423" s="348"/>
      <c r="J423" s="348"/>
      <c r="K423" s="348"/>
      <c r="L423" s="348"/>
      <c r="M423" s="348">
        <f t="shared" si="183"/>
        <v>0</v>
      </c>
      <c r="N423" s="348">
        <f>(SUM('工资福利（公务员、参公人员）'!R423:T423)+SUM('工资福利（事业）'!V423:X423,'工资福利（事业）'!AB423))*0.16</f>
        <v>0</v>
      </c>
      <c r="O423" s="348">
        <f>(SUM('工资福利（公务员、参公人员）'!R423:S423)+SUM('工资福利（事业）'!V423:X423,'工资福利（事业）'!AB423))*0.08</f>
        <v>0</v>
      </c>
      <c r="P423" s="348">
        <f>(SUM('工资福利（公务员、参公人员）'!R423:S423)+SUM('工资福利（事业）'!V423:X423,'工资福利（事业）'!AB423))*0.06</f>
        <v>0</v>
      </c>
      <c r="Q423" s="348">
        <f>(SUM('工资福利（公务员、参公人员）'!R423:S423)+SUM('工资福利（事业）'!V423:X423,'工资福利（事业）'!AB423))*0.002</f>
        <v>0</v>
      </c>
      <c r="R423" s="348">
        <f>(SUM('工资福利（公务员、参公人员）'!R423:S423)+SUM('工资福利（事业）'!V423:X423,'工资福利（事业）'!AB423))*0.006</f>
        <v>0</v>
      </c>
      <c r="S423" s="348">
        <f>(SUM('工资福利（公务员、参公人员）'!R423:S423)+SUM('工资福利（事业）'!V423:X423,'工资福利（事业）'!AB423))*0.12</f>
        <v>0</v>
      </c>
      <c r="T423" s="348"/>
      <c r="U423" s="348">
        <f t="shared" si="184"/>
        <v>0</v>
      </c>
      <c r="V423" s="348">
        <f t="shared" si="185"/>
        <v>0</v>
      </c>
      <c r="W423" s="348">
        <f t="shared" si="186"/>
        <v>0</v>
      </c>
      <c r="X423" s="348">
        <f t="shared" si="187"/>
        <v>0</v>
      </c>
      <c r="Y423" s="348">
        <f t="shared" si="188"/>
        <v>0</v>
      </c>
      <c r="Z423" s="348">
        <f t="shared" si="189"/>
        <v>0</v>
      </c>
      <c r="AA423" s="348">
        <f t="shared" si="190"/>
        <v>0</v>
      </c>
      <c r="AB423" s="348">
        <f t="shared" si="191"/>
        <v>0</v>
      </c>
      <c r="AC423" s="350"/>
    </row>
    <row r="424" ht="24" spans="1:29">
      <c r="A424" s="284" t="s">
        <v>208</v>
      </c>
      <c r="B424" s="284" t="s">
        <v>199</v>
      </c>
      <c r="C424" s="284" t="s">
        <v>736</v>
      </c>
      <c r="D424" s="284" t="s">
        <v>737</v>
      </c>
      <c r="E424" s="348">
        <f t="shared" si="182"/>
        <v>21.69</v>
      </c>
      <c r="F424" s="348">
        <v>8.11</v>
      </c>
      <c r="G424" s="348">
        <v>4.06</v>
      </c>
      <c r="H424" s="348">
        <v>3.04</v>
      </c>
      <c r="I424" s="348">
        <v>0.1</v>
      </c>
      <c r="J424" s="348">
        <v>0.3</v>
      </c>
      <c r="K424" s="348">
        <v>6.08</v>
      </c>
      <c r="L424" s="348"/>
      <c r="M424" s="348">
        <f t="shared" si="183"/>
        <v>1.50228</v>
      </c>
      <c r="N424" s="348">
        <f>(SUM('工资福利（公务员、参公人员）'!R424:T424)+SUM('工资福利（事业）'!V424:X424,'工资福利（事业）'!AB424))*0.16</f>
        <v>0.5616</v>
      </c>
      <c r="O424" s="348">
        <f>(SUM('工资福利（公务员、参公人员）'!R424:S424)+SUM('工资福利（事业）'!V424:X424,'工资福利（事业）'!AB424))*0.08</f>
        <v>0.2808</v>
      </c>
      <c r="P424" s="348">
        <f>(SUM('工资福利（公务员、参公人员）'!R424:S424)+SUM('工资福利（事业）'!V424:X424,'工资福利（事业）'!AB424))*0.06</f>
        <v>0.2106</v>
      </c>
      <c r="Q424" s="348">
        <f>(SUM('工资福利（公务员、参公人员）'!R424:S424)+SUM('工资福利（事业）'!V424:X424,'工资福利（事业）'!AB424))*0.002</f>
        <v>0.00702</v>
      </c>
      <c r="R424" s="348">
        <f>(SUM('工资福利（公务员、参公人员）'!R424:S424)+SUM('工资福利（事业）'!V424:X424,'工资福利（事业）'!AB424))*0.006</f>
        <v>0.02106</v>
      </c>
      <c r="S424" s="348">
        <f>(SUM('工资福利（公务员、参公人员）'!R424:S424)+SUM('工资福利（事业）'!V424:X424,'工资福利（事业）'!AB424))*0.12</f>
        <v>0.4212</v>
      </c>
      <c r="T424" s="348"/>
      <c r="U424" s="348">
        <f t="shared" si="184"/>
        <v>23.19228</v>
      </c>
      <c r="V424" s="348">
        <f t="shared" si="185"/>
        <v>8.6716</v>
      </c>
      <c r="W424" s="348">
        <f t="shared" si="186"/>
        <v>4.3408</v>
      </c>
      <c r="X424" s="348">
        <f t="shared" si="187"/>
        <v>3.2506</v>
      </c>
      <c r="Y424" s="348">
        <f t="shared" si="188"/>
        <v>0.10702</v>
      </c>
      <c r="Z424" s="348">
        <f t="shared" si="189"/>
        <v>0.32106</v>
      </c>
      <c r="AA424" s="348">
        <f t="shared" si="190"/>
        <v>6.5012</v>
      </c>
      <c r="AB424" s="348">
        <f t="shared" si="191"/>
        <v>0</v>
      </c>
      <c r="AC424" s="350"/>
    </row>
  </sheetData>
  <autoFilter ref="A5:AC424">
    <extLst/>
  </autoFilter>
  <mergeCells count="11">
    <mergeCell ref="E3:L3"/>
    <mergeCell ref="M3:T3"/>
    <mergeCell ref="U3:AB3"/>
    <mergeCell ref="E4:L4"/>
    <mergeCell ref="M4:T4"/>
    <mergeCell ref="U4:AB4"/>
    <mergeCell ref="A3:A5"/>
    <mergeCell ref="B3:B5"/>
    <mergeCell ref="C3:C5"/>
    <mergeCell ref="D3:D5"/>
    <mergeCell ref="AC3:AC5"/>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1.平衡表</vt:lpstr>
      <vt:lpstr>2.县本级统筹财力</vt:lpstr>
      <vt:lpstr>3.收入</vt:lpstr>
      <vt:lpstr>4.科目汇总表（14-15）</vt:lpstr>
      <vt:lpstr>年初预算工资福利</vt:lpstr>
      <vt:lpstr>调整工资福利汇总</vt:lpstr>
      <vt:lpstr>工资福利（公务员、参公人员）</vt:lpstr>
      <vt:lpstr>工资福利（事业）</vt:lpstr>
      <vt:lpstr>社会保障性支出（五险二金）</vt:lpstr>
      <vt:lpstr>对个人和家庭补助</vt:lpstr>
      <vt:lpstr>商品和服务支出</vt:lpstr>
      <vt:lpstr>项目支出</vt:lpstr>
      <vt:lpstr>5.基金平衡表（16）</vt:lpstr>
      <vt:lpstr>6.基金收入（17）</vt:lpstr>
      <vt:lpstr>7.基金支出(18)</vt:lpstr>
      <vt:lpstr>基金支出（县本级）</vt:lpstr>
      <vt:lpstr>8.社保基金预算(19)</vt:lpstr>
      <vt:lpstr>9.收回存量安排</vt:lpstr>
      <vt:lpstr>10.直达资金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2021-11-19T09:25:00Z</dcterms:created>
  <dcterms:modified xsi:type="dcterms:W3CDTF">2022-12-26T01:32:31Z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KSOReadingLayout">
    <vt:bool>false</vt:bool>
  </property>
  <property fmtid="{D5CDD505-2E9C-101B-9397-08002B2CF9AE}" pid="4" name="ICV">
    <vt:lpwstr>C8C4344074BD49A0BBC7AD6D9724EA10</vt:lpwstr>
  </property>
</Properties>
</file>